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mdevecchis/Downloads/"/>
    </mc:Choice>
  </mc:AlternateContent>
  <xr:revisionPtr revIDLastSave="0" documentId="13_ncr:1_{484C7918-AE95-3B47-9874-645A4B98ED1B}" xr6:coauthVersionLast="47" xr6:coauthVersionMax="47" xr10:uidLastSave="{00000000-0000-0000-0000-000000000000}"/>
  <bookViews>
    <workbookView xWindow="0" yWindow="740" windowWidth="23260" windowHeight="12460" xr2:uid="{00000000-000D-0000-FFFF-FFFF00000000}"/>
  </bookViews>
  <sheets>
    <sheet name="Overview" sheetId="1" r:id="rId1"/>
    <sheet name="5 YR PRO FORMA" sheetId="2" r:id="rId2"/>
    <sheet name="REVENUES" sheetId="3" r:id="rId3"/>
    <sheet name="EXPENSES" sheetId="4" r:id="rId4"/>
    <sheet name="Enrollment and Staffing" sheetId="8" state="hidden" r:id="rId5"/>
    <sheet name="Students" sheetId="5" r:id="rId6"/>
    <sheet name="Personnel" sheetId="6" r:id="rId7"/>
    <sheet name="Planning Year Budget" sheetId="10" r:id="rId8"/>
    <sheet name="District Funding" sheetId="9" r:id="rId9"/>
    <sheet name="Students by District" sheetId="11" r:id="rId10"/>
    <sheet name="Loan Amortization" sheetId="12" r:id="rId11"/>
    <sheet name="Facilities" sheetId="7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PYSK8dXMxTojJGA3gyxNMnefPWprEctb813Dh+U09RI="/>
    </ext>
  </extLst>
</workbook>
</file>

<file path=xl/calcChain.xml><?xml version="1.0" encoding="utf-8"?>
<calcChain xmlns="http://schemas.openxmlformats.org/spreadsheetml/2006/main">
  <c r="M77" i="4" l="1"/>
  <c r="E35" i="2"/>
  <c r="D35" i="2"/>
  <c r="F35" i="2"/>
  <c r="M76" i="4"/>
  <c r="L76" i="4"/>
  <c r="K76" i="4"/>
  <c r="J76" i="4"/>
  <c r="I76" i="4"/>
  <c r="E6" i="2"/>
  <c r="G6" i="2"/>
  <c r="F6" i="2"/>
  <c r="H2" i="12"/>
  <c r="D24" i="2" l="1"/>
  <c r="D22" i="2"/>
  <c r="E36" i="2"/>
  <c r="D36" i="2"/>
  <c r="S26" i="6"/>
  <c r="R26" i="6"/>
  <c r="Q26" i="6"/>
  <c r="P26" i="6"/>
  <c r="O26" i="6"/>
  <c r="H12" i="3"/>
  <c r="P27" i="6"/>
  <c r="O27" i="6"/>
  <c r="O11" i="6"/>
  <c r="F3" i="12"/>
  <c r="F4" i="12"/>
  <c r="F5" i="12"/>
  <c r="F6" i="12"/>
  <c r="F7" i="12"/>
  <c r="F8" i="12"/>
  <c r="F9" i="12"/>
  <c r="F10" i="12"/>
  <c r="F11" i="12"/>
  <c r="F2" i="12"/>
  <c r="L26" i="4"/>
  <c r="M26" i="4" s="1"/>
  <c r="C12" i="3"/>
  <c r="C11" i="3"/>
  <c r="G4" i="11"/>
  <c r="G5" i="11"/>
  <c r="G6" i="11"/>
  <c r="G7" i="11"/>
  <c r="G8" i="11"/>
  <c r="G9" i="11"/>
  <c r="G10" i="11"/>
  <c r="G11" i="11"/>
  <c r="G12" i="11"/>
  <c r="F4" i="11"/>
  <c r="F5" i="11"/>
  <c r="F6" i="11"/>
  <c r="F7" i="11"/>
  <c r="F8" i="11"/>
  <c r="F9" i="11"/>
  <c r="F10" i="11"/>
  <c r="F11" i="11"/>
  <c r="F12" i="11"/>
  <c r="G3" i="11"/>
  <c r="F3" i="11"/>
  <c r="E4" i="11"/>
  <c r="E5" i="11"/>
  <c r="E6" i="11"/>
  <c r="E7" i="11"/>
  <c r="E8" i="11"/>
  <c r="E9" i="11"/>
  <c r="E10" i="11"/>
  <c r="E11" i="11"/>
  <c r="E12" i="11"/>
  <c r="E3" i="11"/>
  <c r="D4" i="11"/>
  <c r="D5" i="11"/>
  <c r="D6" i="11"/>
  <c r="D7" i="11"/>
  <c r="D8" i="11"/>
  <c r="D9" i="11"/>
  <c r="D10" i="11"/>
  <c r="D11" i="11"/>
  <c r="D12" i="11"/>
  <c r="D3" i="11"/>
  <c r="F13" i="9"/>
  <c r="G9" i="9"/>
  <c r="G8" i="9"/>
  <c r="G12" i="9"/>
  <c r="G10" i="9"/>
  <c r="G11" i="9"/>
  <c r="G6" i="9"/>
  <c r="G4" i="9"/>
  <c r="G7" i="9"/>
  <c r="G5" i="9"/>
  <c r="G3" i="9"/>
  <c r="C13" i="9"/>
  <c r="B13" i="9"/>
  <c r="D6" i="10"/>
  <c r="D7" i="10"/>
  <c r="D8" i="10"/>
  <c r="E21" i="2"/>
  <c r="F21" i="2"/>
  <c r="G21" i="2"/>
  <c r="H21" i="2"/>
  <c r="D21" i="2"/>
  <c r="F36" i="2" l="1"/>
  <c r="M84" i="4"/>
  <c r="H36" i="2" s="1"/>
  <c r="G36" i="2"/>
  <c r="G13" i="9"/>
  <c r="D26" i="10"/>
  <c r="E8" i="10"/>
  <c r="F8" i="10"/>
  <c r="G8" i="10"/>
  <c r="H8" i="10"/>
  <c r="I8" i="10"/>
  <c r="J8" i="10"/>
  <c r="K8" i="10"/>
  <c r="L8" i="10"/>
  <c r="M8" i="10"/>
  <c r="M23" i="10" s="1"/>
  <c r="N8" i="10"/>
  <c r="N23" i="10" s="1"/>
  <c r="O8" i="10"/>
  <c r="O23" i="10" s="1"/>
  <c r="P8" i="10"/>
  <c r="P23" i="10" s="1"/>
  <c r="E23" i="10"/>
  <c r="F23" i="10"/>
  <c r="G23" i="10"/>
  <c r="H23" i="10"/>
  <c r="I23" i="10"/>
  <c r="J23" i="10"/>
  <c r="K23" i="10"/>
  <c r="L23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D12" i="10"/>
  <c r="D13" i="10"/>
  <c r="D14" i="10"/>
  <c r="D15" i="10"/>
  <c r="D17" i="10"/>
  <c r="D18" i="10"/>
  <c r="D19" i="10"/>
  <c r="D16" i="10"/>
  <c r="D11" i="10"/>
  <c r="D5" i="10"/>
  <c r="J31" i="6"/>
  <c r="K31" i="6"/>
  <c r="L31" i="6"/>
  <c r="M31" i="6"/>
  <c r="D29" i="9"/>
  <c r="C29" i="9"/>
  <c r="B29" i="9"/>
  <c r="I30" i="9" l="1"/>
  <c r="E26" i="10"/>
  <c r="F25" i="10" s="1"/>
  <c r="F26" i="10" s="1"/>
  <c r="G25" i="10" s="1"/>
  <c r="G26" i="10" s="1"/>
  <c r="H25" i="10" s="1"/>
  <c r="H26" i="10" s="1"/>
  <c r="I25" i="10" s="1"/>
  <c r="I26" i="10" s="1"/>
  <c r="J25" i="10" s="1"/>
  <c r="J26" i="10" s="1"/>
  <c r="K25" i="10" s="1"/>
  <c r="K26" i="10" s="1"/>
  <c r="L25" i="10" s="1"/>
  <c r="L26" i="10" s="1"/>
  <c r="M25" i="10" s="1"/>
  <c r="M26" i="10" s="1"/>
  <c r="N25" i="10" s="1"/>
  <c r="N26" i="10" s="1"/>
  <c r="O25" i="10" s="1"/>
  <c r="O26" i="10" s="1"/>
  <c r="P25" i="10" s="1"/>
  <c r="P26" i="10" s="1"/>
  <c r="D21" i="10"/>
  <c r="D35" i="10" s="1"/>
  <c r="D34" i="10"/>
  <c r="M13" i="9"/>
  <c r="L13" i="9"/>
  <c r="E13" i="9"/>
  <c r="D13" i="9"/>
  <c r="O12" i="9"/>
  <c r="O11" i="9"/>
  <c r="O10" i="9"/>
  <c r="O9" i="9"/>
  <c r="O8" i="9"/>
  <c r="O7" i="9"/>
  <c r="O6" i="9"/>
  <c r="O5" i="9"/>
  <c r="O4" i="9"/>
  <c r="O3" i="9"/>
  <c r="K4" i="9"/>
  <c r="K5" i="9"/>
  <c r="K6" i="9"/>
  <c r="K7" i="9"/>
  <c r="K8" i="9"/>
  <c r="K9" i="9"/>
  <c r="K10" i="9"/>
  <c r="K11" i="9"/>
  <c r="K12" i="9"/>
  <c r="K3" i="9"/>
  <c r="J11" i="9"/>
  <c r="J8" i="9"/>
  <c r="J9" i="9" s="1"/>
  <c r="J10" i="9" s="1"/>
  <c r="J12" i="9" s="1"/>
  <c r="J6" i="9"/>
  <c r="J5" i="9"/>
  <c r="J7" i="9" s="1"/>
  <c r="J3" i="9"/>
  <c r="N13" i="9"/>
  <c r="D13" i="2"/>
  <c r="D14" i="2"/>
  <c r="D15" i="2"/>
  <c r="J38" i="6"/>
  <c r="K38" i="6"/>
  <c r="L38" i="6"/>
  <c r="M38" i="6"/>
  <c r="I38" i="6"/>
  <c r="P23" i="6"/>
  <c r="P24" i="6"/>
  <c r="P25" i="6"/>
  <c r="P28" i="6"/>
  <c r="P29" i="6"/>
  <c r="P30" i="6"/>
  <c r="O22" i="6"/>
  <c r="O23" i="6"/>
  <c r="O24" i="6"/>
  <c r="O25" i="6"/>
  <c r="O28" i="6"/>
  <c r="O29" i="6"/>
  <c r="O30" i="6"/>
  <c r="O21" i="6"/>
  <c r="O15" i="6"/>
  <c r="O14" i="6"/>
  <c r="B17" i="6"/>
  <c r="O6" i="6"/>
  <c r="N25" i="8"/>
  <c r="M25" i="8"/>
  <c r="L25" i="8"/>
  <c r="K25" i="8"/>
  <c r="J25" i="8"/>
  <c r="F11" i="8"/>
  <c r="E11" i="8"/>
  <c r="D11" i="8"/>
  <c r="C11" i="8"/>
  <c r="B11" i="8"/>
  <c r="D23" i="10" l="1"/>
  <c r="D36" i="10"/>
  <c r="D37" i="10" s="1"/>
  <c r="O13" i="9"/>
  <c r="B31" i="7"/>
  <c r="N14" i="7"/>
  <c r="M14" i="7"/>
  <c r="L14" i="7"/>
  <c r="K14" i="7"/>
  <c r="J14" i="7"/>
  <c r="I14" i="7"/>
  <c r="H14" i="7"/>
  <c r="G14" i="7"/>
  <c r="F14" i="7"/>
  <c r="E14" i="7"/>
  <c r="N13" i="7"/>
  <c r="M13" i="7"/>
  <c r="L13" i="7"/>
  <c r="K13" i="7"/>
  <c r="J13" i="7"/>
  <c r="I13" i="7"/>
  <c r="H13" i="7"/>
  <c r="G13" i="7"/>
  <c r="F13" i="7"/>
  <c r="E13" i="7"/>
  <c r="N12" i="7"/>
  <c r="M12" i="7"/>
  <c r="L12" i="7"/>
  <c r="K12" i="7"/>
  <c r="J12" i="7"/>
  <c r="I12" i="7"/>
  <c r="H12" i="7"/>
  <c r="G12" i="7"/>
  <c r="F12" i="7"/>
  <c r="E12" i="7"/>
  <c r="N10" i="7"/>
  <c r="N31" i="7" s="1"/>
  <c r="M10" i="7"/>
  <c r="M31" i="7" s="1"/>
  <c r="L10" i="7"/>
  <c r="L31" i="7" s="1"/>
  <c r="K10" i="7"/>
  <c r="K31" i="7" s="1"/>
  <c r="J10" i="7"/>
  <c r="J31" i="7" s="1"/>
  <c r="F10" i="7"/>
  <c r="G10" i="7" s="1"/>
  <c r="E7" i="7"/>
  <c r="B7" i="7"/>
  <c r="N6" i="7"/>
  <c r="N7" i="7" s="1"/>
  <c r="M6" i="7"/>
  <c r="M7" i="7" s="1"/>
  <c r="L6" i="7"/>
  <c r="L7" i="7" s="1"/>
  <c r="K6" i="7"/>
  <c r="K7" i="7" s="1"/>
  <c r="J6" i="7"/>
  <c r="J7" i="7" s="1"/>
  <c r="F4" i="7"/>
  <c r="G4" i="7" s="1"/>
  <c r="H4" i="7" s="1"/>
  <c r="I4" i="7" s="1"/>
  <c r="J4" i="7" s="1"/>
  <c r="K4" i="7" s="1"/>
  <c r="L4" i="7" s="1"/>
  <c r="M4" i="7" s="1"/>
  <c r="N4" i="7" s="1"/>
  <c r="B1" i="7"/>
  <c r="B38" i="6"/>
  <c r="P37" i="6"/>
  <c r="P36" i="6"/>
  <c r="P35" i="6"/>
  <c r="O34" i="6"/>
  <c r="O38" i="6" s="1"/>
  <c r="O31" i="6"/>
  <c r="I31" i="6"/>
  <c r="B31" i="6"/>
  <c r="P22" i="6"/>
  <c r="P21" i="6"/>
  <c r="M17" i="6"/>
  <c r="L17" i="6"/>
  <c r="K17" i="6"/>
  <c r="J17" i="6"/>
  <c r="I17" i="6"/>
  <c r="O13" i="6"/>
  <c r="O12" i="6"/>
  <c r="O10" i="6"/>
  <c r="O9" i="6"/>
  <c r="P34" i="6"/>
  <c r="P38" i="6" s="1"/>
  <c r="P5" i="6"/>
  <c r="P6" i="6" s="1"/>
  <c r="J5" i="6"/>
  <c r="K5" i="6" s="1"/>
  <c r="L5" i="6" s="1"/>
  <c r="M5" i="6" s="1"/>
  <c r="B1" i="6"/>
  <c r="G15" i="5"/>
  <c r="G13" i="5"/>
  <c r="K18" i="3" s="1"/>
  <c r="K20" i="3" s="1"/>
  <c r="F13" i="5"/>
  <c r="E13" i="5"/>
  <c r="D13" i="5"/>
  <c r="D16" i="5" s="1"/>
  <c r="C13" i="5"/>
  <c r="C20" i="5" s="1"/>
  <c r="D4" i="5"/>
  <c r="E4" i="5" s="1"/>
  <c r="F4" i="5" s="1"/>
  <c r="G4" i="5" s="1"/>
  <c r="B1" i="5"/>
  <c r="B82" i="4"/>
  <c r="J79" i="4"/>
  <c r="K79" i="4" s="1"/>
  <c r="L79" i="4" s="1"/>
  <c r="M79" i="4" s="1"/>
  <c r="J78" i="4"/>
  <c r="M73" i="4"/>
  <c r="H34" i="2" s="1"/>
  <c r="B73" i="4"/>
  <c r="I73" i="4"/>
  <c r="D34" i="2" s="1"/>
  <c r="I64" i="4"/>
  <c r="D33" i="2" s="1"/>
  <c r="B64" i="4"/>
  <c r="B57" i="4"/>
  <c r="I55" i="4"/>
  <c r="B48" i="4"/>
  <c r="I47" i="4"/>
  <c r="B43" i="4"/>
  <c r="I41" i="4"/>
  <c r="I43" i="4" s="1"/>
  <c r="D30" i="2" s="1"/>
  <c r="M38" i="4"/>
  <c r="L38" i="4"/>
  <c r="K38" i="4"/>
  <c r="J38" i="4"/>
  <c r="E29" i="2" s="1"/>
  <c r="I38" i="4"/>
  <c r="D29" i="2" s="1"/>
  <c r="B38" i="4"/>
  <c r="I33" i="4"/>
  <c r="D28" i="2" s="1"/>
  <c r="B33" i="4"/>
  <c r="J31" i="4"/>
  <c r="B17" i="4"/>
  <c r="J6" i="4"/>
  <c r="J5" i="4"/>
  <c r="K5" i="4" s="1"/>
  <c r="L5" i="4" s="1"/>
  <c r="M5" i="4" s="1"/>
  <c r="B1" i="4"/>
  <c r="U36" i="3"/>
  <c r="T36" i="3"/>
  <c r="K36" i="3"/>
  <c r="J36" i="3"/>
  <c r="B36" i="3"/>
  <c r="U35" i="3"/>
  <c r="T35" i="3"/>
  <c r="U34" i="3"/>
  <c r="U37" i="3" s="1"/>
  <c r="U39" i="3" s="1"/>
  <c r="T34" i="3"/>
  <c r="T37" i="3" s="1"/>
  <c r="T39" i="3" s="1"/>
  <c r="G36" i="3"/>
  <c r="V32" i="3"/>
  <c r="V31" i="3"/>
  <c r="V30" i="3"/>
  <c r="B29" i="3"/>
  <c r="B20" i="3"/>
  <c r="J18" i="3"/>
  <c r="I18" i="3"/>
  <c r="U17" i="3"/>
  <c r="T17" i="3"/>
  <c r="B15" i="3"/>
  <c r="G9" i="3"/>
  <c r="H9" i="3" s="1"/>
  <c r="I9" i="3" s="1"/>
  <c r="J9" i="3" s="1"/>
  <c r="K9" i="3" s="1"/>
  <c r="H6" i="3"/>
  <c r="I6" i="3" s="1"/>
  <c r="H5" i="3"/>
  <c r="I5" i="3" s="1"/>
  <c r="J5" i="3" s="1"/>
  <c r="K5" i="3" s="1"/>
  <c r="B1" i="3"/>
  <c r="H20" i="2"/>
  <c r="G20" i="2"/>
  <c r="F20" i="2"/>
  <c r="E20" i="2"/>
  <c r="D20" i="2"/>
  <c r="H15" i="2"/>
  <c r="G15" i="2"/>
  <c r="F15" i="2"/>
  <c r="E15" i="2"/>
  <c r="P11" i="6" l="1"/>
  <c r="Q27" i="6"/>
  <c r="J29" i="4"/>
  <c r="J30" i="4"/>
  <c r="Q23" i="6"/>
  <c r="Q28" i="6"/>
  <c r="Q24" i="6"/>
  <c r="Q29" i="6"/>
  <c r="Q25" i="6"/>
  <c r="Q30" i="6"/>
  <c r="I40" i="6"/>
  <c r="J73" i="4" s="1"/>
  <c r="E34" i="2" s="1"/>
  <c r="J40" i="6"/>
  <c r="J15" i="4" s="1"/>
  <c r="P14" i="6"/>
  <c r="P15" i="6"/>
  <c r="L40" i="6"/>
  <c r="L15" i="4" s="1"/>
  <c r="J34" i="7"/>
  <c r="L34" i="7"/>
  <c r="K40" i="6"/>
  <c r="K15" i="4" s="1"/>
  <c r="M40" i="6"/>
  <c r="M15" i="4" s="1"/>
  <c r="K34" i="7"/>
  <c r="M34" i="7"/>
  <c r="N34" i="7"/>
  <c r="O17" i="6"/>
  <c r="O40" i="6" s="1"/>
  <c r="I10" i="4" s="1"/>
  <c r="I14" i="4" s="1"/>
  <c r="G31" i="7"/>
  <c r="G34" i="7" s="1"/>
  <c r="E16" i="5"/>
  <c r="E17" i="5" s="1"/>
  <c r="I11" i="3" s="1"/>
  <c r="J6" i="3"/>
  <c r="K6" i="3" s="1"/>
  <c r="K27" i="3" s="1"/>
  <c r="H16" i="2" s="1"/>
  <c r="T25" i="3"/>
  <c r="T24" i="3"/>
  <c r="T23" i="3"/>
  <c r="U25" i="3"/>
  <c r="U24" i="3"/>
  <c r="U23" i="3"/>
  <c r="K78" i="4"/>
  <c r="H26" i="3"/>
  <c r="E17" i="2" s="1"/>
  <c r="F20" i="5"/>
  <c r="F16" i="5"/>
  <c r="F17" i="5" s="1"/>
  <c r="J11" i="3" s="1"/>
  <c r="G20" i="5"/>
  <c r="G16" i="5"/>
  <c r="G17" i="5" s="1"/>
  <c r="K11" i="3" s="1"/>
  <c r="Q5" i="6"/>
  <c r="Q22" i="6"/>
  <c r="P31" i="6"/>
  <c r="F6" i="7"/>
  <c r="F7" i="7" s="1"/>
  <c r="G6" i="7" s="1"/>
  <c r="G7" i="7" s="1"/>
  <c r="H6" i="7" s="1"/>
  <c r="H7" i="7" s="1"/>
  <c r="E34" i="7"/>
  <c r="F31" i="7"/>
  <c r="F34" i="7" s="1"/>
  <c r="I6" i="7"/>
  <c r="I7" i="7" s="1"/>
  <c r="K6" i="4"/>
  <c r="K46" i="4" s="1"/>
  <c r="I20" i="3"/>
  <c r="F10" i="2"/>
  <c r="F11" i="2" s="1"/>
  <c r="E7" i="2"/>
  <c r="J22" i="4"/>
  <c r="K22" i="4" s="1"/>
  <c r="L22" i="4" s="1"/>
  <c r="M22" i="4" s="1"/>
  <c r="H10" i="7"/>
  <c r="J47" i="4"/>
  <c r="J27" i="3"/>
  <c r="G16" i="2" s="1"/>
  <c r="J41" i="4"/>
  <c r="J43" i="4" s="1"/>
  <c r="E30" i="2" s="1"/>
  <c r="J55" i="4"/>
  <c r="J64" i="4"/>
  <c r="J20" i="3"/>
  <c r="G10" i="2"/>
  <c r="G11" i="2" s="1"/>
  <c r="P9" i="6"/>
  <c r="Q35" i="6"/>
  <c r="P10" i="6"/>
  <c r="P12" i="6"/>
  <c r="H10" i="2"/>
  <c r="H11" i="2" s="1"/>
  <c r="D20" i="5"/>
  <c r="H18" i="3"/>
  <c r="C16" i="5"/>
  <c r="C17" i="5" s="1"/>
  <c r="G11" i="3" s="1"/>
  <c r="D6" i="2" s="1"/>
  <c r="E20" i="5"/>
  <c r="J32" i="4"/>
  <c r="D17" i="5"/>
  <c r="I27" i="3"/>
  <c r="F16" i="2" s="1"/>
  <c r="I46" i="4"/>
  <c r="I48" i="4" s="1"/>
  <c r="D31" i="2" s="1"/>
  <c r="G27" i="3"/>
  <c r="D16" i="2" s="1"/>
  <c r="J46" i="4"/>
  <c r="H27" i="3"/>
  <c r="E16" i="2" s="1"/>
  <c r="K12" i="4" l="1"/>
  <c r="I43" i="6"/>
  <c r="K24" i="3"/>
  <c r="H14" i="2" s="1"/>
  <c r="J24" i="3"/>
  <c r="G14" i="2" s="1"/>
  <c r="J33" i="4"/>
  <c r="I15" i="4"/>
  <c r="I53" i="4"/>
  <c r="I54" i="4"/>
  <c r="J12" i="3"/>
  <c r="G7" i="2" s="1"/>
  <c r="K12" i="3"/>
  <c r="H7" i="2" s="1"/>
  <c r="K32" i="4"/>
  <c r="K24" i="4"/>
  <c r="K30" i="4"/>
  <c r="K29" i="4"/>
  <c r="I12" i="4"/>
  <c r="I52" i="4"/>
  <c r="J43" i="6"/>
  <c r="J54" i="4"/>
  <c r="J53" i="4"/>
  <c r="J12" i="4"/>
  <c r="J52" i="4"/>
  <c r="K73" i="4"/>
  <c r="L43" i="6"/>
  <c r="L12" i="4"/>
  <c r="I16" i="4"/>
  <c r="K43" i="6"/>
  <c r="I13" i="4"/>
  <c r="I11" i="4"/>
  <c r="M43" i="6"/>
  <c r="R5" i="6"/>
  <c r="R6" i="6" s="1"/>
  <c r="Q6" i="6"/>
  <c r="R27" i="6" s="1"/>
  <c r="M12" i="4"/>
  <c r="P13" i="6"/>
  <c r="P17" i="6" s="1"/>
  <c r="P40" i="6" s="1"/>
  <c r="J10" i="4" s="1"/>
  <c r="Q36" i="6"/>
  <c r="J26" i="3"/>
  <c r="G17" i="2" s="1"/>
  <c r="K26" i="3"/>
  <c r="H17" i="2" s="1"/>
  <c r="K64" i="4"/>
  <c r="F33" i="2" s="1"/>
  <c r="I12" i="3"/>
  <c r="F7" i="2" s="1"/>
  <c r="I26" i="3"/>
  <c r="F17" i="2" s="1"/>
  <c r="G12" i="3"/>
  <c r="Q37" i="6"/>
  <c r="Q34" i="6"/>
  <c r="Q38" i="6" s="1"/>
  <c r="Q21" i="6"/>
  <c r="L78" i="4"/>
  <c r="J15" i="3"/>
  <c r="G8" i="2"/>
  <c r="K53" i="4"/>
  <c r="K55" i="4"/>
  <c r="K54" i="4"/>
  <c r="K41" i="4"/>
  <c r="K43" i="4" s="1"/>
  <c r="K52" i="4"/>
  <c r="L73" i="4"/>
  <c r="G34" i="2" s="1"/>
  <c r="K47" i="4"/>
  <c r="K48" i="4" s="1"/>
  <c r="F31" i="2" s="1"/>
  <c r="L6" i="4"/>
  <c r="D18" i="2"/>
  <c r="G29" i="3"/>
  <c r="H13" i="2"/>
  <c r="G20" i="3"/>
  <c r="D10" i="2"/>
  <c r="D11" i="2" s="1"/>
  <c r="H11" i="3"/>
  <c r="G13" i="2"/>
  <c r="H6" i="2"/>
  <c r="J48" i="4"/>
  <c r="E31" i="2" s="1"/>
  <c r="H31" i="7"/>
  <c r="H34" i="7" s="1"/>
  <c r="I10" i="7"/>
  <c r="I31" i="7" s="1"/>
  <c r="I34" i="7" s="1"/>
  <c r="K31" i="4"/>
  <c r="E14" i="2"/>
  <c r="I24" i="3"/>
  <c r="F14" i="2" s="1"/>
  <c r="E10" i="2"/>
  <c r="E11" i="2" s="1"/>
  <c r="H20" i="3"/>
  <c r="R11" i="6" l="1"/>
  <c r="S27" i="6"/>
  <c r="R35" i="6"/>
  <c r="Q11" i="6"/>
  <c r="R34" i="6"/>
  <c r="R38" i="6" s="1"/>
  <c r="Q9" i="6"/>
  <c r="R22" i="6"/>
  <c r="K33" i="4"/>
  <c r="F28" i="2" s="1"/>
  <c r="I57" i="4"/>
  <c r="D32" i="2" s="1"/>
  <c r="J57" i="4"/>
  <c r="E32" i="2" s="1"/>
  <c r="H8" i="2"/>
  <c r="K15" i="3"/>
  <c r="J29" i="3"/>
  <c r="J39" i="3" s="1"/>
  <c r="G15" i="3"/>
  <c r="D7" i="2"/>
  <c r="D8" i="2" s="1"/>
  <c r="L31" i="4"/>
  <c r="L29" i="4"/>
  <c r="L30" i="4"/>
  <c r="L24" i="4"/>
  <c r="I15" i="3"/>
  <c r="R23" i="6"/>
  <c r="R28" i="6"/>
  <c r="R24" i="6"/>
  <c r="R29" i="6"/>
  <c r="R25" i="6"/>
  <c r="R30" i="6"/>
  <c r="Q13" i="6"/>
  <c r="S23" i="6"/>
  <c r="S28" i="6"/>
  <c r="S24" i="6"/>
  <c r="S29" i="6"/>
  <c r="S25" i="6"/>
  <c r="S30" i="6"/>
  <c r="R36" i="6"/>
  <c r="S5" i="6"/>
  <c r="S6" i="6" s="1"/>
  <c r="I17" i="4"/>
  <c r="D27" i="2" s="1"/>
  <c r="S15" i="6"/>
  <c r="S14" i="6"/>
  <c r="Q12" i="6"/>
  <c r="Q15" i="6"/>
  <c r="Q14" i="6"/>
  <c r="R15" i="6"/>
  <c r="R14" i="6"/>
  <c r="K57" i="4"/>
  <c r="F32" i="2" s="1"/>
  <c r="R21" i="6"/>
  <c r="R37" i="6"/>
  <c r="Q10" i="6"/>
  <c r="Q31" i="6"/>
  <c r="G18" i="2"/>
  <c r="G24" i="2" s="1"/>
  <c r="K29" i="3"/>
  <c r="H18" i="2"/>
  <c r="F8" i="2"/>
  <c r="E28" i="2"/>
  <c r="M78" i="4"/>
  <c r="L82" i="4"/>
  <c r="R10" i="6"/>
  <c r="S34" i="6"/>
  <c r="S21" i="6"/>
  <c r="S22" i="6"/>
  <c r="R9" i="6"/>
  <c r="S35" i="6"/>
  <c r="R12" i="6"/>
  <c r="S36" i="6"/>
  <c r="R13" i="6"/>
  <c r="S37" i="6"/>
  <c r="H15" i="3"/>
  <c r="E8" i="2"/>
  <c r="L64" i="4"/>
  <c r="G33" i="2" s="1"/>
  <c r="F13" i="2"/>
  <c r="F18" i="2" s="1"/>
  <c r="I29" i="3"/>
  <c r="E13" i="2"/>
  <c r="E18" i="2" s="1"/>
  <c r="H29" i="3"/>
  <c r="J13" i="4"/>
  <c r="J16" i="4"/>
  <c r="J11" i="4"/>
  <c r="J14" i="4"/>
  <c r="L55" i="4"/>
  <c r="L47" i="4"/>
  <c r="L53" i="4"/>
  <c r="L41" i="4"/>
  <c r="L43" i="4" s="1"/>
  <c r="L46" i="4"/>
  <c r="L52" i="4"/>
  <c r="M6" i="4"/>
  <c r="L54" i="4"/>
  <c r="L32" i="4"/>
  <c r="S10" i="6" l="1"/>
  <c r="S11" i="6"/>
  <c r="S13" i="6"/>
  <c r="S12" i="6"/>
  <c r="S9" i="6"/>
  <c r="M31" i="4"/>
  <c r="L33" i="4"/>
  <c r="G28" i="2" s="1"/>
  <c r="K82" i="4"/>
  <c r="G35" i="2"/>
  <c r="D51" i="2"/>
  <c r="G51" i="2"/>
  <c r="H24" i="2"/>
  <c r="H51" i="2" s="1"/>
  <c r="I82" i="4"/>
  <c r="J82" i="4"/>
  <c r="S38" i="6"/>
  <c r="R31" i="6"/>
  <c r="G39" i="3"/>
  <c r="M82" i="4"/>
  <c r="K39" i="3"/>
  <c r="L48" i="4"/>
  <c r="G31" i="2" s="1"/>
  <c r="M29" i="4"/>
  <c r="M24" i="4"/>
  <c r="M30" i="4"/>
  <c r="Q17" i="6"/>
  <c r="Q40" i="6" s="1"/>
  <c r="K10" i="4" s="1"/>
  <c r="K16" i="4" s="1"/>
  <c r="J17" i="4"/>
  <c r="R17" i="6"/>
  <c r="S31" i="6"/>
  <c r="M64" i="4"/>
  <c r="H33" i="2" s="1"/>
  <c r="M53" i="4"/>
  <c r="M55" i="4"/>
  <c r="M47" i="4"/>
  <c r="M52" i="4"/>
  <c r="M46" i="4"/>
  <c r="M48" i="4" s="1"/>
  <c r="H31" i="2" s="1"/>
  <c r="M41" i="4"/>
  <c r="M43" i="4" s="1"/>
  <c r="M54" i="4"/>
  <c r="M32" i="4"/>
  <c r="L57" i="4"/>
  <c r="G32" i="2" s="1"/>
  <c r="D38" i="2" l="1"/>
  <c r="D52" i="2" s="1"/>
  <c r="D53" i="2" s="1"/>
  <c r="D54" i="2" s="1"/>
  <c r="D55" i="2" s="1"/>
  <c r="S17" i="6"/>
  <c r="M33" i="4"/>
  <c r="H28" i="2" s="1"/>
  <c r="J86" i="4"/>
  <c r="I86" i="4"/>
  <c r="H35" i="2"/>
  <c r="I36" i="3"/>
  <c r="I39" i="3" s="1"/>
  <c r="H36" i="3"/>
  <c r="H39" i="3" s="1"/>
  <c r="R40" i="6"/>
  <c r="L10" i="4" s="1"/>
  <c r="L11" i="4" s="1"/>
  <c r="K13" i="4"/>
  <c r="K14" i="4"/>
  <c r="K11" i="4"/>
  <c r="E27" i="2"/>
  <c r="M57" i="4"/>
  <c r="H32" i="2" s="1"/>
  <c r="S40" i="6"/>
  <c r="M10" i="4" s="1"/>
  <c r="E38" i="2" l="1"/>
  <c r="D40" i="2"/>
  <c r="D43" i="2" s="1"/>
  <c r="E42" i="2" s="1"/>
  <c r="F24" i="2"/>
  <c r="F51" i="2" s="1"/>
  <c r="E24" i="2"/>
  <c r="E51" i="2" s="1"/>
  <c r="L16" i="4"/>
  <c r="L14" i="4"/>
  <c r="L13" i="4"/>
  <c r="K17" i="4"/>
  <c r="M14" i="4"/>
  <c r="M13" i="4"/>
  <c r="M11" i="4"/>
  <c r="M16" i="4"/>
  <c r="E40" i="2" l="1"/>
  <c r="E43" i="2" s="1"/>
  <c r="F42" i="2" s="1"/>
  <c r="F27" i="2"/>
  <c r="K86" i="4"/>
  <c r="E52" i="2"/>
  <c r="E53" i="2" s="1"/>
  <c r="E54" i="2" s="1"/>
  <c r="E55" i="2" s="1"/>
  <c r="L17" i="4"/>
  <c r="L86" i="4" s="1"/>
  <c r="M17" i="4"/>
  <c r="M86" i="4" s="1"/>
  <c r="F38" i="2" l="1"/>
  <c r="F40" i="2" s="1"/>
  <c r="F43" i="2" s="1"/>
  <c r="G42" i="2" s="1"/>
  <c r="G27" i="2"/>
  <c r="H27" i="2"/>
  <c r="H38" i="2" s="1"/>
  <c r="F52" i="2" l="1"/>
  <c r="F53" i="2" s="1"/>
  <c r="F54" i="2" s="1"/>
  <c r="F55" i="2" s="1"/>
  <c r="G38" i="2"/>
  <c r="G52" i="2" s="1"/>
  <c r="G53" i="2" s="1"/>
  <c r="H40" i="2"/>
  <c r="H52" i="2"/>
  <c r="H53" i="2" s="1"/>
  <c r="K14" i="9"/>
  <c r="J4" i="9"/>
  <c r="J14" i="9" s="1"/>
  <c r="G40" i="2" l="1"/>
  <c r="G43" i="2" s="1"/>
  <c r="H42" i="2" s="1"/>
  <c r="H43" i="2" s="1"/>
  <c r="G54" i="2"/>
  <c r="G55" i="2" s="1"/>
  <c r="H54" i="2" l="1"/>
  <c r="H55" i="2" s="1"/>
  <c r="C8" i="11"/>
  <c r="C7" i="11"/>
  <c r="C10" i="11"/>
  <c r="C11" i="11"/>
  <c r="C12" i="11"/>
  <c r="C4" i="11"/>
  <c r="C5" i="11"/>
  <c r="C6" i="11"/>
  <c r="C3" i="11"/>
  <c r="C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Kevin, Corcoran</author>
  </authors>
  <commentList>
    <comment ref="I13" authorId="0" shapeId="0" xr:uid="{2A36952D-2295-427D-B67F-6CDDB1A282C4}">
      <text>
        <r>
          <rPr>
            <b/>
            <sz val="9"/>
            <color indexed="81"/>
            <rFont val="Tahoma"/>
            <family val="2"/>
          </rPr>
          <t>Kevin, Corcoran:</t>
        </r>
        <r>
          <rPr>
            <sz val="9"/>
            <color indexed="81"/>
            <rFont val="Tahoma"/>
            <family val="2"/>
          </rPr>
          <t xml:space="preserve">
Added in Year 1 and 2 for version 2</t>
        </r>
      </text>
    </comment>
    <comment ref="J13" authorId="0" shapeId="0" xr:uid="{B563D572-813A-451E-AADD-E250F6E67D11}">
      <text>
        <r>
          <rPr>
            <b/>
            <sz val="9"/>
            <color indexed="81"/>
            <rFont val="Tahoma"/>
            <family val="2"/>
          </rPr>
          <t>Kevin, Corcoran:</t>
        </r>
        <r>
          <rPr>
            <sz val="9"/>
            <color indexed="81"/>
            <rFont val="Tahoma"/>
            <family val="2"/>
          </rPr>
          <t xml:space="preserve">
Added in Year 1 and 2 for version 2</t>
        </r>
      </text>
    </comment>
    <comment ref="B14" authorId="0" shapeId="0" xr:uid="{E383F39B-05B9-4EF1-B5CF-DB6589120A0B}">
      <text>
        <r>
          <rPr>
            <b/>
            <sz val="9"/>
            <color indexed="81"/>
            <rFont val="Tahoma"/>
            <family val="2"/>
          </rPr>
          <t>Kevin, Corcoran:</t>
        </r>
        <r>
          <rPr>
            <sz val="9"/>
            <color indexed="81"/>
            <rFont val="Tahoma"/>
            <family val="2"/>
          </rPr>
          <t xml:space="preserve">
Substituted this position in for Business Manager.  This position is essential regardless, and Business Manager is an unnecessary expense if using external Finance/Accounting service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<sst xmlns="http://schemas.openxmlformats.org/spreadsheetml/2006/main" count="479" uniqueCount="276">
  <si>
    <t>intro &amp; assumptions</t>
  </si>
  <si>
    <t>worksheet key</t>
  </si>
  <si>
    <t xml:space="preserve"> = input (flexible) cells</t>
  </si>
  <si>
    <t>notes</t>
  </si>
  <si>
    <t>general notes</t>
  </si>
  <si>
    <t>• all expenses &amp; revenues are variable based on # of students, staff members, etc; these variables are explicitly stated in each line item</t>
  </si>
  <si>
    <t>key sensitivities</t>
  </si>
  <si>
    <t>• labor cost is the major expense driver; salaries are currently estimated to rise at the rate of inflation, but this is uncertain</t>
  </si>
  <si>
    <t xml:space="preserve"> </t>
  </si>
  <si>
    <t>Revenues</t>
  </si>
  <si>
    <t>Local</t>
  </si>
  <si>
    <t>Per pupil funding - regular education</t>
  </si>
  <si>
    <t>Per pupil funding - special education</t>
  </si>
  <si>
    <t>Total local funding</t>
  </si>
  <si>
    <t>State</t>
  </si>
  <si>
    <t>Rent Reimbursement</t>
  </si>
  <si>
    <t>Total state funding</t>
  </si>
  <si>
    <t>Federal</t>
  </si>
  <si>
    <t>Title I</t>
  </si>
  <si>
    <t>Title II</t>
  </si>
  <si>
    <t>Title IV</t>
  </si>
  <si>
    <t>Federal Lunch Program</t>
  </si>
  <si>
    <t>IDEA pass-through</t>
  </si>
  <si>
    <t>Total federal funding</t>
  </si>
  <si>
    <t>Other</t>
  </si>
  <si>
    <t>Private contributions/grants</t>
  </si>
  <si>
    <t>Total Revenues</t>
  </si>
  <si>
    <t>Expenditures</t>
  </si>
  <si>
    <t>Personnel expenses</t>
  </si>
  <si>
    <t>Contracted services</t>
  </si>
  <si>
    <t>Student activities</t>
  </si>
  <si>
    <t>Insurance</t>
  </si>
  <si>
    <t>Consumable supplies</t>
  </si>
  <si>
    <t>Travel, telephone, printing</t>
  </si>
  <si>
    <t>Books/instructional aids</t>
  </si>
  <si>
    <t>Furniture/equipment</t>
  </si>
  <si>
    <t>Facility costs</t>
  </si>
  <si>
    <t>Total Expenditures</t>
  </si>
  <si>
    <t>Net change in fund balance</t>
  </si>
  <si>
    <t>Beginning fund balance</t>
  </si>
  <si>
    <t>Ending fund balance</t>
  </si>
  <si>
    <t>revenues</t>
  </si>
  <si>
    <t>revenue inflation rate &gt;&gt;</t>
  </si>
  <si>
    <t>driver #1</t>
  </si>
  <si>
    <t>driver #2</t>
  </si>
  <si>
    <t>Notes</t>
  </si>
  <si>
    <t>Source</t>
  </si>
  <si>
    <t>revenue growth factor</t>
  </si>
  <si>
    <t>Rates</t>
  </si>
  <si>
    <t>local revenues</t>
  </si>
  <si>
    <t>Reg</t>
  </si>
  <si>
    <t>Sped</t>
  </si>
  <si>
    <r>
      <rPr>
        <sz val="10"/>
        <color rgb="FF000000"/>
        <rFont val="Arial Bold"/>
      </rPr>
      <t>driver</t>
    </r>
    <r>
      <rPr>
        <sz val="10"/>
        <color rgb="FF000000"/>
        <rFont val="Arial"/>
        <family val="2"/>
      </rPr>
      <t>:   projected annual per pupil increase</t>
    </r>
  </si>
  <si>
    <t>Penn Hills Sd</t>
  </si>
  <si>
    <t>projected annual per pupil growth factor</t>
  </si>
  <si>
    <t>Pitt</t>
  </si>
  <si>
    <t>Woodland Hill</t>
  </si>
  <si>
    <t>Per pupil - RegEd</t>
  </si>
  <si>
    <t>historical info</t>
  </si>
  <si>
    <t>Per pupil - SpEd</t>
  </si>
  <si>
    <t>Students</t>
  </si>
  <si>
    <t>state revenues</t>
  </si>
  <si>
    <t>per pupil</t>
  </si>
  <si>
    <t>market aid ratio</t>
  </si>
  <si>
    <t>federal revenues</t>
  </si>
  <si>
    <t>per applicable stud.</t>
  </si>
  <si>
    <t>Title Iv</t>
  </si>
  <si>
    <t>Lunch program</t>
  </si>
  <si>
    <t>other revenues</t>
  </si>
  <si>
    <t>total</t>
  </si>
  <si>
    <t>Average - rates</t>
  </si>
  <si>
    <t xml:space="preserve">expenses </t>
  </si>
  <si>
    <t>expense inflation rate &gt;&gt;</t>
  </si>
  <si>
    <t>function</t>
  </si>
  <si>
    <t>object</t>
  </si>
  <si>
    <t>expense growth factor</t>
  </si>
  <si>
    <t>personnel expenses</t>
  </si>
  <si>
    <t>Salaries</t>
  </si>
  <si>
    <t>"Personnel" tab</t>
  </si>
  <si>
    <t>Health &amp; dental ins</t>
  </si>
  <si>
    <t>of tot. salary</t>
  </si>
  <si>
    <t>real growth rate</t>
  </si>
  <si>
    <t>Life/disability ins</t>
  </si>
  <si>
    <t>per employee</t>
  </si>
  <si>
    <t>FICA</t>
  </si>
  <si>
    <t>403(b)</t>
  </si>
  <si>
    <t>annual rate</t>
  </si>
  <si>
    <t>unemployment ins</t>
  </si>
  <si>
    <t>of 1st $8K earned</t>
  </si>
  <si>
    <t>workers comp</t>
  </si>
  <si>
    <t>contracted services</t>
  </si>
  <si>
    <t>Business Services</t>
  </si>
  <si>
    <t>base rate</t>
  </si>
  <si>
    <t>Audit Services</t>
  </si>
  <si>
    <t>Legal Services</t>
  </si>
  <si>
    <t>of per pupl revs</t>
  </si>
  <si>
    <t>Professional development</t>
  </si>
  <si>
    <t>Payroll Services</t>
  </si>
  <si>
    <t>per FTE</t>
  </si>
  <si>
    <t>Special Ed. Services</t>
  </si>
  <si>
    <t>Academic and Operational Support</t>
  </si>
  <si>
    <t>E-Rate management</t>
  </si>
  <si>
    <t>Food service</t>
  </si>
  <si>
    <t>student activities</t>
  </si>
  <si>
    <t>student services (field trips, etc.)</t>
  </si>
  <si>
    <t>After School &amp; extended Programs</t>
  </si>
  <si>
    <t>insurance</t>
  </si>
  <si>
    <t>property, general liability</t>
  </si>
  <si>
    <t>base</t>
  </si>
  <si>
    <t>consumable supplies</t>
  </si>
  <si>
    <t>administrative</t>
  </si>
  <si>
    <t>per student</t>
  </si>
  <si>
    <t>instructional</t>
  </si>
  <si>
    <t>other services</t>
  </si>
  <si>
    <t>travel</t>
  </si>
  <si>
    <t>telephone/internet</t>
  </si>
  <si>
    <t>printing &amp; binding</t>
  </si>
  <si>
    <t>postage &amp; shipping</t>
  </si>
  <si>
    <t>books/instructional aids</t>
  </si>
  <si>
    <t>instructional software</t>
  </si>
  <si>
    <t>special education</t>
  </si>
  <si>
    <t>per SE student</t>
  </si>
  <si>
    <t>equipment</t>
  </si>
  <si>
    <t>office furniture</t>
  </si>
  <si>
    <t>start-up</t>
  </si>
  <si>
    <t>student furniture</t>
  </si>
  <si>
    <t>staff computers</t>
  </si>
  <si>
    <t>per new FTE</t>
  </si>
  <si>
    <t>student technology</t>
  </si>
  <si>
    <t>software</t>
  </si>
  <si>
    <t>site costs</t>
  </si>
  <si>
    <t>per sq. ft.</t>
  </si>
  <si>
    <t>cleaning</t>
  </si>
  <si>
    <t>utilities</t>
  </si>
  <si>
    <t>repairs &amp; maintenance</t>
  </si>
  <si>
    <t>students</t>
  </si>
  <si>
    <t>% FRPL</t>
  </si>
  <si>
    <t># FRPL</t>
  </si>
  <si>
    <t>personnel</t>
  </si>
  <si>
    <t>salary inflation rate &gt;&gt;</t>
  </si>
  <si>
    <t>FTEs</t>
  </si>
  <si>
    <t>Salary Expense</t>
  </si>
  <si>
    <t>Position</t>
  </si>
  <si>
    <t>Function</t>
  </si>
  <si>
    <t xml:space="preserve">Base salary </t>
  </si>
  <si>
    <t>inflation index</t>
  </si>
  <si>
    <t>Principal</t>
  </si>
  <si>
    <t>$ / FTE</t>
  </si>
  <si>
    <t>$/ FTE</t>
  </si>
  <si>
    <t>student-to-staff ratio</t>
  </si>
  <si>
    <t>facilities</t>
  </si>
  <si>
    <t>classroom/instructional space</t>
  </si>
  <si>
    <t>sq. ft. per pupil</t>
  </si>
  <si>
    <t xml:space="preserve">  </t>
  </si>
  <si>
    <t>office space</t>
  </si>
  <si>
    <t>sq. ft. office space</t>
  </si>
  <si>
    <t>sq. ft. per office</t>
  </si>
  <si>
    <t>Valley Forge Public Service Academy</t>
  </si>
  <si>
    <t xml:space="preserve">ENROLLMENT </t>
  </si>
  <si>
    <t xml:space="preserve">STAFFING </t>
  </si>
  <si>
    <t xml:space="preserve">Grades </t>
  </si>
  <si>
    <t>Admin</t>
  </si>
  <si>
    <t xml:space="preserve">Commandant </t>
  </si>
  <si>
    <t xml:space="preserve">Pupil Services </t>
  </si>
  <si>
    <t>Counselor</t>
  </si>
  <si>
    <t>Business Manager</t>
  </si>
  <si>
    <t>Secretary</t>
  </si>
  <si>
    <t>Teachers</t>
  </si>
  <si>
    <t>6th Grade Teaacher</t>
  </si>
  <si>
    <t>Math</t>
  </si>
  <si>
    <t>Ela</t>
  </si>
  <si>
    <t>Science</t>
  </si>
  <si>
    <t xml:space="preserve">Social Studies </t>
  </si>
  <si>
    <t>Gym</t>
  </si>
  <si>
    <t>Elective</t>
  </si>
  <si>
    <t xml:space="preserve">Special Ed </t>
  </si>
  <si>
    <t>Non-Certified</t>
  </si>
  <si>
    <t xml:space="preserve">Dean of Students </t>
  </si>
  <si>
    <t>Para</t>
  </si>
  <si>
    <t>Total FTE</t>
  </si>
  <si>
    <t>Approach 1</t>
  </si>
  <si>
    <t>District</t>
  </si>
  <si>
    <t>Gen Ed</t>
  </si>
  <si>
    <t>Special Ed</t>
  </si>
  <si>
    <t>Gen Ed Rate</t>
  </si>
  <si>
    <t>Special Ed Rate</t>
  </si>
  <si>
    <t>% of Population</t>
  </si>
  <si>
    <t>$$ Contribution</t>
  </si>
  <si>
    <t>Radnor Township</t>
  </si>
  <si>
    <t>Upper Darby</t>
  </si>
  <si>
    <t>Lower Merion</t>
  </si>
  <si>
    <t>Marple Newtown</t>
  </si>
  <si>
    <t>Haverford</t>
  </si>
  <si>
    <t>Philadelphia</t>
  </si>
  <si>
    <t>Colonial</t>
  </si>
  <si>
    <t>Tredyffrin-Easttown</t>
  </si>
  <si>
    <t>6th Grade Teacher</t>
  </si>
  <si>
    <t>ELA</t>
  </si>
  <si>
    <t>Transportation</t>
  </si>
  <si>
    <t>Marketing / Enrollment</t>
  </si>
  <si>
    <r>
      <rPr>
        <sz val="10"/>
        <color rgb="FF000000"/>
        <rFont val="Arial Bold"/>
      </rPr>
      <t>driver</t>
    </r>
    <r>
      <rPr>
        <sz val="10"/>
        <color rgb="FF000000"/>
        <rFont val="Arial"/>
        <family val="2"/>
      </rPr>
      <t>: projected annual ER Contribution rate</t>
    </r>
  </si>
  <si>
    <t>Approach 2</t>
  </si>
  <si>
    <t>Total</t>
  </si>
  <si>
    <t>• Health insurance expenses are projected to increase faster than inflation</t>
  </si>
  <si>
    <t>Norristown</t>
  </si>
  <si>
    <t>Valley Forge Public Service Academy Budget Projection (6-12)</t>
  </si>
  <si>
    <r>
      <t xml:space="preserve">• unless otherwise indicated in input columns/cells, </t>
    </r>
    <r>
      <rPr>
        <u/>
        <sz val="10"/>
        <color rgb="FF000000"/>
        <rFont val="Arial"/>
        <family val="2"/>
      </rPr>
      <t>3% inflation</t>
    </r>
    <r>
      <rPr>
        <sz val="10"/>
        <color rgb="FF000000"/>
        <rFont val="Arial"/>
        <family val="2"/>
      </rPr>
      <t xml:space="preserve"> is applied to all expenditures;  2% is applied to revenue streams</t>
    </r>
  </si>
  <si>
    <t>Nurse (Not included at this time)</t>
  </si>
  <si>
    <t>Social Worker (Not included)</t>
  </si>
  <si>
    <t># Special Ed</t>
  </si>
  <si>
    <t># General Ed</t>
  </si>
  <si>
    <t>Summary</t>
  </si>
  <si>
    <t>2026-27</t>
  </si>
  <si>
    <t>2027-28</t>
  </si>
  <si>
    <t>2028-29</t>
  </si>
  <si>
    <t>2029-30</t>
  </si>
  <si>
    <t>2030-31</t>
  </si>
  <si>
    <t>Net Income</t>
  </si>
  <si>
    <t>Fund Balance</t>
  </si>
  <si>
    <t>Adjacent</t>
  </si>
  <si>
    <t>Upper Merion</t>
  </si>
  <si>
    <t>% of Population
(suggested)</t>
  </si>
  <si>
    <t>Students by grade</t>
  </si>
  <si>
    <t>2025-26</t>
  </si>
  <si>
    <t>% Special Ed</t>
  </si>
  <si>
    <t>Secretary / Admin Support</t>
  </si>
  <si>
    <t xml:space="preserve">Director of Pupil Services </t>
  </si>
  <si>
    <t>CEO</t>
  </si>
  <si>
    <t>Business Operations Manager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</si>
  <si>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</si>
  <si>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</si>
  <si>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</si>
  <si>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</si>
  <si>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</si>
  <si>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</si>
  <si>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</si>
  <si>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</si>
  <si>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</si>
  <si>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</si>
  <si>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</si>
  <si>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</si>
  <si>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Private grant / loan</t>
  </si>
  <si>
    <t>School Improvement Partnership</t>
  </si>
  <si>
    <t>Legal Expenses</t>
  </si>
  <si>
    <t xml:space="preserve">Marketing </t>
  </si>
  <si>
    <t>TBD</t>
  </si>
  <si>
    <t>Administration</t>
  </si>
  <si>
    <t>Instruction</t>
  </si>
  <si>
    <t>Student Support</t>
  </si>
  <si>
    <t>Private contributions/Grants</t>
  </si>
  <si>
    <t>Financing expenses</t>
  </si>
  <si>
    <t>Loan repayment</t>
  </si>
  <si>
    <t>Enrollment Count</t>
  </si>
  <si>
    <t>Funding Info (based on 24-25 rates)</t>
  </si>
  <si>
    <t>Count By Year</t>
  </si>
  <si>
    <t>District Funding Rates (based on 24-25 rates)</t>
  </si>
  <si>
    <t xml:space="preserve">Median </t>
  </si>
  <si>
    <t>Estimated % 
of Student Population</t>
  </si>
  <si>
    <t>IT Services</t>
  </si>
  <si>
    <t>Loan from Foundation (subordinate note)</t>
  </si>
  <si>
    <t>Year</t>
  </si>
  <si>
    <t>Interest</t>
  </si>
  <si>
    <t>Ending Balance</t>
  </si>
  <si>
    <t>Total Annual Cost</t>
  </si>
  <si>
    <t>Health Services</t>
  </si>
  <si>
    <t>Asst Principal</t>
  </si>
  <si>
    <t>Reading /Math Specialist</t>
  </si>
  <si>
    <t>Fund Balance as %</t>
  </si>
  <si>
    <t>Art Teacher</t>
  </si>
  <si>
    <t>Career &amp; Technology</t>
  </si>
  <si>
    <t>School launch loan (Fleetway Capital)</t>
  </si>
  <si>
    <t>Loan (Fleetway)</t>
  </si>
  <si>
    <t>Loan (Foundation)</t>
  </si>
  <si>
    <t>Base Rent</t>
  </si>
  <si>
    <t>Additional Rent</t>
  </si>
  <si>
    <t>Loan repayment (Fleetway)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</si>
</sst>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_-&quot;$&quot;* \(#,##0\)_-;_-&quot;$&quot;* &quot;-&quot;??;_-@"/>
    <numFmt numFmtId="165" formatCode="\ * #,##0\ ;\ * \(#,##0\);\ * &quot;-&quot;\ "/>
    <numFmt numFmtId="166" formatCode="0.0%"/>
    <numFmt numFmtId="167" formatCode="\ * #,##0.00\ ;\ * \(#,##0.00\);\ * &quot;-&quot;??\ "/>
    <numFmt numFmtId="168" formatCode="_(* #,##0_);_(* \(#,##0\);_(* &quot;-&quot;??_);_(@_)"/>
    <numFmt numFmtId="169" formatCode="_-&quot;$&quot;* #,##0.00_-;_-&quot;$&quot;* \(#,##0.00\)_-;_-&quot;$&quot;* &quot;-&quot;??;_-@"/>
    <numFmt numFmtId="170" formatCode="_(&quot;$&quot;* #,##0_);_(&quot;$&quot;* \(#,##0\);_(&quot;$&quot;* &quot;-&quot;??_);_(@_)"/>
    <numFmt numFmtId="171" formatCode="&quot;$&quot;#,##0.00"/>
    <numFmt numFmtId="172" formatCode="0.0"/>
    <numFmt numFmtId="173" formatCode="\ * #,##0.0\ ;\ * \(#,##0.0\);\ * &quot;-&quot;\ "/>
  </numFmts>
  <fonts count="35">
    <font>
      <sz val="11"/>
      <color rgb="FF000000"/>
      <name val="Helvetica Neue"/>
      <scheme val="minor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Helvetica Neue"/>
      <family val="2"/>
    </font>
    <font>
      <b/>
      <sz val="10"/>
      <color rgb="FF000000"/>
      <name val="Arial"/>
      <family val="2"/>
    </font>
    <font>
      <b/>
      <sz val="11"/>
      <color rgb="FF000000"/>
      <name val="Helvetica Neue"/>
      <family val="2"/>
    </font>
    <font>
      <sz val="10"/>
      <color rgb="FF0000FF"/>
      <name val="Arial"/>
      <family val="2"/>
    </font>
    <font>
      <sz val="14"/>
      <color rgb="FF000000"/>
      <name val="Arial"/>
      <family val="2"/>
    </font>
    <font>
      <sz val="11"/>
      <name val="Helvetica Neue"/>
      <family val="2"/>
    </font>
    <font>
      <sz val="8"/>
      <color rgb="FF000000"/>
      <name val="Arial"/>
      <family val="2"/>
    </font>
    <font>
      <sz val="11"/>
      <color theme="1"/>
      <name val="Helvetica Neue"/>
      <family val="2"/>
    </font>
    <font>
      <sz val="10"/>
      <color rgb="FFFF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 Bold"/>
    </font>
    <font>
      <sz val="11"/>
      <color rgb="FF000000"/>
      <name val="Helvetica Neue"/>
      <family val="2"/>
      <scheme val="minor"/>
    </font>
    <font>
      <sz val="12"/>
      <color theme="1"/>
      <name val="Helvetica Neue"/>
      <family val="2"/>
      <scheme val="minor"/>
    </font>
    <font>
      <b/>
      <sz val="12"/>
      <color theme="1"/>
      <name val="Helvetica Neue"/>
      <family val="2"/>
      <scheme val="minor"/>
    </font>
    <font>
      <sz val="10"/>
      <color theme="1"/>
      <name val="Arial"/>
      <family val="2"/>
    </font>
    <font>
      <sz val="14"/>
      <color rgb="FF0070C0"/>
      <name val="Arial"/>
      <family val="2"/>
    </font>
    <font>
      <sz val="14"/>
      <color rgb="FF00B050"/>
      <name val="Arial"/>
      <family val="2"/>
    </font>
    <font>
      <sz val="16"/>
      <color rgb="FF000000"/>
      <name val="Arial"/>
      <family val="2"/>
    </font>
    <font>
      <sz val="8"/>
      <name val="Helvetica Neue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1"/>
      <color rgb="FF000000"/>
      <name val="Helvetica Neue"/>
      <family val="2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Helvetica Neue"/>
      <family val="2"/>
      <scheme val="minor"/>
    </font>
    <font>
      <sz val="14"/>
      <color rgb="FF0000FF"/>
      <name val="Arial"/>
      <family val="2"/>
    </font>
    <font>
      <sz val="14"/>
      <color rgb="FF000000"/>
      <name val="Helvetica Neue"/>
      <family val="2"/>
    </font>
    <font>
      <sz val="10"/>
      <name val="Calibri"/>
      <family val="2"/>
    </font>
    <font>
      <sz val="14"/>
      <name val="Arial"/>
      <family val="2"/>
    </font>
    <font>
      <b/>
      <sz val="10"/>
      <color rgb="FFFFFF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EEEEEE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C0C0C0"/>
      </right>
      <top/>
      <bottom style="medium">
        <color rgb="FF000000"/>
      </bottom>
      <diagonal/>
    </border>
    <border>
      <left style="thin">
        <color rgb="FFC0C0C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C0C0C0"/>
      </right>
      <top style="medium">
        <color rgb="FF000000"/>
      </top>
      <bottom/>
      <diagonal/>
    </border>
    <border>
      <left style="thin">
        <color rgb="FFC0C0C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/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C0C0C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114477"/>
      </left>
      <right style="medium">
        <color rgb="FF114477"/>
      </right>
      <top style="medium">
        <color rgb="FF114477"/>
      </top>
      <bottom style="medium">
        <color rgb="FF336699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114477"/>
      </left>
      <right/>
      <top/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1"/>
  </cellStyleXfs>
  <cellXfs count="403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3" fillId="0" borderId="0" xfId="0" applyFont="1" applyAlignment="1">
      <alignment vertical="top"/>
    </xf>
    <xf numFmtId="49" fontId="2" fillId="2" borderId="1" xfId="0" applyNumberFormat="1" applyFont="1" applyFill="1" applyBorder="1"/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0" fontId="5" fillId="0" borderId="0" xfId="0" applyFont="1" applyAlignment="1">
      <alignment vertical="top"/>
    </xf>
    <xf numFmtId="49" fontId="1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4" fontId="6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1" xfId="0" applyNumberFormat="1" applyFont="1" applyFill="1" applyBorder="1"/>
    <xf numFmtId="49" fontId="5" fillId="0" borderId="0" xfId="0" applyNumberFormat="1" applyFont="1" applyAlignment="1">
      <alignment vertical="top"/>
    </xf>
    <xf numFmtId="0" fontId="7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7" fillId="2" borderId="6" xfId="0" applyFont="1" applyFill="1" applyBorder="1"/>
    <xf numFmtId="0" fontId="2" fillId="2" borderId="1" xfId="0" applyFont="1" applyFill="1" applyBorder="1" applyAlignment="1">
      <alignment horizontal="right"/>
    </xf>
    <xf numFmtId="166" fontId="2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9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" fontId="2" fillId="2" borderId="11" xfId="0" applyNumberFormat="1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right"/>
    </xf>
    <xf numFmtId="2" fontId="9" fillId="2" borderId="13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164" fontId="2" fillId="3" borderId="14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9" fontId="2" fillId="4" borderId="1" xfId="0" applyNumberFormat="1" applyFont="1" applyFill="1" applyBorder="1" applyAlignment="1">
      <alignment horizontal="center"/>
    </xf>
    <xf numFmtId="43" fontId="3" fillId="0" borderId="0" xfId="0" applyNumberFormat="1" applyFont="1" applyAlignment="1">
      <alignment vertical="top"/>
    </xf>
    <xf numFmtId="2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center" wrapText="1"/>
    </xf>
    <xf numFmtId="164" fontId="2" fillId="2" borderId="17" xfId="0" applyNumberFormat="1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left" wrapText="1"/>
    </xf>
    <xf numFmtId="164" fontId="2" fillId="2" borderId="17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165" fontId="2" fillId="2" borderId="17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10" fontId="3" fillId="0" borderId="0" xfId="0" applyNumberFormat="1" applyFont="1" applyAlignment="1">
      <alignment vertical="top"/>
    </xf>
    <xf numFmtId="167" fontId="2" fillId="2" borderId="1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left"/>
    </xf>
    <xf numFmtId="44" fontId="3" fillId="0" borderId="0" xfId="0" applyNumberFormat="1" applyFont="1" applyAlignment="1">
      <alignment vertical="top"/>
    </xf>
    <xf numFmtId="0" fontId="2" fillId="2" borderId="19" xfId="0" applyFont="1" applyFill="1" applyBorder="1"/>
    <xf numFmtId="0" fontId="2" fillId="2" borderId="17" xfId="0" applyFont="1" applyFill="1" applyBorder="1"/>
    <xf numFmtId="164" fontId="2" fillId="2" borderId="17" xfId="0" applyNumberFormat="1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/>
    <xf numFmtId="164" fontId="2" fillId="2" borderId="21" xfId="0" applyNumberFormat="1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right"/>
    </xf>
    <xf numFmtId="168" fontId="2" fillId="2" borderId="1" xfId="0" applyNumberFormat="1" applyFont="1" applyFill="1" applyBorder="1" applyAlignment="1">
      <alignment horizontal="center"/>
    </xf>
    <xf numFmtId="169" fontId="2" fillId="4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left"/>
    </xf>
    <xf numFmtId="170" fontId="2" fillId="4" borderId="1" xfId="0" applyNumberFormat="1" applyFont="1" applyFill="1" applyBorder="1" applyAlignment="1">
      <alignment horizontal="center"/>
    </xf>
    <xf numFmtId="41" fontId="2" fillId="2" borderId="1" xfId="0" applyNumberFormat="1" applyFont="1" applyFill="1" applyBorder="1" applyAlignment="1">
      <alignment horizontal="left"/>
    </xf>
    <xf numFmtId="166" fontId="2" fillId="4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165" fontId="2" fillId="3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0" applyNumberFormat="1" applyFont="1" applyFill="1" applyBorder="1" applyAlignment="1">
      <alignment horizontal="left"/>
    </xf>
    <xf numFmtId="1" fontId="2" fillId="7" borderId="1" xfId="0" applyNumberFormat="1" applyFont="1" applyFill="1" applyBorder="1" applyAlignment="1">
      <alignment horizontal="center"/>
    </xf>
    <xf numFmtId="9" fontId="2" fillId="7" borderId="1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0" fontId="3" fillId="7" borderId="1" xfId="0" applyFont="1" applyFill="1" applyBorder="1" applyAlignment="1">
      <alignment vertical="top"/>
    </xf>
    <xf numFmtId="0" fontId="2" fillId="2" borderId="8" xfId="0" applyFont="1" applyFill="1" applyBorder="1"/>
    <xf numFmtId="169" fontId="2" fillId="4" borderId="1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left"/>
    </xf>
    <xf numFmtId="171" fontId="2" fillId="4" borderId="1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164" fontId="2" fillId="2" borderId="26" xfId="0" applyNumberFormat="1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165" fontId="2" fillId="2" borderId="26" xfId="0" applyNumberFormat="1" applyFont="1" applyFill="1" applyBorder="1" applyAlignment="1">
      <alignment horizontal="center"/>
    </xf>
    <xf numFmtId="0" fontId="2" fillId="2" borderId="22" xfId="0" applyFont="1" applyFill="1" applyBorder="1"/>
    <xf numFmtId="164" fontId="3" fillId="0" borderId="0" xfId="0" applyNumberFormat="1" applyFont="1" applyAlignment="1">
      <alignment vertical="top"/>
    </xf>
    <xf numFmtId="0" fontId="2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2" borderId="25" xfId="0" applyFont="1" applyFill="1" applyBorder="1" applyAlignment="1">
      <alignment horizontal="left"/>
    </xf>
    <xf numFmtId="10" fontId="2" fillId="0" borderId="0" xfId="0" applyNumberFormat="1" applyFont="1" applyAlignment="1">
      <alignment horizontal="center"/>
    </xf>
    <xf numFmtId="0" fontId="2" fillId="2" borderId="25" xfId="0" applyFont="1" applyFill="1" applyBorder="1"/>
    <xf numFmtId="9" fontId="2" fillId="0" borderId="0" xfId="0" applyNumberFormat="1" applyFont="1" applyAlignment="1">
      <alignment horizontal="center"/>
    </xf>
    <xf numFmtId="0" fontId="2" fillId="2" borderId="27" xfId="0" applyFont="1" applyFill="1" applyBorder="1"/>
    <xf numFmtId="0" fontId="2" fillId="0" borderId="0" xfId="0" applyFont="1"/>
    <xf numFmtId="0" fontId="2" fillId="2" borderId="6" xfId="0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72" fontId="2" fillId="2" borderId="1" xfId="0" applyNumberFormat="1" applyFont="1" applyFill="1" applyBorder="1" applyAlignment="1">
      <alignment horizontal="center"/>
    </xf>
    <xf numFmtId="172" fontId="2" fillId="0" borderId="0" xfId="0" applyNumberFormat="1" applyFont="1"/>
    <xf numFmtId="1" fontId="2" fillId="2" borderId="29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2" fontId="9" fillId="2" borderId="13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72" fontId="2" fillId="5" borderId="1" xfId="0" applyNumberFormat="1" applyFont="1" applyFill="1" applyBorder="1" applyAlignment="1">
      <alignment horizontal="center"/>
    </xf>
    <xf numFmtId="172" fontId="2" fillId="5" borderId="1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173" fontId="2" fillId="4" borderId="1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left" vertical="top"/>
    </xf>
    <xf numFmtId="172" fontId="2" fillId="2" borderId="17" xfId="0" applyNumberFormat="1" applyFont="1" applyFill="1" applyBorder="1" applyAlignment="1">
      <alignment horizontal="center"/>
    </xf>
    <xf numFmtId="172" fontId="2" fillId="2" borderId="17" xfId="0" applyNumberFormat="1" applyFont="1" applyFill="1" applyBorder="1" applyAlignment="1">
      <alignment horizontal="right"/>
    </xf>
    <xf numFmtId="172" fontId="2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172" fontId="2" fillId="5" borderId="1" xfId="0" applyNumberFormat="1" applyFont="1" applyFill="1" applyBorder="1" applyAlignment="1">
      <alignment horizontal="right"/>
    </xf>
    <xf numFmtId="172" fontId="2" fillId="4" borderId="1" xfId="0" applyNumberFormat="1" applyFont="1" applyFill="1" applyBorder="1" applyAlignment="1">
      <alignment horizontal="right"/>
    </xf>
    <xf numFmtId="165" fontId="2" fillId="5" borderId="1" xfId="0" applyNumberFormat="1" applyFont="1" applyFill="1" applyBorder="1" applyAlignment="1">
      <alignment horizontal="center"/>
    </xf>
    <xf numFmtId="172" fontId="2" fillId="4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2" borderId="8" xfId="0" applyFont="1" applyFill="1" applyBorder="1"/>
    <xf numFmtId="0" fontId="2" fillId="2" borderId="9" xfId="0" applyFont="1" applyFill="1" applyBorder="1"/>
    <xf numFmtId="0" fontId="2" fillId="3" borderId="16" xfId="0" applyFont="1" applyFill="1" applyBorder="1"/>
    <xf numFmtId="0" fontId="2" fillId="3" borderId="14" xfId="0" applyFont="1" applyFill="1" applyBorder="1"/>
    <xf numFmtId="0" fontId="2" fillId="2" borderId="14" xfId="0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1" xfId="0" applyFont="1" applyFill="1" applyBorder="1"/>
    <xf numFmtId="0" fontId="2" fillId="2" borderId="22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164" fontId="2" fillId="2" borderId="28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left" wrapText="1"/>
    </xf>
    <xf numFmtId="1" fontId="2" fillId="2" borderId="10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164" fontId="2" fillId="2" borderId="28" xfId="0" applyNumberFormat="1" applyFont="1" applyFill="1" applyBorder="1" applyAlignment="1">
      <alignment horizontal="center"/>
    </xf>
    <xf numFmtId="9" fontId="2" fillId="2" borderId="28" xfId="0" applyNumberFormat="1" applyFont="1" applyFill="1" applyBorder="1" applyAlignment="1">
      <alignment horizontal="center"/>
    </xf>
    <xf numFmtId="9" fontId="2" fillId="2" borderId="28" xfId="0" applyNumberFormat="1" applyFont="1" applyFill="1" applyBorder="1" applyAlignment="1">
      <alignment horizontal="left"/>
    </xf>
    <xf numFmtId="164" fontId="2" fillId="0" borderId="28" xfId="0" applyNumberFormat="1" applyFont="1" applyBorder="1" applyAlignment="1">
      <alignment horizontal="right"/>
    </xf>
    <xf numFmtId="165" fontId="2" fillId="2" borderId="28" xfId="0" applyNumberFormat="1" applyFont="1" applyFill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0" fontId="2" fillId="2" borderId="28" xfId="0" applyFont="1" applyFill="1" applyBorder="1"/>
    <xf numFmtId="0" fontId="2" fillId="2" borderId="2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10" fontId="2" fillId="4" borderId="28" xfId="0" applyNumberFormat="1" applyFont="1" applyFill="1" applyBorder="1" applyAlignment="1">
      <alignment horizontal="right"/>
    </xf>
    <xf numFmtId="164" fontId="2" fillId="4" borderId="28" xfId="0" applyNumberFormat="1" applyFont="1" applyFill="1" applyBorder="1" applyAlignment="1">
      <alignment horizontal="center"/>
    </xf>
    <xf numFmtId="10" fontId="2" fillId="0" borderId="28" xfId="0" applyNumberFormat="1" applyFont="1" applyBorder="1" applyAlignment="1">
      <alignment horizontal="left"/>
    </xf>
    <xf numFmtId="164" fontId="2" fillId="0" borderId="28" xfId="0" applyNumberFormat="1" applyFont="1" applyBorder="1" applyAlignment="1">
      <alignment horizontal="left"/>
    </xf>
    <xf numFmtId="165" fontId="2" fillId="7" borderId="28" xfId="0" applyNumberFormat="1" applyFont="1" applyFill="1" applyBorder="1" applyAlignment="1">
      <alignment horizontal="center"/>
    </xf>
    <xf numFmtId="4" fontId="2" fillId="2" borderId="28" xfId="0" applyNumberFormat="1" applyFont="1" applyFill="1" applyBorder="1" applyAlignment="1">
      <alignment horizontal="right"/>
    </xf>
    <xf numFmtId="9" fontId="2" fillId="0" borderId="28" xfId="0" applyNumberFormat="1" applyFont="1" applyBorder="1" applyAlignment="1">
      <alignment horizontal="center"/>
    </xf>
    <xf numFmtId="9" fontId="2" fillId="0" borderId="28" xfId="0" applyNumberFormat="1" applyFont="1" applyBorder="1" applyAlignment="1">
      <alignment horizontal="left"/>
    </xf>
    <xf numFmtId="0" fontId="2" fillId="2" borderId="10" xfId="0" applyFont="1" applyFill="1" applyBorder="1"/>
    <xf numFmtId="172" fontId="2" fillId="2" borderId="28" xfId="0" applyNumberFormat="1" applyFont="1" applyFill="1" applyBorder="1" applyAlignment="1">
      <alignment horizontal="center"/>
    </xf>
    <xf numFmtId="0" fontId="2" fillId="7" borderId="28" xfId="0" applyFont="1" applyFill="1" applyBorder="1" applyAlignment="1">
      <alignment horizontal="left" vertical="top"/>
    </xf>
    <xf numFmtId="173" fontId="2" fillId="4" borderId="28" xfId="0" applyNumberFormat="1" applyFont="1" applyFill="1" applyBorder="1" applyAlignment="1">
      <alignment horizontal="right"/>
    </xf>
    <xf numFmtId="3" fontId="2" fillId="4" borderId="28" xfId="0" applyNumberFormat="1" applyFont="1" applyFill="1" applyBorder="1" applyAlignment="1">
      <alignment horizontal="center"/>
    </xf>
    <xf numFmtId="3" fontId="2" fillId="2" borderId="28" xfId="0" applyNumberFormat="1" applyFont="1" applyFill="1" applyBorder="1" applyAlignment="1">
      <alignment horizontal="center"/>
    </xf>
    <xf numFmtId="0" fontId="15" fillId="0" borderId="1" xfId="4" applyAlignment="1">
      <alignment horizontal="center"/>
    </xf>
    <xf numFmtId="0" fontId="15" fillId="0" borderId="1" xfId="4"/>
    <xf numFmtId="0" fontId="16" fillId="8" borderId="1" xfId="4" applyFont="1" applyFill="1" applyAlignment="1">
      <alignment horizontal="center"/>
    </xf>
    <xf numFmtId="0" fontId="16" fillId="0" borderId="1" xfId="4" applyFont="1" applyAlignment="1">
      <alignment horizontal="center"/>
    </xf>
    <xf numFmtId="0" fontId="15" fillId="8" borderId="1" xfId="4" applyFill="1"/>
    <xf numFmtId="0" fontId="15" fillId="8" borderId="1" xfId="4" applyFill="1" applyAlignment="1">
      <alignment horizontal="right"/>
    </xf>
    <xf numFmtId="0" fontId="15" fillId="8" borderId="1" xfId="4" applyFill="1" applyAlignment="1">
      <alignment horizontal="right" indent="1"/>
    </xf>
    <xf numFmtId="0" fontId="15" fillId="0" borderId="30" xfId="4" applyBorder="1" applyAlignment="1">
      <alignment horizontal="center"/>
    </xf>
    <xf numFmtId="0" fontId="16" fillId="0" borderId="30" xfId="4" applyFont="1" applyBorder="1" applyAlignment="1">
      <alignment horizontal="center"/>
    </xf>
    <xf numFmtId="0" fontId="15" fillId="0" borderId="30" xfId="4" applyBorder="1"/>
    <xf numFmtId="0" fontId="2" fillId="9" borderId="1" xfId="0" applyFont="1" applyFill="1" applyBorder="1" applyAlignment="1">
      <alignment horizontal="left"/>
    </xf>
    <xf numFmtId="164" fontId="2" fillId="11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164" fontId="2" fillId="10" borderId="0" xfId="0" applyNumberFormat="1" applyFont="1" applyFill="1" applyAlignment="1">
      <alignment horizontal="center"/>
    </xf>
    <xf numFmtId="172" fontId="2" fillId="9" borderId="1" xfId="0" applyNumberFormat="1" applyFont="1" applyFill="1" applyBorder="1" applyAlignment="1">
      <alignment horizontal="center"/>
    </xf>
    <xf numFmtId="172" fontId="2" fillId="11" borderId="1" xfId="0" applyNumberFormat="1" applyFont="1" applyFill="1" applyBorder="1" applyAlignment="1">
      <alignment horizontal="center"/>
    </xf>
    <xf numFmtId="0" fontId="0" fillId="10" borderId="0" xfId="0" applyFill="1"/>
    <xf numFmtId="165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9" borderId="8" xfId="0" applyFont="1" applyFill="1" applyBorder="1"/>
    <xf numFmtId="0" fontId="2" fillId="9" borderId="28" xfId="0" applyFont="1" applyFill="1" applyBorder="1" applyAlignment="1">
      <alignment horizontal="left"/>
    </xf>
    <xf numFmtId="164" fontId="2" fillId="11" borderId="28" xfId="0" applyNumberFormat="1" applyFont="1" applyFill="1" applyBorder="1" applyAlignment="1">
      <alignment horizontal="center"/>
    </xf>
    <xf numFmtId="164" fontId="2" fillId="9" borderId="28" xfId="0" applyNumberFormat="1" applyFont="1" applyFill="1" applyBorder="1" applyAlignment="1">
      <alignment horizontal="center"/>
    </xf>
    <xf numFmtId="172" fontId="2" fillId="9" borderId="28" xfId="0" applyNumberFormat="1" applyFont="1" applyFill="1" applyBorder="1" applyAlignment="1">
      <alignment horizontal="center"/>
    </xf>
    <xf numFmtId="172" fontId="2" fillId="11" borderId="28" xfId="0" applyNumberFormat="1" applyFont="1" applyFill="1" applyBorder="1" applyAlignment="1">
      <alignment horizontal="center"/>
    </xf>
    <xf numFmtId="165" fontId="2" fillId="9" borderId="28" xfId="0" applyNumberFormat="1" applyFont="1" applyFill="1" applyBorder="1" applyAlignment="1">
      <alignment horizontal="center"/>
    </xf>
    <xf numFmtId="168" fontId="2" fillId="0" borderId="0" xfId="1" applyNumberFormat="1" applyFont="1"/>
    <xf numFmtId="168" fontId="2" fillId="2" borderId="1" xfId="1" applyNumberFormat="1" applyFont="1" applyFill="1" applyBorder="1" applyAlignment="1">
      <alignment horizontal="right"/>
    </xf>
    <xf numFmtId="168" fontId="17" fillId="0" borderId="0" xfId="1" applyNumberFormat="1" applyFont="1" applyAlignment="1">
      <alignment horizontal="right"/>
    </xf>
    <xf numFmtId="168" fontId="2" fillId="7" borderId="1" xfId="1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2" fillId="0" borderId="31" xfId="0" applyFont="1" applyBorder="1"/>
    <xf numFmtId="0" fontId="2" fillId="10" borderId="31" xfId="0" applyFont="1" applyFill="1" applyBorder="1" applyAlignment="1">
      <alignment horizontal="center"/>
    </xf>
    <xf numFmtId="0" fontId="2" fillId="12" borderId="31" xfId="0" applyFont="1" applyFill="1" applyBorder="1"/>
    <xf numFmtId="0" fontId="2" fillId="0" borderId="31" xfId="0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9" fontId="2" fillId="0" borderId="31" xfId="3" applyFont="1" applyBorder="1" applyAlignment="1">
      <alignment horizontal="center"/>
    </xf>
    <xf numFmtId="166" fontId="2" fillId="0" borderId="31" xfId="3" applyNumberFormat="1" applyFont="1" applyBorder="1" applyAlignment="1">
      <alignment horizontal="center"/>
    </xf>
    <xf numFmtId="9" fontId="2" fillId="0" borderId="31" xfId="0" applyNumberFormat="1" applyFont="1" applyBorder="1" applyAlignment="1">
      <alignment horizontal="center"/>
    </xf>
    <xf numFmtId="170" fontId="2" fillId="0" borderId="31" xfId="2" applyNumberFormat="1" applyFont="1" applyBorder="1" applyAlignment="1">
      <alignment horizontal="center"/>
    </xf>
    <xf numFmtId="170" fontId="2" fillId="0" borderId="31" xfId="0" applyNumberFormat="1" applyFont="1" applyBorder="1" applyAlignment="1">
      <alignment horizontal="center"/>
    </xf>
    <xf numFmtId="44" fontId="2" fillId="0" borderId="31" xfId="0" applyNumberFormat="1" applyFont="1" applyBorder="1" applyAlignment="1">
      <alignment horizontal="center"/>
    </xf>
    <xf numFmtId="1" fontId="2" fillId="5" borderId="31" xfId="0" applyNumberFormat="1" applyFont="1" applyFill="1" applyBorder="1" applyAlignment="1">
      <alignment horizontal="center"/>
    </xf>
    <xf numFmtId="164" fontId="2" fillId="0" borderId="31" xfId="0" applyNumberFormat="1" applyFont="1" applyBorder="1" applyAlignment="1">
      <alignment vertical="top"/>
    </xf>
    <xf numFmtId="0" fontId="6" fillId="5" borderId="1" xfId="0" applyFont="1" applyFill="1" applyBorder="1" applyAlignment="1">
      <alignment horizontal="center"/>
    </xf>
    <xf numFmtId="0" fontId="2" fillId="0" borderId="32" xfId="0" applyFont="1" applyBorder="1" applyAlignment="1">
      <alignment vertical="top"/>
    </xf>
    <xf numFmtId="164" fontId="2" fillId="0" borderId="33" xfId="0" applyNumberFormat="1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7" fillId="0" borderId="31" xfId="0" applyFont="1" applyBorder="1"/>
    <xf numFmtId="170" fontId="7" fillId="0" borderId="31" xfId="2" applyNumberFormat="1" applyFont="1" applyBorder="1" applyAlignment="1">
      <alignment horizontal="center"/>
    </xf>
    <xf numFmtId="9" fontId="7" fillId="0" borderId="31" xfId="3" applyFont="1" applyBorder="1" applyAlignment="1">
      <alignment horizontal="center"/>
    </xf>
    <xf numFmtId="0" fontId="18" fillId="0" borderId="31" xfId="0" applyFont="1" applyBorder="1"/>
    <xf numFmtId="170" fontId="18" fillId="0" borderId="31" xfId="2" applyNumberFormat="1" applyFont="1" applyBorder="1" applyAlignment="1">
      <alignment horizontal="center"/>
    </xf>
    <xf numFmtId="0" fontId="19" fillId="0" borderId="31" xfId="0" applyFont="1" applyBorder="1"/>
    <xf numFmtId="170" fontId="19" fillId="0" borderId="31" xfId="2" applyNumberFormat="1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1" xfId="0" applyFont="1" applyBorder="1"/>
    <xf numFmtId="0" fontId="20" fillId="0" borderId="31" xfId="0" applyFont="1" applyBorder="1" applyAlignment="1">
      <alignment horizontal="center" wrapText="1"/>
    </xf>
    <xf numFmtId="0" fontId="2" fillId="2" borderId="31" xfId="0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center"/>
    </xf>
    <xf numFmtId="44" fontId="2" fillId="0" borderId="31" xfId="0" applyNumberFormat="1" applyFont="1" applyBorder="1"/>
    <xf numFmtId="164" fontId="2" fillId="2" borderId="31" xfId="0" applyNumberFormat="1" applyFont="1" applyFill="1" applyBorder="1" applyAlignment="1">
      <alignment horizontal="left"/>
    </xf>
    <xf numFmtId="164" fontId="2" fillId="2" borderId="31" xfId="0" applyNumberFormat="1" applyFont="1" applyFill="1" applyBorder="1" applyAlignment="1">
      <alignment horizontal="left" vertical="center"/>
    </xf>
    <xf numFmtId="165" fontId="2" fillId="2" borderId="31" xfId="0" applyNumberFormat="1" applyFont="1" applyFill="1" applyBorder="1"/>
    <xf numFmtId="164" fontId="2" fillId="2" borderId="31" xfId="0" applyNumberFormat="1" applyFont="1" applyFill="1" applyBorder="1"/>
    <xf numFmtId="168" fontId="3" fillId="0" borderId="31" xfId="1" applyNumberFormat="1" applyFont="1" applyBorder="1" applyAlignment="1">
      <alignment vertical="top"/>
    </xf>
    <xf numFmtId="0" fontId="3" fillId="0" borderId="31" xfId="0" applyFont="1" applyBorder="1" applyAlignment="1">
      <alignment horizontal="center" vertical="top"/>
    </xf>
    <xf numFmtId="168" fontId="24" fillId="0" borderId="31" xfId="1" applyNumberFormat="1" applyFont="1" applyBorder="1" applyAlignment="1">
      <alignment vertical="top"/>
    </xf>
    <xf numFmtId="164" fontId="4" fillId="0" borderId="0" xfId="0" applyNumberFormat="1" applyFont="1" applyAlignment="1">
      <alignment horizontal="center"/>
    </xf>
    <xf numFmtId="165" fontId="4" fillId="2" borderId="28" xfId="0" applyNumberFormat="1" applyFont="1" applyFill="1" applyBorder="1" applyAlignment="1">
      <alignment horizontal="center"/>
    </xf>
    <xf numFmtId="0" fontId="2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34" xfId="0" applyFont="1" applyFill="1" applyBorder="1" applyAlignment="1">
      <alignment horizontal="left" wrapText="1"/>
    </xf>
    <xf numFmtId="0" fontId="2" fillId="2" borderId="35" xfId="0" applyFont="1" applyFill="1" applyBorder="1" applyAlignment="1">
      <alignment horizontal="left" wrapText="1"/>
    </xf>
    <xf numFmtId="0" fontId="2" fillId="0" borderId="36" xfId="0" applyFont="1" applyBorder="1" applyAlignment="1">
      <alignment horizontal="left" wrapText="1"/>
    </xf>
    <xf numFmtId="0" fontId="2" fillId="0" borderId="36" xfId="0" applyFont="1" applyBorder="1"/>
    <xf numFmtId="0" fontId="2" fillId="2" borderId="36" xfId="0" applyFont="1" applyFill="1" applyBorder="1" applyAlignment="1">
      <alignment horizontal="center" wrapText="1"/>
    </xf>
    <xf numFmtId="1" fontId="2" fillId="2" borderId="35" xfId="0" applyNumberFormat="1" applyFont="1" applyFill="1" applyBorder="1" applyAlignment="1">
      <alignment horizontal="center"/>
    </xf>
    <xf numFmtId="1" fontId="2" fillId="2" borderId="3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2" fontId="9" fillId="2" borderId="39" xfId="0" applyNumberFormat="1" applyFont="1" applyFill="1" applyBorder="1" applyAlignment="1">
      <alignment horizontal="right"/>
    </xf>
    <xf numFmtId="0" fontId="2" fillId="5" borderId="40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72" fontId="2" fillId="5" borderId="41" xfId="0" applyNumberFormat="1" applyFont="1" applyFill="1" applyBorder="1" applyAlignment="1">
      <alignment horizontal="center"/>
    </xf>
    <xf numFmtId="173" fontId="2" fillId="4" borderId="43" xfId="0" applyNumberFormat="1" applyFont="1" applyFill="1" applyBorder="1" applyAlignment="1">
      <alignment horizontal="right"/>
    </xf>
    <xf numFmtId="173" fontId="2" fillId="4" borderId="44" xfId="0" applyNumberFormat="1" applyFont="1" applyFill="1" applyBorder="1" applyAlignment="1">
      <alignment horizontal="right"/>
    </xf>
    <xf numFmtId="172" fontId="2" fillId="2" borderId="45" xfId="0" applyNumberFormat="1" applyFont="1" applyFill="1" applyBorder="1" applyAlignment="1">
      <alignment horizontal="right"/>
    </xf>
    <xf numFmtId="0" fontId="2" fillId="2" borderId="42" xfId="0" applyFont="1" applyFill="1" applyBorder="1" applyAlignment="1">
      <alignment horizontal="left"/>
    </xf>
    <xf numFmtId="172" fontId="2" fillId="2" borderId="43" xfId="0" applyNumberFormat="1" applyFont="1" applyFill="1" applyBorder="1" applyAlignment="1">
      <alignment horizontal="right"/>
    </xf>
    <xf numFmtId="0" fontId="2" fillId="5" borderId="42" xfId="0" applyFont="1" applyFill="1" applyBorder="1" applyAlignment="1">
      <alignment horizontal="left"/>
    </xf>
    <xf numFmtId="172" fontId="2" fillId="5" borderId="43" xfId="0" applyNumberFormat="1" applyFont="1" applyFill="1" applyBorder="1" applyAlignment="1">
      <alignment horizontal="right"/>
    </xf>
    <xf numFmtId="172" fontId="2" fillId="4" borderId="43" xfId="0" applyNumberFormat="1" applyFont="1" applyFill="1" applyBorder="1" applyAlignment="1">
      <alignment horizontal="right"/>
    </xf>
    <xf numFmtId="172" fontId="17" fillId="4" borderId="1" xfId="0" applyNumberFormat="1" applyFont="1" applyFill="1" applyBorder="1"/>
    <xf numFmtId="172" fontId="2" fillId="5" borderId="43" xfId="0" applyNumberFormat="1" applyFont="1" applyFill="1" applyBorder="1" applyAlignment="1">
      <alignment horizontal="center"/>
    </xf>
    <xf numFmtId="172" fontId="2" fillId="4" borderId="43" xfId="0" applyNumberFormat="1" applyFont="1" applyFill="1" applyBorder="1" applyAlignment="1">
      <alignment horizontal="center"/>
    </xf>
    <xf numFmtId="0" fontId="17" fillId="4" borderId="1" xfId="0" applyFont="1" applyFill="1" applyBorder="1"/>
    <xf numFmtId="0" fontId="2" fillId="9" borderId="42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164" fontId="2" fillId="10" borderId="1" xfId="0" applyNumberFormat="1" applyFont="1" applyFill="1" applyBorder="1" applyAlignment="1">
      <alignment horizontal="center"/>
    </xf>
    <xf numFmtId="0" fontId="10" fillId="11" borderId="1" xfId="0" applyFont="1" applyFill="1" applyBorder="1"/>
    <xf numFmtId="172" fontId="2" fillId="11" borderId="43" xfId="0" applyNumberFormat="1" applyFont="1" applyFill="1" applyBorder="1" applyAlignment="1">
      <alignment horizontal="center"/>
    </xf>
    <xf numFmtId="172" fontId="2" fillId="11" borderId="44" xfId="0" applyNumberFormat="1" applyFont="1" applyFill="1" applyBorder="1" applyAlignment="1">
      <alignment horizontal="center"/>
    </xf>
    <xf numFmtId="172" fontId="2" fillId="2" borderId="45" xfId="0" applyNumberFormat="1" applyFont="1" applyFill="1" applyBorder="1" applyAlignment="1">
      <alignment horizontal="center"/>
    </xf>
    <xf numFmtId="172" fontId="2" fillId="2" borderId="43" xfId="0" applyNumberFormat="1" applyFont="1" applyFill="1" applyBorder="1" applyAlignment="1">
      <alignment horizontal="center"/>
    </xf>
    <xf numFmtId="0" fontId="4" fillId="2" borderId="46" xfId="0" applyFont="1" applyFill="1" applyBorder="1" applyAlignment="1">
      <alignment horizontal="left"/>
    </xf>
    <xf numFmtId="0" fontId="4" fillId="2" borderId="47" xfId="0" applyFont="1" applyFill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2" borderId="47" xfId="0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172" fontId="4" fillId="2" borderId="47" xfId="0" applyNumberFormat="1" applyFont="1" applyFill="1" applyBorder="1" applyAlignment="1">
      <alignment horizontal="center"/>
    </xf>
    <xf numFmtId="172" fontId="4" fillId="2" borderId="48" xfId="0" applyNumberFormat="1" applyFont="1" applyFill="1" applyBorder="1" applyAlignment="1">
      <alignment horizontal="center"/>
    </xf>
    <xf numFmtId="0" fontId="9" fillId="2" borderId="38" xfId="0" applyFont="1" applyFill="1" applyBorder="1" applyAlignment="1">
      <alignment horizontal="left"/>
    </xf>
    <xf numFmtId="0" fontId="2" fillId="3" borderId="42" xfId="0" applyFont="1" applyFill="1" applyBorder="1" applyAlignment="1">
      <alignment horizontal="left"/>
    </xf>
    <xf numFmtId="0" fontId="17" fillId="8" borderId="1" xfId="4" applyFont="1" applyFill="1" applyAlignment="1">
      <alignment horizontal="right"/>
    </xf>
    <xf numFmtId="0" fontId="17" fillId="8" borderId="1" xfId="4" applyFont="1" applyFill="1" applyAlignment="1">
      <alignment horizontal="right" indent="1"/>
    </xf>
    <xf numFmtId="0" fontId="26" fillId="0" borderId="31" xfId="0" applyFont="1" applyBorder="1" applyAlignment="1">
      <alignment horizontal="center"/>
    </xf>
    <xf numFmtId="0" fontId="26" fillId="0" borderId="31" xfId="0" applyFont="1" applyBorder="1"/>
    <xf numFmtId="170" fontId="26" fillId="0" borderId="31" xfId="0" applyNumberFormat="1" applyFont="1" applyBorder="1" applyAlignment="1">
      <alignment horizontal="center"/>
    </xf>
    <xf numFmtId="9" fontId="26" fillId="0" borderId="31" xfId="0" applyNumberFormat="1" applyFont="1" applyBorder="1" applyAlignment="1">
      <alignment horizontal="center"/>
    </xf>
    <xf numFmtId="165" fontId="2" fillId="2" borderId="47" xfId="0" applyNumberFormat="1" applyFont="1" applyFill="1" applyBorder="1"/>
    <xf numFmtId="0" fontId="2" fillId="10" borderId="31" xfId="0" applyFont="1" applyFill="1" applyBorder="1" applyAlignment="1">
      <alignment horizontal="left"/>
    </xf>
    <xf numFmtId="0" fontId="24" fillId="0" borderId="0" xfId="0" applyFont="1"/>
    <xf numFmtId="0" fontId="27" fillId="0" borderId="0" xfId="0" applyFont="1"/>
    <xf numFmtId="0" fontId="24" fillId="0" borderId="0" xfId="0" applyFont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2" borderId="31" xfId="0" applyFont="1" applyFill="1" applyBorder="1"/>
    <xf numFmtId="0" fontId="7" fillId="2" borderId="31" xfId="0" applyFont="1" applyFill="1" applyBorder="1" applyAlignment="1">
      <alignment horizontal="center"/>
    </xf>
    <xf numFmtId="0" fontId="7" fillId="13" borderId="31" xfId="0" applyFont="1" applyFill="1" applyBorder="1" applyAlignment="1">
      <alignment horizontal="center"/>
    </xf>
    <xf numFmtId="1" fontId="7" fillId="2" borderId="31" xfId="0" applyNumberFormat="1" applyFont="1" applyFill="1" applyBorder="1" applyAlignment="1">
      <alignment horizontal="center"/>
    </xf>
    <xf numFmtId="9" fontId="7" fillId="16" borderId="31" xfId="0" applyNumberFormat="1" applyFont="1" applyFill="1" applyBorder="1" applyAlignment="1">
      <alignment horizontal="center"/>
    </xf>
    <xf numFmtId="0" fontId="26" fillId="3" borderId="14" xfId="0" applyFont="1" applyFill="1" applyBorder="1" applyAlignment="1">
      <alignment horizontal="center"/>
    </xf>
    <xf numFmtId="0" fontId="26" fillId="3" borderId="31" xfId="0" applyFont="1" applyFill="1" applyBorder="1" applyAlignment="1">
      <alignment horizontal="center"/>
    </xf>
    <xf numFmtId="0" fontId="7" fillId="0" borderId="1" xfId="0" applyFont="1" applyBorder="1"/>
    <xf numFmtId="9" fontId="7" fillId="0" borderId="1" xfId="0" applyNumberFormat="1" applyFont="1" applyBorder="1" applyAlignment="1">
      <alignment horizontal="center"/>
    </xf>
    <xf numFmtId="0" fontId="7" fillId="0" borderId="10" xfId="0" applyFont="1" applyBorder="1"/>
    <xf numFmtId="1" fontId="7" fillId="0" borderId="10" xfId="0" applyNumberFormat="1" applyFont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1" fontId="7" fillId="5" borderId="31" xfId="0" applyNumberFormat="1" applyFont="1" applyFill="1" applyBorder="1" applyAlignment="1">
      <alignment horizontal="center"/>
    </xf>
    <xf numFmtId="164" fontId="7" fillId="0" borderId="33" xfId="0" applyNumberFormat="1" applyFont="1" applyBorder="1" applyAlignment="1">
      <alignment vertical="top"/>
    </xf>
    <xf numFmtId="164" fontId="7" fillId="0" borderId="31" xfId="0" applyNumberFormat="1" applyFont="1" applyBorder="1" applyAlignment="1">
      <alignment vertical="top"/>
    </xf>
    <xf numFmtId="0" fontId="7" fillId="0" borderId="33" xfId="0" applyFont="1" applyBorder="1" applyAlignment="1">
      <alignment vertical="top"/>
    </xf>
    <xf numFmtId="0" fontId="31" fillId="0" borderId="0" xfId="0" applyFont="1" applyAlignment="1">
      <alignment vertical="top"/>
    </xf>
    <xf numFmtId="0" fontId="7" fillId="5" borderId="1" xfId="0" applyFont="1" applyFill="1" applyBorder="1" applyAlignment="1">
      <alignment horizontal="left"/>
    </xf>
    <xf numFmtId="0" fontId="7" fillId="0" borderId="32" xfId="0" applyFont="1" applyBorder="1" applyAlignment="1">
      <alignment vertical="top"/>
    </xf>
    <xf numFmtId="0" fontId="26" fillId="15" borderId="31" xfId="0" applyFont="1" applyFill="1" applyBorder="1"/>
    <xf numFmtId="1" fontId="7" fillId="0" borderId="31" xfId="0" applyNumberFormat="1" applyFont="1" applyBorder="1" applyAlignment="1">
      <alignment horizontal="center"/>
    </xf>
    <xf numFmtId="9" fontId="26" fillId="0" borderId="31" xfId="3" applyFont="1" applyBorder="1" applyAlignment="1">
      <alignment horizontal="center"/>
    </xf>
    <xf numFmtId="0" fontId="26" fillId="2" borderId="31" xfId="0" applyFont="1" applyFill="1" applyBorder="1" applyAlignment="1">
      <alignment horizontal="center"/>
    </xf>
    <xf numFmtId="0" fontId="26" fillId="0" borderId="31" xfId="0" applyFont="1" applyBorder="1" applyAlignment="1">
      <alignment horizontal="center" wrapText="1"/>
    </xf>
    <xf numFmtId="0" fontId="24" fillId="17" borderId="32" xfId="0" applyFont="1" applyFill="1" applyBorder="1"/>
    <xf numFmtId="0" fontId="24" fillId="17" borderId="49" xfId="0" applyFont="1" applyFill="1" applyBorder="1" applyAlignment="1">
      <alignment horizontal="center"/>
    </xf>
    <xf numFmtId="0" fontId="24" fillId="17" borderId="33" xfId="0" applyFont="1" applyFill="1" applyBorder="1" applyAlignment="1">
      <alignment horizontal="center"/>
    </xf>
    <xf numFmtId="8" fontId="0" fillId="0" borderId="0" xfId="0" applyNumberFormat="1"/>
    <xf numFmtId="8" fontId="32" fillId="0" borderId="1" xfId="0" applyNumberFormat="1" applyFont="1" applyBorder="1"/>
    <xf numFmtId="170" fontId="33" fillId="0" borderId="1" xfId="2" applyNumberFormat="1" applyFont="1" applyBorder="1"/>
    <xf numFmtId="170" fontId="19" fillId="0" borderId="1" xfId="2" applyNumberFormat="1" applyFont="1" applyBorder="1"/>
    <xf numFmtId="0" fontId="34" fillId="19" borderId="50" xfId="0" applyFont="1" applyFill="1" applyBorder="1" applyAlignment="1">
      <alignment horizontal="center" vertical="center" wrapText="1"/>
    </xf>
    <xf numFmtId="0" fontId="2" fillId="18" borderId="51" xfId="0" applyFont="1" applyFill="1" applyBorder="1" applyAlignment="1">
      <alignment horizontal="right" vertical="center" wrapText="1"/>
    </xf>
    <xf numFmtId="8" fontId="2" fillId="18" borderId="51" xfId="0" applyNumberFormat="1" applyFont="1" applyFill="1" applyBorder="1" applyAlignment="1">
      <alignment horizontal="right" vertical="center" wrapText="1"/>
    </xf>
    <xf numFmtId="0" fontId="2" fillId="20" borderId="51" xfId="0" applyFont="1" applyFill="1" applyBorder="1" applyAlignment="1">
      <alignment horizontal="right" vertical="center" wrapText="1"/>
    </xf>
    <xf numFmtId="8" fontId="2" fillId="20" borderId="51" xfId="0" applyNumberFormat="1" applyFont="1" applyFill="1" applyBorder="1" applyAlignment="1">
      <alignment horizontal="right" vertical="center" wrapText="1"/>
    </xf>
    <xf numFmtId="0" fontId="34" fillId="19" borderId="52" xfId="0" applyFont="1" applyFill="1" applyBorder="1" applyAlignment="1">
      <alignment horizontal="center" vertical="center" wrapText="1"/>
    </xf>
    <xf numFmtId="166" fontId="3" fillId="0" borderId="0" xfId="3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/>
    <xf numFmtId="0" fontId="2" fillId="2" borderId="10" xfId="0" applyFont="1" applyFill="1" applyBorder="1" applyAlignment="1">
      <alignment horizontal="center" wrapText="1"/>
    </xf>
    <xf numFmtId="0" fontId="8" fillId="0" borderId="10" xfId="0" applyFont="1" applyBorder="1"/>
    <xf numFmtId="0" fontId="15" fillId="0" borderId="1" xfId="4" applyAlignment="1">
      <alignment horizontal="center"/>
    </xf>
    <xf numFmtId="172" fontId="2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2" fillId="2" borderId="28" xfId="0" applyFont="1" applyFill="1" applyBorder="1" applyAlignment="1">
      <alignment horizontal="center"/>
    </xf>
    <xf numFmtId="0" fontId="8" fillId="0" borderId="28" xfId="0" applyFont="1" applyBorder="1"/>
    <xf numFmtId="0" fontId="2" fillId="2" borderId="35" xfId="0" applyFont="1" applyFill="1" applyBorder="1" applyAlignment="1">
      <alignment horizontal="center" wrapText="1"/>
    </xf>
    <xf numFmtId="0" fontId="8" fillId="0" borderId="35" xfId="0" applyFont="1" applyBorder="1"/>
    <xf numFmtId="0" fontId="28" fillId="0" borderId="32" xfId="0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33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F0C4D6D-CE24-407B-A0C2-ECABE2D719BE}"/>
    <cellStyle name="Percent" xfId="3" builtinId="5"/>
  </cellStyles>
  <dxfs count="10"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A12" sqref="A12"/>
    </sheetView>
  </sheetViews>
  <sheetFormatPr baseColWidth="10" defaultColWidth="12.6640625" defaultRowHeight="15" customHeight="1"/>
  <cols>
    <col min="1" max="7" width="7.6640625" customWidth="1"/>
    <col min="8" max="26" width="10.1640625" customWidth="1"/>
  </cols>
  <sheetData>
    <row r="1" spans="1:26" ht="19.5" customHeight="1">
      <c r="A1" s="1" t="s">
        <v>0</v>
      </c>
      <c r="B1" s="2"/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>
      <c r="A2" s="5"/>
      <c r="B2" s="2"/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6" t="s">
        <v>157</v>
      </c>
      <c r="B3" s="7"/>
      <c r="C3" s="7"/>
      <c r="D3" s="7"/>
      <c r="E3" s="7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9.5" customHeight="1">
      <c r="A4" s="10" t="s">
        <v>1</v>
      </c>
      <c r="B4" s="11"/>
      <c r="C4" s="11"/>
      <c r="D4" s="11"/>
      <c r="E4" s="11"/>
      <c r="F4" s="3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>
      <c r="A5" s="12"/>
      <c r="B5" s="2" t="s">
        <v>2</v>
      </c>
      <c r="C5" s="2"/>
      <c r="D5" s="2"/>
      <c r="E5" s="2"/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13"/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>
      <c r="A7" s="2"/>
      <c r="B7" s="2"/>
      <c r="C7" s="2"/>
      <c r="D7" s="2"/>
      <c r="E7" s="2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>
      <c r="A8" s="10" t="s">
        <v>3</v>
      </c>
      <c r="B8" s="11"/>
      <c r="C8" s="11"/>
      <c r="D8" s="11"/>
      <c r="E8" s="11"/>
      <c r="F8" s="3"/>
      <c r="G8" s="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>
      <c r="A9" s="5" t="s">
        <v>4</v>
      </c>
      <c r="B9" s="2"/>
      <c r="C9" s="2"/>
      <c r="D9" s="2"/>
      <c r="E9" s="2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>
      <c r="A10" s="5" t="s">
        <v>5</v>
      </c>
      <c r="B10" s="2"/>
      <c r="C10" s="2"/>
      <c r="D10" s="2"/>
      <c r="E10" s="2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>
      <c r="A11" s="5" t="s">
        <v>206</v>
      </c>
      <c r="B11" s="2"/>
      <c r="C11" s="2"/>
      <c r="D11" s="2"/>
      <c r="E11" s="2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>
      <c r="A12" s="5"/>
      <c r="B12" s="2"/>
      <c r="C12" s="2"/>
      <c r="D12" s="2"/>
      <c r="E12" s="2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>
      <c r="A13" s="5"/>
      <c r="B13" s="2"/>
      <c r="C13" s="2"/>
      <c r="D13" s="2"/>
      <c r="E13" s="2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>
      <c r="A14" s="5" t="s">
        <v>6</v>
      </c>
      <c r="B14" s="2"/>
      <c r="C14" s="2"/>
      <c r="D14" s="2"/>
      <c r="E14" s="2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>
      <c r="A15" s="5" t="s">
        <v>7</v>
      </c>
      <c r="B15" s="2"/>
      <c r="C15" s="2"/>
      <c r="D15" s="2"/>
      <c r="E15" s="2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>
      <c r="A16" s="5" t="s">
        <v>203</v>
      </c>
      <c r="B16" s="2"/>
      <c r="C16" s="2"/>
      <c r="D16" s="2"/>
      <c r="E16" s="2"/>
      <c r="F16" s="3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>
      <c r="A17" s="5"/>
      <c r="B17" s="2"/>
      <c r="C17" s="2"/>
      <c r="D17" s="2"/>
      <c r="E17" s="2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algorithmName="SHA-512" hashValue="pcgM1HXUrVQOHpilyVEQEcCRogsmgCToYPJo3ljutXVagbI+xO88RsPXS/M47+iDZQ5jaIaRcdUJ8hX9hdVuvQ==" saltValue="3Yxc9ywGC26z7THaWjPprw==" spinCount="100000" sheet="1" objects="1" scenarios="1"/>
  <conditionalFormatting sqref="A4:A6 A8">
    <cfRule type="cellIs" dxfId="9" priority="1" stopIfTrue="1" operator="lessThan">
      <formula>0</formula>
    </cfRule>
  </conditionalFormatting>
  <conditionalFormatting sqref="B5:D6">
    <cfRule type="cellIs" dxfId="8" priority="4" stopIfTrue="1" operator="lessThan">
      <formula>0</formula>
    </cfRule>
  </conditionalFormatting>
  <conditionalFormatting sqref="B4:E4">
    <cfRule type="cellIs" dxfId="7" priority="2" stopIfTrue="1" operator="lessThan">
      <formula>0</formula>
    </cfRule>
  </conditionalFormatting>
  <pageMargins left="0.70000004768371582" right="0.70000004768371582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C7B5-8C74-4FD4-8BB2-AB1899F32EDB}">
  <dimension ref="A1:G13"/>
  <sheetViews>
    <sheetView workbookViewId="0">
      <selection activeCell="B12" sqref="B12"/>
    </sheetView>
  </sheetViews>
  <sheetFormatPr baseColWidth="10" defaultColWidth="8.83203125" defaultRowHeight="14"/>
  <cols>
    <col min="1" max="1" width="23.1640625" style="347" customWidth="1"/>
    <col min="2" max="2" width="26.1640625" style="347" customWidth="1"/>
    <col min="3" max="7" width="10.6640625" style="349" customWidth="1"/>
    <col min="8" max="16384" width="8.83203125" style="347"/>
  </cols>
  <sheetData>
    <row r="1" spans="1:7" s="348" customFormat="1" ht="40.75" customHeight="1">
      <c r="A1" s="342" t="s">
        <v>254</v>
      </c>
      <c r="B1" s="374" t="s">
        <v>257</v>
      </c>
      <c r="C1" s="341" t="s">
        <v>212</v>
      </c>
      <c r="D1" s="341" t="s">
        <v>213</v>
      </c>
      <c r="E1" s="341" t="s">
        <v>214</v>
      </c>
      <c r="F1" s="341" t="s">
        <v>215</v>
      </c>
      <c r="G1" s="341" t="s">
        <v>216</v>
      </c>
    </row>
    <row r="2" spans="1:7" ht="24.5" customHeight="1">
      <c r="A2" s="370" t="s">
        <v>181</v>
      </c>
      <c r="B2" s="375"/>
      <c r="C2" s="376"/>
      <c r="D2" s="376"/>
      <c r="E2" s="376"/>
      <c r="F2" s="376"/>
      <c r="G2" s="377"/>
    </row>
    <row r="3" spans="1:7" ht="24.5" customHeight="1">
      <c r="A3" s="270" t="s">
        <v>188</v>
      </c>
      <c r="B3" s="272">
        <v>0.25</v>
      </c>
      <c r="C3" s="371">
        <f t="shared" ref="C3:C12" si="0">B3*$C$13</f>
        <v>37.5</v>
      </c>
      <c r="D3" s="371">
        <f t="shared" ref="D3:D12" si="1">B3*$D$13</f>
        <v>56.25</v>
      </c>
      <c r="E3" s="371">
        <f t="shared" ref="E3:E12" si="2">B3*$E$13</f>
        <v>75</v>
      </c>
      <c r="F3" s="371">
        <f t="shared" ref="F3:F12" si="3">B3*$F$13</f>
        <v>93.75</v>
      </c>
      <c r="G3" s="371">
        <f t="shared" ref="G3:G12" si="4">B3*$G$13</f>
        <v>112.5</v>
      </c>
    </row>
    <row r="4" spans="1:7" ht="24.5" customHeight="1">
      <c r="A4" s="270" t="s">
        <v>195</v>
      </c>
      <c r="B4" s="272">
        <v>0.15</v>
      </c>
      <c r="C4" s="371">
        <f t="shared" si="0"/>
        <v>22.5</v>
      </c>
      <c r="D4" s="371">
        <f t="shared" si="1"/>
        <v>33.75</v>
      </c>
      <c r="E4" s="371">
        <f t="shared" si="2"/>
        <v>45</v>
      </c>
      <c r="F4" s="371">
        <f t="shared" si="3"/>
        <v>56.25</v>
      </c>
      <c r="G4" s="371">
        <f t="shared" si="4"/>
        <v>67.5</v>
      </c>
    </row>
    <row r="5" spans="1:7" ht="24.5" customHeight="1">
      <c r="A5" s="270" t="s">
        <v>190</v>
      </c>
      <c r="B5" s="272">
        <v>0.05</v>
      </c>
      <c r="C5" s="371">
        <f t="shared" si="0"/>
        <v>7.5</v>
      </c>
      <c r="D5" s="371">
        <f t="shared" si="1"/>
        <v>11.25</v>
      </c>
      <c r="E5" s="371">
        <f t="shared" si="2"/>
        <v>15</v>
      </c>
      <c r="F5" s="371">
        <f t="shared" si="3"/>
        <v>18.75</v>
      </c>
      <c r="G5" s="371">
        <f t="shared" si="4"/>
        <v>22.5</v>
      </c>
    </row>
    <row r="6" spans="1:7" ht="24.5" customHeight="1">
      <c r="A6" s="270" t="s">
        <v>191</v>
      </c>
      <c r="B6" s="272">
        <v>0.05</v>
      </c>
      <c r="C6" s="371">
        <f t="shared" si="0"/>
        <v>7.5</v>
      </c>
      <c r="D6" s="371">
        <f t="shared" si="1"/>
        <v>11.25</v>
      </c>
      <c r="E6" s="371">
        <f t="shared" si="2"/>
        <v>15</v>
      </c>
      <c r="F6" s="371">
        <f t="shared" si="3"/>
        <v>18.75</v>
      </c>
      <c r="G6" s="371">
        <f t="shared" si="4"/>
        <v>22.5</v>
      </c>
    </row>
    <row r="7" spans="1:7" ht="24.5" customHeight="1">
      <c r="A7" s="270" t="s">
        <v>220</v>
      </c>
      <c r="B7" s="272">
        <v>0.05</v>
      </c>
      <c r="C7" s="371">
        <f t="shared" si="0"/>
        <v>7.5</v>
      </c>
      <c r="D7" s="371">
        <f t="shared" si="1"/>
        <v>11.25</v>
      </c>
      <c r="E7" s="371">
        <f t="shared" si="2"/>
        <v>15</v>
      </c>
      <c r="F7" s="371">
        <f t="shared" si="3"/>
        <v>18.75</v>
      </c>
      <c r="G7" s="371">
        <f t="shared" si="4"/>
        <v>22.5</v>
      </c>
    </row>
    <row r="8" spans="1:7" ht="24.5" customHeight="1">
      <c r="A8" s="270" t="s">
        <v>193</v>
      </c>
      <c r="B8" s="272">
        <v>0.15</v>
      </c>
      <c r="C8" s="371">
        <f t="shared" si="0"/>
        <v>22.5</v>
      </c>
      <c r="D8" s="371">
        <f t="shared" si="1"/>
        <v>33.75</v>
      </c>
      <c r="E8" s="371">
        <f t="shared" si="2"/>
        <v>45</v>
      </c>
      <c r="F8" s="371">
        <f t="shared" si="3"/>
        <v>56.25</v>
      </c>
      <c r="G8" s="371">
        <f t="shared" si="4"/>
        <v>67.5</v>
      </c>
    </row>
    <row r="9" spans="1:7" ht="24.5" customHeight="1">
      <c r="A9" s="270" t="s">
        <v>194</v>
      </c>
      <c r="B9" s="272">
        <v>0.1</v>
      </c>
      <c r="C9" s="371">
        <f t="shared" si="0"/>
        <v>15</v>
      </c>
      <c r="D9" s="371">
        <f t="shared" si="1"/>
        <v>22.5</v>
      </c>
      <c r="E9" s="371">
        <f t="shared" si="2"/>
        <v>30</v>
      </c>
      <c r="F9" s="371">
        <f t="shared" si="3"/>
        <v>37.5</v>
      </c>
      <c r="G9" s="371">
        <f t="shared" si="4"/>
        <v>45</v>
      </c>
    </row>
    <row r="10" spans="1:7" ht="24.5" customHeight="1">
      <c r="A10" s="270" t="s">
        <v>204</v>
      </c>
      <c r="B10" s="272">
        <v>0.1</v>
      </c>
      <c r="C10" s="371">
        <f t="shared" si="0"/>
        <v>15</v>
      </c>
      <c r="D10" s="371">
        <f t="shared" si="1"/>
        <v>22.5</v>
      </c>
      <c r="E10" s="371">
        <f t="shared" si="2"/>
        <v>30</v>
      </c>
      <c r="F10" s="371">
        <f t="shared" si="3"/>
        <v>37.5</v>
      </c>
      <c r="G10" s="371">
        <f t="shared" si="4"/>
        <v>45</v>
      </c>
    </row>
    <row r="11" spans="1:7" ht="24.5" customHeight="1">
      <c r="A11" s="270" t="s">
        <v>189</v>
      </c>
      <c r="B11" s="272">
        <v>0.05</v>
      </c>
      <c r="C11" s="371">
        <f t="shared" si="0"/>
        <v>7.5</v>
      </c>
      <c r="D11" s="371">
        <f t="shared" si="1"/>
        <v>11.25</v>
      </c>
      <c r="E11" s="371">
        <f t="shared" si="2"/>
        <v>15</v>
      </c>
      <c r="F11" s="371">
        <f t="shared" si="3"/>
        <v>18.75</v>
      </c>
      <c r="G11" s="371">
        <f t="shared" si="4"/>
        <v>22.5</v>
      </c>
    </row>
    <row r="12" spans="1:7" ht="24.5" customHeight="1">
      <c r="A12" s="270" t="s">
        <v>192</v>
      </c>
      <c r="B12" s="272">
        <v>0.05</v>
      </c>
      <c r="C12" s="371">
        <f t="shared" si="0"/>
        <v>7.5</v>
      </c>
      <c r="D12" s="371">
        <f t="shared" si="1"/>
        <v>11.25</v>
      </c>
      <c r="E12" s="371">
        <f t="shared" si="2"/>
        <v>15</v>
      </c>
      <c r="F12" s="371">
        <f t="shared" si="3"/>
        <v>18.75</v>
      </c>
      <c r="G12" s="371">
        <f t="shared" si="4"/>
        <v>22.5</v>
      </c>
    </row>
    <row r="13" spans="1:7" ht="24.5" customHeight="1">
      <c r="A13" s="342" t="s">
        <v>202</v>
      </c>
      <c r="B13" s="372">
        <v>1</v>
      </c>
      <c r="C13" s="373">
        <v>150</v>
      </c>
      <c r="D13" s="373">
        <v>225</v>
      </c>
      <c r="E13" s="373">
        <v>300</v>
      </c>
      <c r="F13" s="373">
        <v>375</v>
      </c>
      <c r="G13" s="373">
        <v>450</v>
      </c>
    </row>
  </sheetData>
  <sheetProtection algorithmName="SHA-512" hashValue="0/v3WrNCJv/qylCrTu/0sk7Jx1eFgT9XzRvXd2oFgqPTyhgGr5XBtWXOESeVT0DOV6NLG5XtUp0BwkTjjGc8pw==" saltValue="asBDXVaez190bVmlo6lAyQ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534D-8202-41DB-855C-C7D4164469EA}">
  <dimension ref="A1:H11"/>
  <sheetViews>
    <sheetView workbookViewId="0">
      <selection activeCell="F2" sqref="F2"/>
    </sheetView>
  </sheetViews>
  <sheetFormatPr baseColWidth="10" defaultColWidth="8.83203125" defaultRowHeight="14"/>
  <cols>
    <col min="2" max="3" width="10.5" bestFit="1" customWidth="1"/>
    <col min="4" max="4" width="11.83203125" bestFit="1" customWidth="1"/>
    <col min="6" max="6" width="11.5" bestFit="1" customWidth="1"/>
    <col min="8" max="8" width="11.5" bestFit="1" customWidth="1"/>
  </cols>
  <sheetData>
    <row r="1" spans="1:8" ht="29" thickBot="1">
      <c r="A1" s="382" t="s">
        <v>260</v>
      </c>
      <c r="B1" s="382" t="s">
        <v>261</v>
      </c>
      <c r="C1" s="382" t="s">
        <v>146</v>
      </c>
      <c r="D1" s="382" t="s">
        <v>262</v>
      </c>
      <c r="F1" s="387" t="s">
        <v>263</v>
      </c>
    </row>
    <row r="2" spans="1:8" ht="15" thickBot="1">
      <c r="A2" s="383">
        <v>1</v>
      </c>
      <c r="B2" s="384">
        <v>134971.76999999999</v>
      </c>
      <c r="C2" s="384">
        <v>221408.36</v>
      </c>
      <c r="D2" s="384">
        <v>2578591.64</v>
      </c>
      <c r="F2" s="378">
        <f>B2+C2</f>
        <v>356380.13</v>
      </c>
      <c r="H2" s="378">
        <f>F2/2</f>
        <v>178190.065</v>
      </c>
    </row>
    <row r="3" spans="1:8" ht="15" thickBot="1">
      <c r="A3" s="385">
        <v>2</v>
      </c>
      <c r="B3" s="386">
        <v>123644.1</v>
      </c>
      <c r="C3" s="386">
        <v>232736.04</v>
      </c>
      <c r="D3" s="386">
        <v>2345855.6</v>
      </c>
      <c r="F3" s="378">
        <f t="shared" ref="F3:F11" si="0">B3+C3</f>
        <v>356380.14</v>
      </c>
    </row>
    <row r="4" spans="1:8" ht="15" thickBot="1">
      <c r="A4" s="383">
        <v>3</v>
      </c>
      <c r="B4" s="384">
        <v>111736.88</v>
      </c>
      <c r="C4" s="384">
        <v>244643.25</v>
      </c>
      <c r="D4" s="384">
        <v>2101212.35</v>
      </c>
      <c r="F4" s="378">
        <f t="shared" si="0"/>
        <v>356380.13</v>
      </c>
    </row>
    <row r="5" spans="1:8" ht="15" thickBot="1">
      <c r="A5" s="385">
        <v>4</v>
      </c>
      <c r="B5" s="386">
        <v>99220.47</v>
      </c>
      <c r="C5" s="386">
        <v>257159.67</v>
      </c>
      <c r="D5" s="386">
        <v>1844052.68</v>
      </c>
      <c r="F5" s="378">
        <f t="shared" si="0"/>
        <v>356380.14</v>
      </c>
    </row>
    <row r="6" spans="1:8" ht="15" thickBot="1">
      <c r="A6" s="383">
        <v>5</v>
      </c>
      <c r="B6" s="384">
        <v>86063.69</v>
      </c>
      <c r="C6" s="384">
        <v>270316.44</v>
      </c>
      <c r="D6" s="384">
        <v>1573736.24</v>
      </c>
      <c r="F6" s="378">
        <f t="shared" si="0"/>
        <v>356380.13</v>
      </c>
    </row>
    <row r="7" spans="1:8" ht="15" thickBot="1">
      <c r="A7" s="385">
        <v>6</v>
      </c>
      <c r="B7" s="386">
        <v>72233.789999999994</v>
      </c>
      <c r="C7" s="386">
        <v>284146.34000000003</v>
      </c>
      <c r="D7" s="386">
        <v>1289589.8899999999</v>
      </c>
      <c r="F7" s="378">
        <f t="shared" si="0"/>
        <v>356380.13</v>
      </c>
    </row>
    <row r="8" spans="1:8" ht="15" thickBot="1">
      <c r="A8" s="383">
        <v>7</v>
      </c>
      <c r="B8" s="384">
        <v>57696.32</v>
      </c>
      <c r="C8" s="384">
        <v>298683.81</v>
      </c>
      <c r="D8" s="384">
        <v>990906.08</v>
      </c>
      <c r="F8" s="378">
        <f t="shared" si="0"/>
        <v>356380.13</v>
      </c>
    </row>
    <row r="9" spans="1:8" ht="15" thickBot="1">
      <c r="A9" s="385">
        <v>8</v>
      </c>
      <c r="B9" s="386">
        <v>42415.09</v>
      </c>
      <c r="C9" s="386">
        <v>313965.03999999998</v>
      </c>
      <c r="D9" s="386">
        <v>676941.04</v>
      </c>
      <c r="F9" s="378">
        <f t="shared" si="0"/>
        <v>356380.13</v>
      </c>
    </row>
    <row r="10" spans="1:8" ht="15" thickBot="1">
      <c r="A10" s="383">
        <v>9</v>
      </c>
      <c r="B10" s="384">
        <v>26352.04</v>
      </c>
      <c r="C10" s="384">
        <v>330028.09000000003</v>
      </c>
      <c r="D10" s="384">
        <v>346912.95</v>
      </c>
      <c r="F10" s="378">
        <f t="shared" si="0"/>
        <v>356380.13</v>
      </c>
    </row>
    <row r="11" spans="1:8" ht="15" thickBot="1">
      <c r="A11" s="385">
        <v>10</v>
      </c>
      <c r="B11" s="386">
        <v>9467.18</v>
      </c>
      <c r="C11" s="386">
        <v>346912.95</v>
      </c>
      <c r="D11" s="386">
        <v>0</v>
      </c>
      <c r="F11" s="378">
        <f t="shared" si="0"/>
        <v>356380.13</v>
      </c>
    </row>
  </sheetData>
  <sheetProtection algorithmName="SHA-512" hashValue="M6BpelLw9QMLHGUD0wzfsKo6U9TA+SdSvlr15URx+cye6zNwNj/7g99l/gDfLTazdHJLAdNRGDmsFuzQDys60A==" saltValue="T3enOarhYENH5Cu1RQfc7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showGridLines="0" workbookViewId="0"/>
  </sheetViews>
  <sheetFormatPr baseColWidth="10" defaultColWidth="12.6640625" defaultRowHeight="15" customHeight="1"/>
  <cols>
    <col min="1" max="1" width="2.1640625" customWidth="1"/>
    <col min="2" max="2" width="27.6640625" customWidth="1"/>
    <col min="3" max="3" width="13.6640625" customWidth="1"/>
    <col min="4" max="4" width="16.1640625" customWidth="1"/>
    <col min="5" max="5" width="12.1640625" customWidth="1"/>
    <col min="6" max="7" width="12.5" customWidth="1"/>
    <col min="8" max="8" width="12.83203125" customWidth="1"/>
    <col min="9" max="9" width="12.1640625" customWidth="1"/>
    <col min="10" max="10" width="12.83203125" hidden="1" customWidth="1"/>
    <col min="11" max="12" width="12.1640625" hidden="1" customWidth="1"/>
    <col min="13" max="13" width="11.83203125" hidden="1" customWidth="1"/>
    <col min="14" max="14" width="12.5" hidden="1" customWidth="1"/>
    <col min="15" max="15" width="2.6640625" customWidth="1"/>
    <col min="16" max="16" width="22.1640625" customWidth="1"/>
    <col min="17" max="17" width="2.1640625" customWidth="1"/>
    <col min="18" max="18" width="22.1640625" customWidth="1"/>
    <col min="19" max="23" width="10.6640625" customWidth="1"/>
    <col min="24" max="26" width="10.1640625" customWidth="1"/>
  </cols>
  <sheetData>
    <row r="1" spans="1:26" ht="19.5" customHeight="1">
      <c r="A1" s="4"/>
      <c r="B1" s="26" t="str">
        <f>+Overview!A3</f>
        <v>Valley Forge Public Service Academy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>
      <c r="A2" s="27" t="s">
        <v>150</v>
      </c>
      <c r="B2" s="28"/>
      <c r="C2" s="29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9"/>
      <c r="R2" s="30"/>
      <c r="S2" s="29"/>
      <c r="T2" s="29"/>
      <c r="U2" s="29"/>
      <c r="V2" s="29"/>
      <c r="W2" s="135"/>
      <c r="X2" s="4"/>
      <c r="Y2" s="4"/>
      <c r="Z2" s="4"/>
    </row>
    <row r="3" spans="1:26" ht="19.5" customHeight="1">
      <c r="A3" s="37"/>
      <c r="B3" s="3"/>
      <c r="C3" s="35"/>
      <c r="D3" s="3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16"/>
      <c r="Q3" s="35"/>
      <c r="R3" s="16"/>
      <c r="S3" s="35"/>
      <c r="T3" s="35"/>
      <c r="U3" s="35"/>
      <c r="V3" s="35"/>
      <c r="W3" s="137"/>
      <c r="X3" s="4"/>
      <c r="Y3" s="4"/>
      <c r="Z3" s="4"/>
    </row>
    <row r="4" spans="1:26" ht="19.5" customHeight="1">
      <c r="A4" s="180"/>
      <c r="B4" s="216"/>
      <c r="C4" s="391" t="s">
        <v>43</v>
      </c>
      <c r="D4" s="392"/>
      <c r="E4" s="196">
        <v>2013</v>
      </c>
      <c r="F4" s="196">
        <f t="shared" ref="F4:N4" si="0">E4+1</f>
        <v>2014</v>
      </c>
      <c r="G4" s="196">
        <f t="shared" si="0"/>
        <v>2015</v>
      </c>
      <c r="H4" s="196">
        <f t="shared" si="0"/>
        <v>2016</v>
      </c>
      <c r="I4" s="196">
        <f t="shared" si="0"/>
        <v>2017</v>
      </c>
      <c r="J4" s="196">
        <f t="shared" si="0"/>
        <v>2018</v>
      </c>
      <c r="K4" s="196">
        <f t="shared" si="0"/>
        <v>2019</v>
      </c>
      <c r="L4" s="196">
        <f t="shared" si="0"/>
        <v>2020</v>
      </c>
      <c r="M4" s="196">
        <f t="shared" si="0"/>
        <v>2021</v>
      </c>
      <c r="N4" s="196">
        <f t="shared" si="0"/>
        <v>2022</v>
      </c>
      <c r="O4" s="35"/>
      <c r="P4" s="197" t="s">
        <v>45</v>
      </c>
      <c r="Q4" s="39"/>
      <c r="R4" s="197" t="s">
        <v>46</v>
      </c>
      <c r="S4" s="35"/>
      <c r="T4" s="35"/>
      <c r="U4" s="35"/>
      <c r="V4" s="35"/>
      <c r="W4" s="137"/>
      <c r="X4" s="4"/>
      <c r="Y4" s="4"/>
      <c r="Z4" s="4"/>
    </row>
    <row r="5" spans="1:26" ht="19.5" customHeight="1">
      <c r="A5" s="181" t="s">
        <v>151</v>
      </c>
      <c r="B5" s="182"/>
      <c r="C5" s="51"/>
      <c r="D5" s="182"/>
      <c r="E5" s="51"/>
      <c r="F5" s="51"/>
      <c r="G5" s="51"/>
      <c r="H5" s="51"/>
      <c r="I5" s="51"/>
      <c r="J5" s="51"/>
      <c r="K5" s="51"/>
      <c r="L5" s="51"/>
      <c r="M5" s="51"/>
      <c r="N5" s="51"/>
      <c r="O5" s="35"/>
      <c r="P5" s="183"/>
      <c r="Q5" s="35"/>
      <c r="R5" s="183"/>
      <c r="S5" s="35"/>
      <c r="T5" s="35"/>
      <c r="U5" s="35"/>
      <c r="V5" s="35"/>
      <c r="W5" s="137"/>
      <c r="X5" s="4"/>
      <c r="Y5" s="4"/>
      <c r="Z5" s="4"/>
    </row>
    <row r="6" spans="1:26" ht="19.5" customHeight="1">
      <c r="A6" s="37"/>
      <c r="B6" s="16"/>
      <c r="C6" s="184"/>
      <c r="D6" s="185" t="s">
        <v>152</v>
      </c>
      <c r="E6" s="186" t="s">
        <v>153</v>
      </c>
      <c r="F6" s="186">
        <f t="shared" ref="F6:I6" si="1">+E7</f>
        <v>0</v>
      </c>
      <c r="G6" s="186">
        <f t="shared" si="1"/>
        <v>0</v>
      </c>
      <c r="H6" s="186">
        <f t="shared" si="1"/>
        <v>0</v>
      </c>
      <c r="I6" s="186">
        <f t="shared" si="1"/>
        <v>0</v>
      </c>
      <c r="J6" s="186" t="e">
        <f t="shared" ref="J6:N6" si="2">$C6*#REF!</f>
        <v>#REF!</v>
      </c>
      <c r="K6" s="186" t="e">
        <f t="shared" si="2"/>
        <v>#REF!</v>
      </c>
      <c r="L6" s="186" t="e">
        <f t="shared" si="2"/>
        <v>#REF!</v>
      </c>
      <c r="M6" s="186" t="e">
        <f t="shared" si="2"/>
        <v>#REF!</v>
      </c>
      <c r="N6" s="186" t="e">
        <f t="shared" si="2"/>
        <v>#REF!</v>
      </c>
      <c r="O6" s="35"/>
      <c r="P6" s="16"/>
      <c r="Q6" s="35"/>
      <c r="R6" s="16"/>
      <c r="S6" s="35"/>
      <c r="T6" s="35"/>
      <c r="U6" s="35"/>
      <c r="V6" s="35"/>
      <c r="W6" s="137"/>
      <c r="X6" s="4"/>
      <c r="Y6" s="4"/>
      <c r="Z6" s="4"/>
    </row>
    <row r="7" spans="1:26" ht="19.5" customHeight="1">
      <c r="A7" s="37"/>
      <c r="B7" s="60" t="str">
        <f>CONCATENATE("total ",A5," sq. ft.")</f>
        <v>total classroom/instructional space sq. ft.</v>
      </c>
      <c r="C7" s="89"/>
      <c r="D7" s="60"/>
      <c r="E7" s="187">
        <f t="shared" ref="E7:N7" si="3">SUM(E6)</f>
        <v>0</v>
      </c>
      <c r="F7" s="187">
        <f t="shared" si="3"/>
        <v>0</v>
      </c>
      <c r="G7" s="187">
        <f t="shared" si="3"/>
        <v>0</v>
      </c>
      <c r="H7" s="187">
        <f t="shared" si="3"/>
        <v>0</v>
      </c>
      <c r="I7" s="187">
        <f t="shared" si="3"/>
        <v>0</v>
      </c>
      <c r="J7" s="187" t="e">
        <f t="shared" si="3"/>
        <v>#REF!</v>
      </c>
      <c r="K7" s="187" t="e">
        <f t="shared" si="3"/>
        <v>#REF!</v>
      </c>
      <c r="L7" s="187" t="e">
        <f t="shared" si="3"/>
        <v>#REF!</v>
      </c>
      <c r="M7" s="187" t="e">
        <f t="shared" si="3"/>
        <v>#REF!</v>
      </c>
      <c r="N7" s="187" t="e">
        <f t="shared" si="3"/>
        <v>#REF!</v>
      </c>
      <c r="O7" s="35"/>
      <c r="P7" s="16"/>
      <c r="Q7" s="35"/>
      <c r="R7" s="16"/>
      <c r="S7" s="35"/>
      <c r="T7" s="35"/>
      <c r="U7" s="35"/>
      <c r="V7" s="35"/>
      <c r="W7" s="137"/>
      <c r="X7" s="4"/>
      <c r="Y7" s="4"/>
      <c r="Z7" s="4"/>
    </row>
    <row r="8" spans="1:26" ht="19.5" customHeight="1">
      <c r="A8" s="37"/>
      <c r="B8" s="3"/>
      <c r="C8" s="35"/>
      <c r="D8" s="16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16"/>
      <c r="Q8" s="35"/>
      <c r="R8" s="16"/>
      <c r="S8" s="35"/>
      <c r="T8" s="35"/>
      <c r="U8" s="35"/>
      <c r="V8" s="35"/>
      <c r="W8" s="137"/>
      <c r="X8" s="4"/>
      <c r="Y8" s="4"/>
      <c r="Z8" s="4"/>
    </row>
    <row r="9" spans="1:26" ht="19.5" customHeight="1">
      <c r="A9" s="188" t="s">
        <v>154</v>
      </c>
      <c r="B9" s="189"/>
      <c r="C9" s="73"/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35"/>
      <c r="P9" s="16"/>
      <c r="Q9" s="35"/>
      <c r="R9" s="16"/>
      <c r="S9" s="35"/>
      <c r="T9" s="35"/>
      <c r="U9" s="35"/>
      <c r="V9" s="35"/>
      <c r="W9" s="137"/>
      <c r="X9" s="4"/>
      <c r="Y9" s="4"/>
      <c r="Z9" s="4"/>
    </row>
    <row r="10" spans="1:26" ht="19.5" customHeight="1">
      <c r="A10" s="37"/>
      <c r="B10" s="16"/>
      <c r="C10" s="184"/>
      <c r="D10" s="16" t="s">
        <v>155</v>
      </c>
      <c r="E10" s="186">
        <v>0</v>
      </c>
      <c r="F10" s="186">
        <f t="shared" ref="F10:I10" si="4">+E10</f>
        <v>0</v>
      </c>
      <c r="G10" s="186">
        <f t="shared" si="4"/>
        <v>0</v>
      </c>
      <c r="H10" s="186">
        <f t="shared" si="4"/>
        <v>0</v>
      </c>
      <c r="I10" s="186">
        <f t="shared" si="4"/>
        <v>0</v>
      </c>
      <c r="J10" s="186" t="e">
        <f t="shared" ref="J10:N10" si="5">$C10*#REF!</f>
        <v>#REF!</v>
      </c>
      <c r="K10" s="186" t="e">
        <f t="shared" si="5"/>
        <v>#REF!</v>
      </c>
      <c r="L10" s="186" t="e">
        <f t="shared" si="5"/>
        <v>#REF!</v>
      </c>
      <c r="M10" s="186" t="e">
        <f t="shared" si="5"/>
        <v>#REF!</v>
      </c>
      <c r="N10" s="186" t="e">
        <f t="shared" si="5"/>
        <v>#REF!</v>
      </c>
      <c r="O10" s="35"/>
      <c r="P10" s="16"/>
      <c r="Q10" s="35"/>
      <c r="R10" s="16"/>
      <c r="S10" s="35"/>
      <c r="T10" s="35"/>
      <c r="U10" s="35"/>
      <c r="V10" s="35"/>
      <c r="W10" s="137"/>
      <c r="X10" s="4"/>
      <c r="Y10" s="4"/>
      <c r="Z10" s="4"/>
    </row>
    <row r="11" spans="1:26" ht="19.5" customHeight="1">
      <c r="A11" s="37"/>
      <c r="B11" s="16"/>
      <c r="C11" s="184"/>
      <c r="D11" s="16" t="s">
        <v>156</v>
      </c>
      <c r="E11" s="186">
        <v>0</v>
      </c>
      <c r="F11" s="186">
        <v>0</v>
      </c>
      <c r="G11" s="186">
        <v>0</v>
      </c>
      <c r="H11" s="186">
        <v>0</v>
      </c>
      <c r="I11" s="186">
        <v>0</v>
      </c>
      <c r="J11" s="186">
        <v>0</v>
      </c>
      <c r="K11" s="186">
        <v>0</v>
      </c>
      <c r="L11" s="186">
        <v>0</v>
      </c>
      <c r="M11" s="186">
        <v>0</v>
      </c>
      <c r="N11" s="186">
        <v>0</v>
      </c>
      <c r="O11" s="186">
        <v>0</v>
      </c>
      <c r="P11" s="16"/>
      <c r="Q11" s="35"/>
      <c r="R11" s="16"/>
      <c r="S11" s="35"/>
      <c r="T11" s="35"/>
      <c r="U11" s="35"/>
      <c r="V11" s="35"/>
      <c r="W11" s="137"/>
      <c r="X11" s="4"/>
      <c r="Y11" s="4"/>
      <c r="Z11" s="4"/>
    </row>
    <row r="12" spans="1:26" ht="19.5" customHeight="1">
      <c r="A12" s="37"/>
      <c r="B12" s="16"/>
      <c r="C12" s="184"/>
      <c r="D12" s="16" t="s">
        <v>156</v>
      </c>
      <c r="E12" s="186">
        <f>$C12*Personnel!I12</f>
        <v>0</v>
      </c>
      <c r="F12" s="186">
        <f>$C12*Personnel!J12</f>
        <v>0</v>
      </c>
      <c r="G12" s="186">
        <f>$C12*Personnel!K12</f>
        <v>0</v>
      </c>
      <c r="H12" s="186">
        <f>$C12*Personnel!L12</f>
        <v>0</v>
      </c>
      <c r="I12" s="186">
        <f>$C12*Personnel!M12</f>
        <v>0</v>
      </c>
      <c r="J12" s="186" t="e">
        <f t="shared" ref="J12:N12" si="6">$C12*#REF!</f>
        <v>#REF!</v>
      </c>
      <c r="K12" s="186" t="e">
        <f t="shared" si="6"/>
        <v>#REF!</v>
      </c>
      <c r="L12" s="186" t="e">
        <f t="shared" si="6"/>
        <v>#REF!</v>
      </c>
      <c r="M12" s="186" t="e">
        <f t="shared" si="6"/>
        <v>#REF!</v>
      </c>
      <c r="N12" s="186" t="e">
        <f t="shared" si="6"/>
        <v>#REF!</v>
      </c>
      <c r="O12" s="35"/>
      <c r="P12" s="16"/>
      <c r="Q12" s="35"/>
      <c r="R12" s="16"/>
      <c r="S12" s="35"/>
      <c r="T12" s="35"/>
      <c r="U12" s="35"/>
      <c r="V12" s="35"/>
      <c r="W12" s="137"/>
      <c r="X12" s="4"/>
      <c r="Y12" s="4"/>
      <c r="Z12" s="4"/>
    </row>
    <row r="13" spans="1:26" ht="19.5" customHeight="1">
      <c r="A13" s="37"/>
      <c r="B13" s="16"/>
      <c r="C13" s="184"/>
      <c r="D13" s="16" t="s">
        <v>156</v>
      </c>
      <c r="E13" s="186">
        <f>$C13*Personnel!I13</f>
        <v>0</v>
      </c>
      <c r="F13" s="186">
        <f>$C13*Personnel!J13</f>
        <v>0</v>
      </c>
      <c r="G13" s="186">
        <f>$C13*Personnel!K13</f>
        <v>0</v>
      </c>
      <c r="H13" s="186">
        <f>$C13*Personnel!L13</f>
        <v>0</v>
      </c>
      <c r="I13" s="186">
        <f>$C13*Personnel!M13</f>
        <v>0</v>
      </c>
      <c r="J13" s="186" t="e">
        <f t="shared" ref="J13:N13" si="7">$C13*#REF!</f>
        <v>#REF!</v>
      </c>
      <c r="K13" s="186" t="e">
        <f t="shared" si="7"/>
        <v>#REF!</v>
      </c>
      <c r="L13" s="186" t="e">
        <f t="shared" si="7"/>
        <v>#REF!</v>
      </c>
      <c r="M13" s="186" t="e">
        <f t="shared" si="7"/>
        <v>#REF!</v>
      </c>
      <c r="N13" s="186" t="e">
        <f t="shared" si="7"/>
        <v>#REF!</v>
      </c>
      <c r="O13" s="35"/>
      <c r="P13" s="16"/>
      <c r="Q13" s="35"/>
      <c r="R13" s="16"/>
      <c r="S13" s="35"/>
      <c r="T13" s="35"/>
      <c r="U13" s="35"/>
      <c r="V13" s="35"/>
      <c r="W13" s="137"/>
      <c r="X13" s="4"/>
      <c r="Y13" s="4"/>
      <c r="Z13" s="4"/>
    </row>
    <row r="14" spans="1:26" ht="19.5" customHeight="1">
      <c r="A14" s="37"/>
      <c r="B14" s="16"/>
      <c r="C14" s="184"/>
      <c r="D14" s="16" t="s">
        <v>156</v>
      </c>
      <c r="E14" s="186" t="e">
        <f>$C14*Personnel!#REF!</f>
        <v>#REF!</v>
      </c>
      <c r="F14" s="186" t="e">
        <f>$C14*Personnel!#REF!</f>
        <v>#REF!</v>
      </c>
      <c r="G14" s="186" t="e">
        <f>$C14*Personnel!#REF!</f>
        <v>#REF!</v>
      </c>
      <c r="H14" s="186" t="e">
        <f>$C14*Personnel!#REF!</f>
        <v>#REF!</v>
      </c>
      <c r="I14" s="186" t="e">
        <f>$C14*Personnel!#REF!</f>
        <v>#REF!</v>
      </c>
      <c r="J14" s="186" t="e">
        <f>$C14*Personnel!#REF!</f>
        <v>#REF!</v>
      </c>
      <c r="K14" s="186" t="e">
        <f>$C14*Personnel!#REF!</f>
        <v>#REF!</v>
      </c>
      <c r="L14" s="186" t="e">
        <f>$C14*Personnel!#REF!</f>
        <v>#REF!</v>
      </c>
      <c r="M14" s="186" t="e">
        <f>$C14*Personnel!#REF!</f>
        <v>#REF!</v>
      </c>
      <c r="N14" s="186" t="e">
        <f>$C14*Personnel!#REF!</f>
        <v>#REF!</v>
      </c>
      <c r="O14" s="35"/>
      <c r="P14" s="16"/>
      <c r="Q14" s="35"/>
      <c r="R14" s="16"/>
      <c r="S14" s="35"/>
      <c r="T14" s="35"/>
      <c r="U14" s="35"/>
      <c r="V14" s="35"/>
      <c r="W14" s="137"/>
      <c r="X14" s="4"/>
      <c r="Y14" s="4"/>
      <c r="Z14" s="4"/>
    </row>
    <row r="15" spans="1:26" ht="19.5" customHeight="1">
      <c r="A15" s="37"/>
      <c r="B15" s="16"/>
      <c r="C15" s="184"/>
      <c r="D15" s="16" t="s">
        <v>156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16"/>
      <c r="Q15" s="35"/>
      <c r="R15" s="16"/>
      <c r="S15" s="35"/>
      <c r="T15" s="35"/>
      <c r="U15" s="35"/>
      <c r="V15" s="35"/>
      <c r="W15" s="137"/>
      <c r="X15" s="4"/>
      <c r="Y15" s="4"/>
      <c r="Z15" s="4"/>
    </row>
    <row r="16" spans="1:26" ht="19.5" customHeight="1">
      <c r="A16" s="37"/>
      <c r="B16" s="16"/>
      <c r="C16" s="184"/>
      <c r="D16" s="16" t="s">
        <v>156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16"/>
      <c r="Q16" s="35"/>
      <c r="R16" s="16"/>
      <c r="S16" s="35"/>
      <c r="T16" s="35"/>
      <c r="U16" s="35"/>
      <c r="V16" s="35"/>
      <c r="W16" s="137"/>
      <c r="X16" s="4"/>
      <c r="Y16" s="4"/>
      <c r="Z16" s="4"/>
    </row>
    <row r="17" spans="1:26" ht="19.5" customHeight="1">
      <c r="A17" s="37"/>
      <c r="B17" s="16"/>
      <c r="C17" s="184"/>
      <c r="D17" s="16" t="s">
        <v>156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16"/>
      <c r="Q17" s="35"/>
      <c r="R17" s="16"/>
      <c r="S17" s="35"/>
      <c r="T17" s="35"/>
      <c r="U17" s="35"/>
      <c r="V17" s="35"/>
      <c r="W17" s="137"/>
      <c r="X17" s="4"/>
      <c r="Y17" s="4"/>
      <c r="Z17" s="4"/>
    </row>
    <row r="18" spans="1:26" ht="19.5" customHeight="1">
      <c r="A18" s="37"/>
      <c r="B18" s="16"/>
      <c r="C18" s="184"/>
      <c r="D18" s="16" t="s">
        <v>156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16"/>
      <c r="Q18" s="35"/>
      <c r="R18" s="16"/>
      <c r="S18" s="35"/>
      <c r="T18" s="35"/>
      <c r="U18" s="35"/>
      <c r="V18" s="35"/>
      <c r="W18" s="137"/>
      <c r="X18" s="4"/>
      <c r="Y18" s="4"/>
      <c r="Z18" s="4"/>
    </row>
    <row r="19" spans="1:26" ht="19.5" customHeight="1">
      <c r="A19" s="37"/>
      <c r="B19" s="16"/>
      <c r="C19" s="184"/>
      <c r="D19" s="16" t="s">
        <v>156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16"/>
      <c r="Q19" s="35"/>
      <c r="R19" s="16"/>
      <c r="S19" s="35"/>
      <c r="T19" s="35"/>
      <c r="U19" s="35"/>
      <c r="V19" s="35"/>
      <c r="W19" s="137"/>
      <c r="X19" s="4"/>
      <c r="Y19" s="4"/>
      <c r="Z19" s="4"/>
    </row>
    <row r="20" spans="1:26" ht="19.5" customHeight="1">
      <c r="A20" s="37"/>
      <c r="B20" s="16"/>
      <c r="C20" s="184"/>
      <c r="D20" s="16" t="s">
        <v>156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16"/>
      <c r="Q20" s="35"/>
      <c r="R20" s="16"/>
      <c r="S20" s="35"/>
      <c r="T20" s="35"/>
      <c r="U20" s="35"/>
      <c r="V20" s="35"/>
      <c r="W20" s="137"/>
      <c r="X20" s="4"/>
      <c r="Y20" s="4"/>
      <c r="Z20" s="4"/>
    </row>
    <row r="21" spans="1:26" ht="19.5" customHeight="1">
      <c r="A21" s="37"/>
      <c r="B21" s="16"/>
      <c r="C21" s="184"/>
      <c r="D21" s="16" t="s">
        <v>156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16"/>
      <c r="Q21" s="35"/>
      <c r="R21" s="16"/>
      <c r="S21" s="35"/>
      <c r="T21" s="35"/>
      <c r="U21" s="35"/>
      <c r="V21" s="35"/>
      <c r="W21" s="137"/>
      <c r="X21" s="4"/>
      <c r="Y21" s="4"/>
      <c r="Z21" s="4"/>
    </row>
    <row r="22" spans="1:26" ht="19.5" customHeight="1">
      <c r="A22" s="37"/>
      <c r="B22" s="16"/>
      <c r="C22" s="184"/>
      <c r="D22" s="16" t="s">
        <v>156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16"/>
      <c r="Q22" s="35"/>
      <c r="R22" s="16"/>
      <c r="S22" s="35"/>
      <c r="T22" s="35"/>
      <c r="U22" s="35"/>
      <c r="V22" s="35"/>
      <c r="W22" s="137"/>
      <c r="X22" s="4"/>
      <c r="Y22" s="4"/>
      <c r="Z22" s="4"/>
    </row>
    <row r="23" spans="1:26" ht="19.5" customHeight="1">
      <c r="A23" s="37"/>
      <c r="B23" s="16"/>
      <c r="C23" s="184"/>
      <c r="D23" s="16" t="s">
        <v>156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16"/>
      <c r="Q23" s="35"/>
      <c r="R23" s="16"/>
      <c r="S23" s="35"/>
      <c r="T23" s="35"/>
      <c r="U23" s="35"/>
      <c r="V23" s="35"/>
      <c r="W23" s="137"/>
      <c r="X23" s="4"/>
      <c r="Y23" s="4"/>
      <c r="Z23" s="4"/>
    </row>
    <row r="24" spans="1:26" ht="19.5" customHeight="1">
      <c r="A24" s="37"/>
      <c r="B24" s="16"/>
      <c r="C24" s="184"/>
      <c r="D24" s="16" t="s">
        <v>156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16"/>
      <c r="Q24" s="35"/>
      <c r="R24" s="16"/>
      <c r="S24" s="35"/>
      <c r="T24" s="35"/>
      <c r="U24" s="35"/>
      <c r="V24" s="35"/>
      <c r="W24" s="137"/>
      <c r="X24" s="4"/>
      <c r="Y24" s="4"/>
      <c r="Z24" s="4"/>
    </row>
    <row r="25" spans="1:26" ht="19.5" customHeight="1">
      <c r="A25" s="37"/>
      <c r="B25" s="16"/>
      <c r="C25" s="184"/>
      <c r="D25" s="16" t="s">
        <v>156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16"/>
      <c r="Q25" s="35"/>
      <c r="R25" s="16"/>
      <c r="S25" s="35"/>
      <c r="T25" s="35"/>
      <c r="U25" s="35"/>
      <c r="V25" s="35"/>
      <c r="W25" s="137"/>
      <c r="X25" s="4"/>
      <c r="Y25" s="4"/>
      <c r="Z25" s="4"/>
    </row>
    <row r="26" spans="1:26" ht="19.5" customHeight="1">
      <c r="A26" s="37"/>
      <c r="B26" s="16"/>
      <c r="C26" s="184"/>
      <c r="D26" s="16" t="s">
        <v>156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16"/>
      <c r="Q26" s="35"/>
      <c r="R26" s="16"/>
      <c r="S26" s="35"/>
      <c r="T26" s="35"/>
      <c r="U26" s="35"/>
      <c r="V26" s="35"/>
      <c r="W26" s="137"/>
      <c r="X26" s="4"/>
      <c r="Y26" s="4"/>
      <c r="Z26" s="4"/>
    </row>
    <row r="27" spans="1:26" ht="19.5" customHeight="1">
      <c r="A27" s="37"/>
      <c r="B27" s="16"/>
      <c r="C27" s="184"/>
      <c r="D27" s="16" t="s">
        <v>156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16"/>
      <c r="Q27" s="35"/>
      <c r="R27" s="16"/>
      <c r="S27" s="35"/>
      <c r="T27" s="35"/>
      <c r="U27" s="35"/>
      <c r="V27" s="35"/>
      <c r="W27" s="137"/>
      <c r="X27" s="4"/>
      <c r="Y27" s="4"/>
      <c r="Z27" s="4"/>
    </row>
    <row r="28" spans="1:26" ht="19.5" customHeight="1">
      <c r="A28" s="37"/>
      <c r="B28" s="16"/>
      <c r="C28" s="184"/>
      <c r="D28" s="16" t="s">
        <v>156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16"/>
      <c r="Q28" s="35"/>
      <c r="R28" s="16"/>
      <c r="S28" s="35"/>
      <c r="T28" s="35"/>
      <c r="U28" s="35"/>
      <c r="V28" s="35"/>
      <c r="W28" s="137"/>
      <c r="X28" s="4"/>
      <c r="Y28" s="4"/>
      <c r="Z28" s="4"/>
    </row>
    <row r="29" spans="1:26" ht="19.5" customHeight="1">
      <c r="A29" s="37"/>
      <c r="B29" s="16"/>
      <c r="C29" s="184"/>
      <c r="D29" s="16" t="s">
        <v>156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16"/>
      <c r="Q29" s="35"/>
      <c r="R29" s="16"/>
      <c r="S29" s="35"/>
      <c r="T29" s="35"/>
      <c r="U29" s="35"/>
      <c r="V29" s="35"/>
      <c r="W29" s="137"/>
      <c r="X29" s="4"/>
      <c r="Y29" s="4"/>
      <c r="Z29" s="4"/>
    </row>
    <row r="30" spans="1:26" ht="19.5" customHeight="1">
      <c r="A30" s="37"/>
      <c r="B30" s="198"/>
      <c r="C30" s="220"/>
      <c r="D30" s="198" t="s">
        <v>156</v>
      </c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35"/>
      <c r="P30" s="16"/>
      <c r="Q30" s="35"/>
      <c r="R30" s="16"/>
      <c r="S30" s="35"/>
      <c r="T30" s="35"/>
      <c r="U30" s="35"/>
      <c r="V30" s="35"/>
      <c r="W30" s="137"/>
      <c r="X30" s="4"/>
      <c r="Y30" s="4"/>
      <c r="Z30" s="4"/>
    </row>
    <row r="31" spans="1:26" ht="19.5" customHeight="1">
      <c r="A31" s="37"/>
      <c r="B31" s="60" t="str">
        <f>CONCATENATE("total ",A9," sq. ft.")</f>
        <v>total office space sq. ft.</v>
      </c>
      <c r="C31" s="89"/>
      <c r="D31" s="60"/>
      <c r="E31" s="187">
        <v>30000</v>
      </c>
      <c r="F31" s="187" t="e">
        <f t="shared" ref="F31:N31" si="8">SUM(F10:F30)</f>
        <v>#REF!</v>
      </c>
      <c r="G31" s="187" t="e">
        <f t="shared" si="8"/>
        <v>#REF!</v>
      </c>
      <c r="H31" s="187" t="e">
        <f t="shared" si="8"/>
        <v>#REF!</v>
      </c>
      <c r="I31" s="187" t="e">
        <f t="shared" si="8"/>
        <v>#REF!</v>
      </c>
      <c r="J31" s="187" t="e">
        <f t="shared" si="8"/>
        <v>#REF!</v>
      </c>
      <c r="K31" s="187" t="e">
        <f t="shared" si="8"/>
        <v>#REF!</v>
      </c>
      <c r="L31" s="187" t="e">
        <f t="shared" si="8"/>
        <v>#REF!</v>
      </c>
      <c r="M31" s="187" t="e">
        <f t="shared" si="8"/>
        <v>#REF!</v>
      </c>
      <c r="N31" s="187" t="e">
        <f t="shared" si="8"/>
        <v>#REF!</v>
      </c>
      <c r="O31" s="35"/>
      <c r="P31" s="16"/>
      <c r="Q31" s="35"/>
      <c r="R31" s="16"/>
      <c r="S31" s="35"/>
      <c r="T31" s="35"/>
      <c r="U31" s="35"/>
      <c r="V31" s="35"/>
      <c r="W31" s="137"/>
      <c r="X31" s="4"/>
      <c r="Y31" s="4"/>
      <c r="Z31" s="4"/>
    </row>
    <row r="32" spans="1:26" ht="19.5" customHeight="1">
      <c r="A32" s="37"/>
      <c r="B32" s="3"/>
      <c r="C32" s="35"/>
      <c r="D32" s="16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16"/>
      <c r="Q32" s="16"/>
      <c r="R32" s="16"/>
      <c r="S32" s="16"/>
      <c r="T32" s="16"/>
      <c r="U32" s="16"/>
      <c r="V32" s="16"/>
      <c r="W32" s="36"/>
      <c r="X32" s="4"/>
      <c r="Y32" s="4"/>
      <c r="Z32" s="4"/>
    </row>
    <row r="33" spans="1:26" ht="19.5" customHeight="1">
      <c r="A33" s="37"/>
      <c r="B33" s="3"/>
      <c r="C33" s="35"/>
      <c r="D33" s="16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16"/>
      <c r="Q33" s="35"/>
      <c r="R33" s="16"/>
      <c r="S33" s="35"/>
      <c r="T33" s="35"/>
      <c r="U33" s="35"/>
      <c r="V33" s="35"/>
      <c r="W33" s="137"/>
      <c r="X33" s="4"/>
      <c r="Y33" s="4"/>
      <c r="Z33" s="4"/>
    </row>
    <row r="34" spans="1:26" ht="19.5" customHeight="1">
      <c r="A34" s="84" t="s">
        <v>69</v>
      </c>
      <c r="B34" s="205"/>
      <c r="C34" s="206"/>
      <c r="D34" s="205"/>
      <c r="E34" s="221">
        <f t="shared" ref="E34:N34" si="9">E7+E31</f>
        <v>30000</v>
      </c>
      <c r="F34" s="221" t="e">
        <f t="shared" si="9"/>
        <v>#REF!</v>
      </c>
      <c r="G34" s="221" t="e">
        <f t="shared" si="9"/>
        <v>#REF!</v>
      </c>
      <c r="H34" s="221" t="e">
        <f t="shared" si="9"/>
        <v>#REF!</v>
      </c>
      <c r="I34" s="221" t="e">
        <f t="shared" si="9"/>
        <v>#REF!</v>
      </c>
      <c r="J34" s="221" t="e">
        <f t="shared" si="9"/>
        <v>#REF!</v>
      </c>
      <c r="K34" s="221" t="e">
        <f t="shared" si="9"/>
        <v>#REF!</v>
      </c>
      <c r="L34" s="221" t="e">
        <f t="shared" si="9"/>
        <v>#REF!</v>
      </c>
      <c r="M34" s="221" t="e">
        <f t="shared" si="9"/>
        <v>#REF!</v>
      </c>
      <c r="N34" s="221" t="e">
        <f t="shared" si="9"/>
        <v>#REF!</v>
      </c>
      <c r="O34" s="94"/>
      <c r="P34" s="95"/>
      <c r="Q34" s="94"/>
      <c r="R34" s="95"/>
      <c r="S34" s="94"/>
      <c r="T34" s="94"/>
      <c r="U34" s="94"/>
      <c r="V34" s="94"/>
      <c r="W34" s="190"/>
      <c r="X34" s="4"/>
      <c r="Y34" s="4"/>
      <c r="Z34" s="4"/>
    </row>
    <row r="35" spans="1:26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C4:D4"/>
  </mergeCells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97"/>
  <sheetViews>
    <sheetView showGridLines="0" workbookViewId="0">
      <selection activeCell="H35" sqref="H35"/>
    </sheetView>
  </sheetViews>
  <sheetFormatPr baseColWidth="10" defaultColWidth="12.6640625" defaultRowHeight="15" customHeight="1"/>
  <cols>
    <col min="1" max="1" width="3.6640625" customWidth="1"/>
    <col min="2" max="2" width="7.83203125" customWidth="1"/>
    <col min="3" max="3" width="11.6640625" customWidth="1"/>
    <col min="4" max="8" width="16.5" customWidth="1"/>
    <col min="9" max="21" width="10.1640625" customWidth="1"/>
  </cols>
  <sheetData>
    <row r="1" spans="1:21" ht="19.5" customHeight="1">
      <c r="A1" s="14" t="s">
        <v>8</v>
      </c>
      <c r="B1" s="7" t="s">
        <v>205</v>
      </c>
      <c r="C1" s="15"/>
      <c r="D1" s="16"/>
      <c r="E1" s="16"/>
      <c r="F1" s="16"/>
      <c r="G1" s="16"/>
      <c r="H1" s="1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9.5" customHeight="1">
      <c r="A2" s="16"/>
      <c r="B2" s="16"/>
      <c r="C2" s="15"/>
      <c r="D2" s="3"/>
      <c r="E2" s="3"/>
      <c r="F2" s="3"/>
      <c r="G2" s="16"/>
      <c r="H2" s="1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9.5" customHeight="1" thickBot="1">
      <c r="A3" s="191"/>
      <c r="B3" s="191"/>
      <c r="C3" s="192"/>
      <c r="D3" s="193" t="s">
        <v>212</v>
      </c>
      <c r="E3" s="193" t="s">
        <v>213</v>
      </c>
      <c r="F3" s="193" t="s">
        <v>214</v>
      </c>
      <c r="G3" s="193" t="s">
        <v>215</v>
      </c>
      <c r="H3" s="193" t="s">
        <v>216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9.5" customHeight="1">
      <c r="A4" s="16" t="s">
        <v>9</v>
      </c>
      <c r="B4" s="16"/>
      <c r="C4" s="17"/>
      <c r="D4" s="18"/>
      <c r="E4" s="18"/>
      <c r="F4" s="18"/>
      <c r="G4" s="18"/>
      <c r="H4" s="1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9.5" customHeight="1">
      <c r="A5" s="16"/>
      <c r="B5" s="19" t="s">
        <v>10</v>
      </c>
      <c r="C5" s="20"/>
      <c r="D5" s="21"/>
      <c r="E5" s="21"/>
      <c r="F5" s="21"/>
      <c r="G5" s="21"/>
      <c r="H5" s="2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9.5" customHeight="1">
      <c r="A6" s="16"/>
      <c r="B6" s="16" t="s">
        <v>11</v>
      </c>
      <c r="C6" s="17"/>
      <c r="D6" s="18">
        <f>REVENUES!G11</f>
        <v>2216449.4939999999</v>
      </c>
      <c r="E6" s="18">
        <f>REVENUES!H11+100000</f>
        <v>3178402.0749999997</v>
      </c>
      <c r="F6" s="18">
        <f>REVENUES!I11</f>
        <v>4304522.2333075199</v>
      </c>
      <c r="G6" s="18">
        <f>REVENUES!J11</f>
        <v>5422929.3492829558</v>
      </c>
      <c r="H6" s="18">
        <f>REVENUES!K11</f>
        <v>6637665.5235223379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9.5" customHeight="1">
      <c r="A7" s="16"/>
      <c r="B7" s="16" t="s">
        <v>12</v>
      </c>
      <c r="C7" s="17"/>
      <c r="D7" s="194">
        <f>REVENUES!G12</f>
        <v>697542.83550000004</v>
      </c>
      <c r="E7" s="194">
        <f>REVENUES!H12</f>
        <v>1588697.4312500001</v>
      </c>
      <c r="F7" s="194">
        <f>REVENUES!I12</f>
        <v>2322315.4113734402</v>
      </c>
      <c r="G7" s="194">
        <f>REVENUES!J12</f>
        <v>3146011.6588449576</v>
      </c>
      <c r="H7" s="194">
        <f>REVENUES!K12</f>
        <v>3850718.2704262277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9.5" customHeight="1">
      <c r="A8" s="16"/>
      <c r="B8" s="16" t="s">
        <v>13</v>
      </c>
      <c r="C8" s="17"/>
      <c r="D8" s="18">
        <f t="shared" ref="D8" si="0">D6+D7</f>
        <v>2913992.3295</v>
      </c>
      <c r="E8" s="18">
        <f t="shared" ref="E8:H8" si="1">E6+E7</f>
        <v>4767099.5062499996</v>
      </c>
      <c r="F8" s="18">
        <f t="shared" si="1"/>
        <v>6626837.6446809601</v>
      </c>
      <c r="G8" s="18">
        <f t="shared" si="1"/>
        <v>8568941.0081279129</v>
      </c>
      <c r="H8" s="18">
        <f t="shared" si="1"/>
        <v>10488383.793948565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9.5" customHeight="1">
      <c r="A9" s="16"/>
      <c r="B9" s="19" t="s">
        <v>14</v>
      </c>
      <c r="C9" s="20"/>
      <c r="D9" s="21"/>
      <c r="E9" s="21"/>
      <c r="F9" s="21"/>
      <c r="G9" s="21"/>
      <c r="H9" s="21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9.5" customHeight="1">
      <c r="A10" s="16"/>
      <c r="B10" s="16" t="s">
        <v>15</v>
      </c>
      <c r="C10" s="17"/>
      <c r="D10" s="194">
        <f>REVENUES!G18</f>
        <v>0</v>
      </c>
      <c r="E10" s="194">
        <f>REVENUES!H18</f>
        <v>41580</v>
      </c>
      <c r="F10" s="194">
        <f>REVENUES!I18</f>
        <v>55440</v>
      </c>
      <c r="G10" s="194">
        <f>REVENUES!J18</f>
        <v>69300</v>
      </c>
      <c r="H10" s="194">
        <f>REVENUES!K18</f>
        <v>83160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9.5" customHeight="1">
      <c r="A11" s="16"/>
      <c r="B11" s="16" t="s">
        <v>16</v>
      </c>
      <c r="C11" s="17"/>
      <c r="D11" s="18">
        <f t="shared" ref="D11:H11" si="2">SUM(D10)</f>
        <v>0</v>
      </c>
      <c r="E11" s="18">
        <f t="shared" si="2"/>
        <v>41580</v>
      </c>
      <c r="F11" s="18">
        <f t="shared" si="2"/>
        <v>55440</v>
      </c>
      <c r="G11" s="18">
        <f t="shared" si="2"/>
        <v>69300</v>
      </c>
      <c r="H11" s="18">
        <f t="shared" si="2"/>
        <v>83160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9.5" customHeight="1">
      <c r="A12" s="16"/>
      <c r="B12" s="19" t="s">
        <v>17</v>
      </c>
      <c r="C12" s="20"/>
      <c r="D12" s="21"/>
      <c r="E12" s="21"/>
      <c r="F12" s="21"/>
      <c r="G12" s="21"/>
      <c r="H12" s="21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9.5" customHeight="1">
      <c r="A13" s="16"/>
      <c r="B13" s="16" t="s">
        <v>18</v>
      </c>
      <c r="C13" s="17"/>
      <c r="D13" s="18">
        <f>REVENUES!G23</f>
        <v>50000</v>
      </c>
      <c r="E13" s="18">
        <f>REVENUES!H23</f>
        <v>70000</v>
      </c>
      <c r="F13" s="18">
        <f>REVENUES!I23</f>
        <v>90000</v>
      </c>
      <c r="G13" s="18">
        <f>REVENUES!J23</f>
        <v>110000</v>
      </c>
      <c r="H13" s="18">
        <f>REVENUES!K23</f>
        <v>125000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9.5" customHeight="1">
      <c r="A14" s="16"/>
      <c r="B14" s="16" t="s">
        <v>19</v>
      </c>
      <c r="C14" s="17"/>
      <c r="D14" s="18">
        <f>REVENUES!G24</f>
        <v>7000</v>
      </c>
      <c r="E14" s="18">
        <f>REVENUES!H24</f>
        <v>7400</v>
      </c>
      <c r="F14" s="18">
        <f>REVENUES!I24</f>
        <v>7803</v>
      </c>
      <c r="G14" s="18">
        <f>REVENUES!J24</f>
        <v>9948.8249999999989</v>
      </c>
      <c r="H14" s="18">
        <f>REVENUES!K24</f>
        <v>12177.361800000001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9.5" customHeight="1">
      <c r="A15" s="16"/>
      <c r="B15" s="16" t="s">
        <v>20</v>
      </c>
      <c r="C15" s="17"/>
      <c r="D15" s="18">
        <f>+REVENUES!G25</f>
        <v>10000</v>
      </c>
      <c r="E15" s="18">
        <f>+REVENUES!H25</f>
        <v>10000</v>
      </c>
      <c r="F15" s="18">
        <f>+REVENUES!I25</f>
        <v>10000</v>
      </c>
      <c r="G15" s="18">
        <f>+REVENUES!J25</f>
        <v>10000</v>
      </c>
      <c r="H15" s="18">
        <f>+REVENUES!K25</f>
        <v>10000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9.5" customHeight="1">
      <c r="A16" s="16"/>
      <c r="B16" s="16" t="s">
        <v>21</v>
      </c>
      <c r="C16" s="17"/>
      <c r="D16" s="18">
        <f>+REVENUES!G27</f>
        <v>105000</v>
      </c>
      <c r="E16" s="18">
        <f>+REVENUES!H27</f>
        <v>160650</v>
      </c>
      <c r="F16" s="18">
        <f>+REVENUES!I27</f>
        <v>218484</v>
      </c>
      <c r="G16" s="18">
        <f>+REVENUES!J27</f>
        <v>278567.09999999998</v>
      </c>
      <c r="H16" s="18">
        <f>+REVENUES!K27</f>
        <v>340966.13039999997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9.5" customHeight="1">
      <c r="A17" s="16"/>
      <c r="B17" s="16" t="s">
        <v>22</v>
      </c>
      <c r="C17" s="17"/>
      <c r="D17" s="194">
        <v>0</v>
      </c>
      <c r="E17" s="194">
        <f>REVENUES!H26</f>
        <v>28056.375</v>
      </c>
      <c r="F17" s="194">
        <f>REVENUES!I26</f>
        <v>40700.447999999997</v>
      </c>
      <c r="G17" s="194">
        <f>REVENUES!J26</f>
        <v>55136.388150000006</v>
      </c>
      <c r="H17" s="194">
        <f>REVENUES!K26</f>
        <v>67486.939095599999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9.5" customHeight="1">
      <c r="A18" s="16"/>
      <c r="B18" s="16" t="s">
        <v>23</v>
      </c>
      <c r="C18" s="17"/>
      <c r="D18" s="18">
        <f t="shared" ref="D18:H18" si="3">SUM(D13:D17)</f>
        <v>172000</v>
      </c>
      <c r="E18" s="18">
        <f t="shared" si="3"/>
        <v>276106.375</v>
      </c>
      <c r="F18" s="18">
        <f t="shared" si="3"/>
        <v>366987.44799999997</v>
      </c>
      <c r="G18" s="18">
        <f t="shared" si="3"/>
        <v>463652.31315</v>
      </c>
      <c r="H18" s="18">
        <f t="shared" si="3"/>
        <v>555630.43129560002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9.5" customHeight="1">
      <c r="A19" s="16"/>
      <c r="B19" s="19" t="s">
        <v>24</v>
      </c>
      <c r="C19" s="20"/>
      <c r="D19" s="21"/>
      <c r="E19" s="21"/>
      <c r="F19" s="21"/>
      <c r="G19" s="21"/>
      <c r="H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9.5" customHeight="1">
      <c r="A20" s="16"/>
      <c r="B20" s="16" t="s">
        <v>25</v>
      </c>
      <c r="C20" s="17"/>
      <c r="D20" s="18">
        <f>REVENUES!G32</f>
        <v>10000</v>
      </c>
      <c r="E20" s="18">
        <f>REVENUES!H32</f>
        <v>20000</v>
      </c>
      <c r="F20" s="18">
        <f>REVENUES!I32</f>
        <v>30000</v>
      </c>
      <c r="G20" s="18">
        <f>REVENUES!J32</f>
        <v>40000</v>
      </c>
      <c r="H20" s="18">
        <f>REVENUES!K32</f>
        <v>50000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9.5" customHeight="1">
      <c r="A21" s="16"/>
      <c r="B21" s="16" t="s">
        <v>272</v>
      </c>
      <c r="C21" s="17"/>
      <c r="D21" s="18">
        <f>REVENUES!G33</f>
        <v>2800000</v>
      </c>
      <c r="E21" s="18">
        <f>REVENUES!H33</f>
        <v>0</v>
      </c>
      <c r="F21" s="18">
        <f>REVENUES!I33</f>
        <v>0</v>
      </c>
      <c r="G21" s="18">
        <f>REVENUES!J33</f>
        <v>0</v>
      </c>
      <c r="H21" s="18">
        <f>REVENUES!K33</f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9.5" customHeight="1">
      <c r="A22" s="16"/>
      <c r="B22" s="16" t="s">
        <v>271</v>
      </c>
      <c r="C22" s="17"/>
      <c r="D22" s="18">
        <f>REVENUES!G34</f>
        <v>300000</v>
      </c>
      <c r="E22" s="18"/>
      <c r="F22" s="18"/>
      <c r="G22" s="18"/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>
      <c r="A23" s="16"/>
      <c r="B23" s="16"/>
      <c r="C23" s="17"/>
      <c r="D23" s="18"/>
      <c r="E23" s="18"/>
      <c r="F23" s="18"/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9.5" customHeight="1" thickBot="1">
      <c r="A24" s="16"/>
      <c r="B24" s="16" t="s">
        <v>26</v>
      </c>
      <c r="C24" s="17"/>
      <c r="D24" s="22">
        <f>D8+D11+D18+SUM(D20:D22)</f>
        <v>6195992.3295</v>
      </c>
      <c r="E24" s="22">
        <f>E8+E11+E18+SUM(E20:E21)</f>
        <v>5104785.8812499996</v>
      </c>
      <c r="F24" s="22">
        <f>F8+F11+F18+SUM(F20:F21)</f>
        <v>7079265.09268096</v>
      </c>
      <c r="G24" s="22">
        <f>G8+G11+G18+SUM(G20:G21)</f>
        <v>9141893.3212779127</v>
      </c>
      <c r="H24" s="22">
        <f>H8+H11+H18+SUM(H20:H21)</f>
        <v>11177174.225244164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9.5" customHeight="1" thickTop="1">
      <c r="A25" s="3"/>
      <c r="B25" s="3"/>
      <c r="C25" s="3"/>
      <c r="D25" s="3"/>
      <c r="E25" s="3"/>
      <c r="F25" s="3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9.5" customHeight="1">
      <c r="A26" s="3" t="s">
        <v>27</v>
      </c>
      <c r="B26" s="3"/>
      <c r="C26" s="3"/>
      <c r="D26" s="3"/>
      <c r="E26" s="3"/>
      <c r="F26" s="3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9.5" customHeight="1">
      <c r="A27" s="3"/>
      <c r="B27" s="16" t="s">
        <v>28</v>
      </c>
      <c r="C27" s="3"/>
      <c r="D27" s="23">
        <f>EXPENSES!I17</f>
        <v>1967796.81</v>
      </c>
      <c r="E27" s="23">
        <f>EXPENSES!J17</f>
        <v>2791560.60196725</v>
      </c>
      <c r="F27" s="23">
        <f>EXPENSES!K17</f>
        <v>3305210.8785182587</v>
      </c>
      <c r="G27" s="23">
        <f>EXPENSES!L17</f>
        <v>5178114.3808857966</v>
      </c>
      <c r="H27" s="23">
        <f>EXPENSES!M17</f>
        <v>6138802.6510551143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9.5" customHeight="1">
      <c r="A28" s="3"/>
      <c r="B28" s="16" t="s">
        <v>29</v>
      </c>
      <c r="C28" s="3"/>
      <c r="D28" s="23">
        <f>EXPENSES!I33</f>
        <v>752500</v>
      </c>
      <c r="E28" s="23">
        <f>EXPENSES!J33</f>
        <v>880150</v>
      </c>
      <c r="F28" s="23">
        <f>EXPENSES!K33</f>
        <v>1106370.08</v>
      </c>
      <c r="G28" s="23">
        <f>EXPENSES!L33</f>
        <v>1336068.3985329098</v>
      </c>
      <c r="H28" s="23">
        <f>EXPENSES!M33</f>
        <v>1582542.5835349229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9.5" customHeight="1">
      <c r="A29" s="3"/>
      <c r="B29" s="16" t="s">
        <v>30</v>
      </c>
      <c r="C29" s="3"/>
      <c r="D29" s="23">
        <f>EXPENSES!I38</f>
        <v>40000</v>
      </c>
      <c r="E29" s="23">
        <f>EXPENSES!J38</f>
        <v>50000</v>
      </c>
      <c r="F29" s="23">
        <v>120000</v>
      </c>
      <c r="G29" s="23">
        <v>150000</v>
      </c>
      <c r="H29" s="23">
        <v>175000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9.5" customHeight="1">
      <c r="A30" s="3"/>
      <c r="B30" s="16" t="s">
        <v>31</v>
      </c>
      <c r="C30" s="3"/>
      <c r="D30" s="23">
        <f>EXPENSES!I43</f>
        <v>55000</v>
      </c>
      <c r="E30" s="23">
        <f>EXPENSES!J43</f>
        <v>56650</v>
      </c>
      <c r="F30" s="23">
        <v>80000</v>
      </c>
      <c r="G30" s="23">
        <v>90000</v>
      </c>
      <c r="H30" s="23">
        <v>100000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9.5" customHeight="1">
      <c r="A31" s="3"/>
      <c r="B31" s="16" t="s">
        <v>32</v>
      </c>
      <c r="C31" s="3"/>
      <c r="D31" s="23">
        <f>EXPENSES!I48</f>
        <v>41250</v>
      </c>
      <c r="E31" s="23">
        <f>EXPENSES!J48</f>
        <v>63731.25</v>
      </c>
      <c r="F31" s="23">
        <f>EXPENSES!K48</f>
        <v>87524.25</v>
      </c>
      <c r="G31" s="23">
        <f>EXPENSES!L48</f>
        <v>112687.471875</v>
      </c>
      <c r="H31" s="23">
        <f>EXPENSES!M48</f>
        <v>139281.71523750003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9.5" customHeight="1">
      <c r="A32" s="3"/>
      <c r="B32" s="16" t="s">
        <v>33</v>
      </c>
      <c r="C32" s="3"/>
      <c r="D32" s="23">
        <f>EXPENSES!I57</f>
        <v>29675</v>
      </c>
      <c r="E32" s="23">
        <f>EXPENSES!J57</f>
        <v>44307.5</v>
      </c>
      <c r="F32" s="23">
        <f>EXPENSES!K57</f>
        <v>54629.512499999997</v>
      </c>
      <c r="G32" s="23">
        <f>EXPENSES!L57</f>
        <v>82617.482375000007</v>
      </c>
      <c r="H32" s="23">
        <f>EXPENSES!M57</f>
        <v>96638.262512000016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9.5" customHeight="1">
      <c r="A33" s="3"/>
      <c r="B33" s="16" t="s">
        <v>34</v>
      </c>
      <c r="C33" s="3"/>
      <c r="D33" s="23">
        <f>+EXPENSES!I64</f>
        <v>110000</v>
      </c>
      <c r="E33" s="23">
        <v>60000</v>
      </c>
      <c r="F33" s="23">
        <f>+EXPENSES!K64</f>
        <v>90000</v>
      </c>
      <c r="G33" s="23">
        <f>+EXPENSES!L64</f>
        <v>100000</v>
      </c>
      <c r="H33" s="23">
        <f>+EXPENSES!M64</f>
        <v>110000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9.5" customHeight="1">
      <c r="A34" s="3"/>
      <c r="B34" s="16" t="s">
        <v>35</v>
      </c>
      <c r="C34" s="3"/>
      <c r="D34" s="23">
        <f>EXPENSES!I73</f>
        <v>310000</v>
      </c>
      <c r="E34" s="23">
        <f>EXPENSES!J73</f>
        <v>145000</v>
      </c>
      <c r="F34" s="23">
        <v>252279</v>
      </c>
      <c r="G34" s="23">
        <f>EXPENSES!L73</f>
        <v>125000</v>
      </c>
      <c r="H34" s="23">
        <f>EXPENSES!M73</f>
        <v>130000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9.5" customHeight="1">
      <c r="A35" s="3"/>
      <c r="B35" s="16" t="s">
        <v>36</v>
      </c>
      <c r="C35" s="3"/>
      <c r="D35" s="23">
        <f>EXPENSES!I82+2300000</f>
        <v>2712419.7698849998</v>
      </c>
      <c r="E35" s="23">
        <f>EXPENSES!J82+150000</f>
        <v>741959.47778124991</v>
      </c>
      <c r="F35" s="23">
        <f>EXPENSES!K82</f>
        <v>1011602.7586808576</v>
      </c>
      <c r="G35" s="23">
        <f>EXPENSES!L82</f>
        <v>1599176.7455689539</v>
      </c>
      <c r="H35" s="23">
        <f>EXPENSES!M82</f>
        <v>1842519.3047658852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9.5" customHeight="1">
      <c r="A36" s="3"/>
      <c r="B36" s="16" t="s">
        <v>251</v>
      </c>
      <c r="C36" s="3"/>
      <c r="D36" s="345">
        <f>EXPENSES!I84</f>
        <v>105000</v>
      </c>
      <c r="E36" s="345">
        <f>EXPENSES!J84</f>
        <v>105000</v>
      </c>
      <c r="F36" s="345">
        <f>EXPENSES!K84</f>
        <v>105000</v>
      </c>
      <c r="G36" s="345">
        <f>EXPENSES!L84</f>
        <v>0</v>
      </c>
      <c r="H36" s="345">
        <f>EXPENSES!M84</f>
        <v>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9.5" customHeight="1">
      <c r="A37" s="3"/>
      <c r="B37" s="16"/>
      <c r="C37" s="3"/>
      <c r="D37" s="23"/>
      <c r="E37" s="23"/>
      <c r="F37" s="23"/>
      <c r="G37" s="23"/>
      <c r="H37" s="2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9.5" customHeight="1" thickBot="1">
      <c r="A38" s="3"/>
      <c r="B38" s="16" t="s">
        <v>37</v>
      </c>
      <c r="C38" s="17"/>
      <c r="D38" s="22">
        <f>SUM(D27:D36)</f>
        <v>6123641.5798850004</v>
      </c>
      <c r="E38" s="22">
        <f t="shared" ref="E38:H38" si="4">SUM(E27:E36)</f>
        <v>4938358.8297485001</v>
      </c>
      <c r="F38" s="22">
        <f t="shared" si="4"/>
        <v>6212616.4796991171</v>
      </c>
      <c r="G38" s="22">
        <f t="shared" si="4"/>
        <v>8773664.4792376608</v>
      </c>
      <c r="H38" s="22">
        <f t="shared" si="4"/>
        <v>10314784.517105423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9.5" customHeight="1" thickTop="1">
      <c r="A39" s="3"/>
      <c r="B39" s="3"/>
      <c r="C39" s="3"/>
      <c r="D39" s="3"/>
      <c r="E39" s="3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9.5" customHeight="1" thickBot="1">
      <c r="A40" s="3"/>
      <c r="B40" s="16" t="s">
        <v>38</v>
      </c>
      <c r="C40" s="3"/>
      <c r="D40" s="24">
        <f t="shared" ref="D40:H40" si="5">D24-D38</f>
        <v>72350.74961499963</v>
      </c>
      <c r="E40" s="24">
        <f t="shared" si="5"/>
        <v>166427.05150149949</v>
      </c>
      <c r="F40" s="24">
        <f t="shared" si="5"/>
        <v>866648.61298184283</v>
      </c>
      <c r="G40" s="24">
        <f t="shared" si="5"/>
        <v>368228.84204025194</v>
      </c>
      <c r="H40" s="24">
        <f t="shared" si="5"/>
        <v>862389.70813874155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9.5" customHeight="1" thickTop="1">
      <c r="A41" s="3"/>
      <c r="B41" s="3"/>
      <c r="C41" s="3"/>
      <c r="D41" s="3"/>
      <c r="E41" s="3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9.5" customHeight="1">
      <c r="A42" s="3"/>
      <c r="B42" s="16" t="s">
        <v>39</v>
      </c>
      <c r="C42" s="3"/>
      <c r="D42" s="25">
        <v>0</v>
      </c>
      <c r="E42" s="25">
        <f t="shared" ref="E42:H42" si="6">D43</f>
        <v>72350.74961499963</v>
      </c>
      <c r="F42" s="25">
        <f t="shared" si="6"/>
        <v>238777.80111649912</v>
      </c>
      <c r="G42" s="25">
        <f t="shared" si="6"/>
        <v>1105426.4140983419</v>
      </c>
      <c r="H42" s="25">
        <f t="shared" si="6"/>
        <v>1473655.2561385939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9.5" customHeight="1">
      <c r="A43" s="3"/>
      <c r="B43" s="16" t="s">
        <v>40</v>
      </c>
      <c r="C43" s="3"/>
      <c r="D43" s="25">
        <f t="shared" ref="D43:H43" si="7">D42+D40</f>
        <v>72350.74961499963</v>
      </c>
      <c r="E43" s="25">
        <f t="shared" si="7"/>
        <v>238777.80111649912</v>
      </c>
      <c r="F43" s="25">
        <f t="shared" si="7"/>
        <v>1105426.4140983419</v>
      </c>
      <c r="G43" s="25">
        <f t="shared" si="7"/>
        <v>1473655.2561385939</v>
      </c>
      <c r="H43" s="25">
        <f t="shared" si="7"/>
        <v>2336044.9642773354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9.5" customHeight="1">
      <c r="A49" s="4"/>
      <c r="B49" s="367" t="s">
        <v>211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8.25" customHeight="1" thickBot="1">
      <c r="A50" s="191"/>
      <c r="B50" s="368"/>
      <c r="C50" s="362"/>
      <c r="D50" s="363" t="s">
        <v>212</v>
      </c>
      <c r="E50" s="363" t="s">
        <v>213</v>
      </c>
      <c r="F50" s="363" t="s">
        <v>214</v>
      </c>
      <c r="G50" s="363" t="s">
        <v>215</v>
      </c>
      <c r="H50" s="363" t="s">
        <v>216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8.25" customHeight="1">
      <c r="A51" s="4"/>
      <c r="B51" s="369" t="s">
        <v>26</v>
      </c>
      <c r="C51" s="364"/>
      <c r="D51" s="365">
        <f>D24</f>
        <v>6195992.3295</v>
      </c>
      <c r="E51" s="365">
        <f t="shared" ref="E51:H51" si="8">E24</f>
        <v>5104785.8812499996</v>
      </c>
      <c r="F51" s="365">
        <f t="shared" si="8"/>
        <v>7079265.09268096</v>
      </c>
      <c r="G51" s="365">
        <f t="shared" si="8"/>
        <v>9141893.3212779127</v>
      </c>
      <c r="H51" s="365">
        <f t="shared" si="8"/>
        <v>11177174.225244164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28.25" customHeight="1">
      <c r="A52" s="4"/>
      <c r="B52" s="369" t="s">
        <v>37</v>
      </c>
      <c r="C52" s="364"/>
      <c r="D52" s="365">
        <f>D38</f>
        <v>6123641.5798850004</v>
      </c>
      <c r="E52" s="365">
        <f t="shared" ref="E52:H52" si="9">E38</f>
        <v>4938358.8297485001</v>
      </c>
      <c r="F52" s="365">
        <f t="shared" si="9"/>
        <v>6212616.4796991171</v>
      </c>
      <c r="G52" s="365">
        <f t="shared" si="9"/>
        <v>8773664.4792376608</v>
      </c>
      <c r="H52" s="365">
        <f t="shared" si="9"/>
        <v>10314784.517105423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8.25" customHeight="1">
      <c r="A53" s="4"/>
      <c r="B53" s="369" t="s">
        <v>217</v>
      </c>
      <c r="C53" s="366"/>
      <c r="D53" s="365">
        <f>D51-D52</f>
        <v>72350.74961499963</v>
      </c>
      <c r="E53" s="365">
        <f t="shared" ref="E53:H53" si="10">E51-E52</f>
        <v>166427.05150149949</v>
      </c>
      <c r="F53" s="365">
        <f t="shared" si="10"/>
        <v>866648.61298184283</v>
      </c>
      <c r="G53" s="365">
        <f t="shared" si="10"/>
        <v>368228.84204025194</v>
      </c>
      <c r="H53" s="365">
        <f t="shared" si="10"/>
        <v>862389.70813874155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8.25" customHeight="1">
      <c r="A54" s="4"/>
      <c r="B54" s="369" t="s">
        <v>218</v>
      </c>
      <c r="C54" s="366"/>
      <c r="D54" s="365">
        <f>D53</f>
        <v>72350.74961499963</v>
      </c>
      <c r="E54" s="365">
        <f>D54+E53</f>
        <v>238777.80111649912</v>
      </c>
      <c r="F54" s="365">
        <f t="shared" ref="F54:H54" si="11">E54+F53</f>
        <v>1105426.4140983419</v>
      </c>
      <c r="G54" s="365">
        <f t="shared" si="11"/>
        <v>1473655.2561385939</v>
      </c>
      <c r="H54" s="365">
        <f t="shared" si="11"/>
        <v>2336044.9642773354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9.5" customHeight="1">
      <c r="A55" s="4"/>
      <c r="B55" s="4"/>
      <c r="C55" s="4" t="s">
        <v>267</v>
      </c>
      <c r="D55" s="388">
        <f>D54/D52</f>
        <v>1.1814987646020646E-2</v>
      </c>
      <c r="E55" s="388">
        <f t="shared" ref="E55:H55" si="12">E54/E52</f>
        <v>4.8351650689721054E-2</v>
      </c>
      <c r="F55" s="388">
        <f t="shared" si="12"/>
        <v>0.17793250520300569</v>
      </c>
      <c r="G55" s="388">
        <f t="shared" si="12"/>
        <v>0.16796348431443997</v>
      </c>
      <c r="H55" s="388">
        <f t="shared" si="12"/>
        <v>0.22647540143988251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</sheetData>
  <sheetProtection algorithmName="SHA-512" hashValue="hWGmp+cdKcZlko8LA+cakYv/th2ri0R+3plqSzEgeMV44FQWFN5frMaRk7ZJn8BBZU6fDTKOByDhpz1m3EcBBQ==" saltValue="d1gNqdRq5RLvEbHT8HcI1g==" spinCount="100000" sheet="1" objects="1" scenarios="1"/>
  <conditionalFormatting sqref="B38:C38 B40 B42:B43">
    <cfRule type="cellIs" dxfId="6" priority="5" stopIfTrue="1" operator="lessThan">
      <formula>0</formula>
    </cfRule>
  </conditionalFormatting>
  <conditionalFormatting sqref="D6:H40">
    <cfRule type="cellIs" dxfId="5" priority="1" stopIfTrue="1" operator="equal">
      <formula>0</formula>
    </cfRule>
  </conditionalFormatting>
  <printOptions horizontalCentered="1"/>
  <pageMargins left="0.5" right="0.5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99"/>
  <sheetViews>
    <sheetView showGridLines="0" workbookViewId="0">
      <pane ySplit="5" topLeftCell="A6" activePane="bottomLeft" state="frozen"/>
      <selection pane="bottomLeft" activeCell="B35" sqref="B35"/>
    </sheetView>
  </sheetViews>
  <sheetFormatPr baseColWidth="10" defaultColWidth="12.6640625" defaultRowHeight="15" customHeight="1"/>
  <cols>
    <col min="1" max="1" width="2.1640625" customWidth="1"/>
    <col min="2" max="2" width="24.1640625" customWidth="1"/>
    <col min="3" max="3" width="9.1640625" customWidth="1"/>
    <col min="4" max="4" width="16.6640625" customWidth="1"/>
    <col min="5" max="5" width="10.5" customWidth="1"/>
    <col min="6" max="6" width="17.1640625" customWidth="1"/>
    <col min="7" max="11" width="13.1640625" customWidth="1"/>
    <col min="12" max="12" width="2.6640625" customWidth="1"/>
    <col min="13" max="13" width="22.1640625" customWidth="1"/>
    <col min="14" max="14" width="2.1640625" customWidth="1"/>
    <col min="15" max="15" width="22.1640625" customWidth="1"/>
    <col min="16" max="19" width="10.1640625" customWidth="1"/>
    <col min="20" max="20" width="14.33203125" customWidth="1"/>
    <col min="21" max="21" width="14" customWidth="1"/>
    <col min="22" max="22" width="10.1640625" customWidth="1"/>
  </cols>
  <sheetData>
    <row r="1" spans="1:22" ht="19.5" customHeight="1">
      <c r="A1" s="4"/>
      <c r="B1" s="26" t="str">
        <f>+Overview!A3</f>
        <v>Valley Forge Public Service Academy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9.5" customHeight="1">
      <c r="A2" s="27" t="s">
        <v>41</v>
      </c>
      <c r="B2" s="28"/>
      <c r="C2" s="29"/>
      <c r="D2" s="30"/>
      <c r="E2" s="29"/>
      <c r="F2" s="30"/>
      <c r="G2" s="29"/>
      <c r="H2" s="29"/>
      <c r="I2" s="29"/>
      <c r="J2" s="29"/>
      <c r="K2" s="29"/>
      <c r="L2" s="29"/>
      <c r="M2" s="30"/>
      <c r="N2" s="29"/>
      <c r="O2" s="31"/>
      <c r="P2" s="4"/>
      <c r="Q2" s="4"/>
      <c r="R2" s="4"/>
      <c r="S2" s="4"/>
      <c r="T2" s="4"/>
      <c r="U2" s="4"/>
      <c r="V2" s="4"/>
    </row>
    <row r="3" spans="1:22" ht="19.5" customHeight="1">
      <c r="A3" s="32"/>
      <c r="B3" s="33" t="s">
        <v>42</v>
      </c>
      <c r="C3" s="34">
        <v>0.02</v>
      </c>
      <c r="D3" s="35"/>
      <c r="E3" s="16"/>
      <c r="F3" s="35"/>
      <c r="G3" s="35"/>
      <c r="H3" s="35"/>
      <c r="I3" s="35"/>
      <c r="J3" s="35"/>
      <c r="K3" s="35"/>
      <c r="L3" s="16"/>
      <c r="M3" s="35"/>
      <c r="N3" s="36"/>
      <c r="O3" s="4"/>
      <c r="P3" s="4"/>
      <c r="Q3" s="4"/>
      <c r="R3" s="4"/>
      <c r="S3" s="4"/>
      <c r="T3" s="4"/>
      <c r="U3" s="4"/>
      <c r="V3" s="4"/>
    </row>
    <row r="4" spans="1:22" ht="19.5" customHeight="1">
      <c r="A4" s="37"/>
      <c r="B4" s="16"/>
      <c r="C4" s="16"/>
      <c r="D4" s="16"/>
      <c r="E4" s="16"/>
      <c r="F4" s="35"/>
      <c r="G4" s="35"/>
      <c r="H4" s="35"/>
      <c r="I4" s="35"/>
      <c r="J4" s="35"/>
      <c r="K4" s="35"/>
      <c r="L4" s="35"/>
      <c r="M4" s="16"/>
      <c r="N4" s="35"/>
      <c r="O4" s="36"/>
      <c r="P4" s="4"/>
      <c r="Q4" s="4"/>
      <c r="R4" s="4"/>
      <c r="S4" s="4"/>
      <c r="T4" s="4"/>
      <c r="U4" s="4"/>
      <c r="V4" s="4"/>
    </row>
    <row r="5" spans="1:22" ht="19.5" customHeight="1">
      <c r="A5" s="38"/>
      <c r="B5" s="195"/>
      <c r="C5" s="391" t="s">
        <v>43</v>
      </c>
      <c r="D5" s="392"/>
      <c r="E5" s="391" t="s">
        <v>44</v>
      </c>
      <c r="F5" s="392"/>
      <c r="G5" s="196">
        <v>2026</v>
      </c>
      <c r="H5" s="196">
        <f t="shared" ref="H5:K5" si="0">G5+1</f>
        <v>2027</v>
      </c>
      <c r="I5" s="196">
        <f t="shared" si="0"/>
        <v>2028</v>
      </c>
      <c r="J5" s="196">
        <f t="shared" si="0"/>
        <v>2029</v>
      </c>
      <c r="K5" s="196">
        <f t="shared" si="0"/>
        <v>2030</v>
      </c>
      <c r="L5" s="39"/>
      <c r="M5" s="197" t="s">
        <v>45</v>
      </c>
      <c r="N5" s="39"/>
      <c r="O5" s="40" t="s">
        <v>46</v>
      </c>
      <c r="P5" s="4"/>
      <c r="Q5" s="4"/>
      <c r="R5" s="4"/>
      <c r="S5" s="4"/>
      <c r="T5" s="4"/>
      <c r="U5" s="4"/>
      <c r="V5" s="4"/>
    </row>
    <row r="6" spans="1:22" ht="19.5" customHeight="1">
      <c r="A6" s="41" t="s">
        <v>47</v>
      </c>
      <c r="B6" s="42"/>
      <c r="C6" s="42"/>
      <c r="D6" s="42"/>
      <c r="E6" s="42"/>
      <c r="F6" s="42"/>
      <c r="G6" s="43">
        <v>1</v>
      </c>
      <c r="H6" s="43">
        <f t="shared" ref="H6:K6" si="1">G6*(1+$C$3)</f>
        <v>1.02</v>
      </c>
      <c r="I6" s="43">
        <f t="shared" si="1"/>
        <v>1.0404</v>
      </c>
      <c r="J6" s="43">
        <f t="shared" si="1"/>
        <v>1.0612079999999999</v>
      </c>
      <c r="K6" s="43">
        <f t="shared" si="1"/>
        <v>1.08243216</v>
      </c>
      <c r="L6" s="44"/>
      <c r="M6" s="45"/>
      <c r="N6" s="44"/>
      <c r="O6" s="46"/>
      <c r="P6" s="4"/>
      <c r="Q6" s="4"/>
      <c r="R6" s="389" t="s">
        <v>48</v>
      </c>
      <c r="S6" s="390"/>
      <c r="T6" s="390"/>
      <c r="U6" s="390"/>
      <c r="V6" s="4"/>
    </row>
    <row r="7" spans="1:22" ht="19.5" customHeight="1">
      <c r="A7" s="47" t="s">
        <v>49</v>
      </c>
      <c r="B7" s="48"/>
      <c r="C7" s="49"/>
      <c r="D7" s="50"/>
      <c r="E7" s="51"/>
      <c r="F7" s="48"/>
      <c r="G7" s="51"/>
      <c r="H7" s="51"/>
      <c r="I7" s="51"/>
      <c r="J7" s="51"/>
      <c r="K7" s="51"/>
      <c r="L7" s="35"/>
      <c r="M7" s="16"/>
      <c r="N7" s="35"/>
      <c r="O7" s="36"/>
      <c r="P7" s="4"/>
      <c r="Q7" s="4"/>
      <c r="R7" s="4"/>
      <c r="S7" s="4"/>
      <c r="T7" s="4" t="s">
        <v>50</v>
      </c>
      <c r="U7" s="4" t="s">
        <v>51</v>
      </c>
      <c r="V7" s="4"/>
    </row>
    <row r="8" spans="1:22" ht="19.5" customHeight="1">
      <c r="A8" s="52" t="s">
        <v>52</v>
      </c>
      <c r="B8" s="16"/>
      <c r="C8" s="53"/>
      <c r="D8" s="18"/>
      <c r="E8" s="35"/>
      <c r="F8" s="16"/>
      <c r="G8" s="54">
        <v>0.02</v>
      </c>
      <c r="H8" s="54">
        <v>0.02</v>
      </c>
      <c r="I8" s="54">
        <v>0.02</v>
      </c>
      <c r="J8" s="54">
        <v>0.02</v>
      </c>
      <c r="K8" s="54">
        <v>0.02</v>
      </c>
      <c r="L8" s="35"/>
      <c r="M8" s="16"/>
      <c r="N8" s="35"/>
      <c r="O8" s="36"/>
      <c r="P8" s="4"/>
      <c r="Q8" s="4"/>
      <c r="R8" s="4" t="s">
        <v>53</v>
      </c>
      <c r="S8" s="4"/>
      <c r="T8" s="55">
        <v>11680.64</v>
      </c>
      <c r="U8" s="55">
        <v>36062.11</v>
      </c>
      <c r="V8" s="4"/>
    </row>
    <row r="9" spans="1:22" ht="19.5" customHeight="1">
      <c r="A9" s="52"/>
      <c r="B9" s="16" t="s">
        <v>54</v>
      </c>
      <c r="C9" s="53"/>
      <c r="D9" s="18"/>
      <c r="E9" s="35"/>
      <c r="F9" s="16"/>
      <c r="G9" s="56">
        <f>1+G8</f>
        <v>1.02</v>
      </c>
      <c r="H9" s="56">
        <f t="shared" ref="H9:K9" si="2">G9*(1+H8)</f>
        <v>1.0404</v>
      </c>
      <c r="I9" s="56">
        <f t="shared" si="2"/>
        <v>1.0612079999999999</v>
      </c>
      <c r="J9" s="56">
        <f t="shared" si="2"/>
        <v>1.08243216</v>
      </c>
      <c r="K9" s="56">
        <f t="shared" si="2"/>
        <v>1.1040808032</v>
      </c>
      <c r="L9" s="35"/>
      <c r="M9" s="16"/>
      <c r="N9" s="35"/>
      <c r="O9" s="36"/>
      <c r="P9" s="4"/>
      <c r="Q9" s="4"/>
      <c r="R9" s="4" t="s">
        <v>55</v>
      </c>
      <c r="S9" s="4"/>
      <c r="T9" s="55">
        <v>19337.28</v>
      </c>
      <c r="U9" s="55">
        <v>46779.73</v>
      </c>
      <c r="V9" s="4"/>
    </row>
    <row r="10" spans="1:22" ht="19.5" customHeight="1">
      <c r="A10" s="52"/>
      <c r="B10" s="16"/>
      <c r="C10" s="53"/>
      <c r="D10" s="18"/>
      <c r="E10" s="35"/>
      <c r="F10" s="16"/>
      <c r="G10" s="56"/>
      <c r="H10" s="56"/>
      <c r="I10" s="56"/>
      <c r="J10" s="56"/>
      <c r="K10" s="56"/>
      <c r="L10" s="35"/>
      <c r="M10" s="16"/>
      <c r="N10" s="35"/>
      <c r="O10" s="36"/>
      <c r="P10" s="4"/>
      <c r="Q10" s="4"/>
      <c r="R10" s="4" t="s">
        <v>56</v>
      </c>
      <c r="S10" s="4"/>
      <c r="T10" s="55">
        <v>12176.72</v>
      </c>
      <c r="U10" s="55">
        <v>49337.69</v>
      </c>
      <c r="V10" s="4"/>
    </row>
    <row r="11" spans="1:22" ht="19.5" customHeight="1">
      <c r="A11" s="52"/>
      <c r="B11" s="16" t="s">
        <v>57</v>
      </c>
      <c r="C11" s="53">
        <f>'District Funding'!B29</f>
        <v>16096.22</v>
      </c>
      <c r="D11" s="18"/>
      <c r="E11" s="57"/>
      <c r="F11" s="58"/>
      <c r="G11" s="59">
        <f>$C11*Students!C17*G9</f>
        <v>2216449.4939999999</v>
      </c>
      <c r="H11" s="59">
        <f>$C11*Students!D17</f>
        <v>3078402.0749999997</v>
      </c>
      <c r="I11" s="59">
        <f>$C11*Students!E17*I9</f>
        <v>4304522.2333075199</v>
      </c>
      <c r="J11" s="59">
        <f>$C11*Students!F17*J9</f>
        <v>5422929.3492829558</v>
      </c>
      <c r="K11" s="59">
        <f>$C11*Students!G17*K9</f>
        <v>6637665.5235223379</v>
      </c>
      <c r="L11" s="35"/>
      <c r="M11" s="16"/>
      <c r="N11" s="35"/>
      <c r="O11" s="36" t="s">
        <v>58</v>
      </c>
      <c r="P11" s="4"/>
      <c r="Q11" s="4"/>
      <c r="R11" s="4"/>
      <c r="S11" s="4"/>
      <c r="T11" s="4"/>
      <c r="U11" s="4"/>
      <c r="V11" s="4"/>
    </row>
    <row r="12" spans="1:22" ht="19.5" customHeight="1">
      <c r="A12" s="52"/>
      <c r="B12" s="16" t="s">
        <v>59</v>
      </c>
      <c r="C12" s="53">
        <f>'District Funding'!C29</f>
        <v>45591.035000000003</v>
      </c>
      <c r="D12" s="18"/>
      <c r="E12" s="57"/>
      <c r="F12" s="58"/>
      <c r="G12" s="59">
        <f>$C12*Students!C16*G9</f>
        <v>697542.83550000004</v>
      </c>
      <c r="H12" s="59">
        <f>$C12*Students!D16+50000</f>
        <v>1588697.4312500001</v>
      </c>
      <c r="I12" s="59">
        <f>$C12*Students!E16*I9</f>
        <v>2322315.4113734402</v>
      </c>
      <c r="J12" s="59">
        <f>$C12*Students!F16*J9</f>
        <v>3146011.6588449576</v>
      </c>
      <c r="K12" s="59">
        <f>$C12*Students!G16*K9</f>
        <v>3850718.2704262277</v>
      </c>
      <c r="L12" s="35"/>
      <c r="M12" s="16"/>
      <c r="N12" s="35"/>
      <c r="O12" s="36" t="s">
        <v>58</v>
      </c>
      <c r="P12" s="4"/>
      <c r="Q12" s="4"/>
      <c r="R12" s="389" t="s">
        <v>60</v>
      </c>
      <c r="S12" s="390"/>
      <c r="T12" s="390"/>
      <c r="U12" s="390"/>
      <c r="V12" s="4"/>
    </row>
    <row r="13" spans="1:22" ht="19.5" customHeight="1">
      <c r="A13" s="52"/>
      <c r="B13" s="16"/>
      <c r="C13" s="53"/>
      <c r="D13" s="18"/>
      <c r="E13" s="57"/>
      <c r="F13" s="58"/>
      <c r="G13" s="53"/>
      <c r="H13" s="53"/>
      <c r="I13" s="53"/>
      <c r="J13" s="53"/>
      <c r="K13" s="53"/>
      <c r="L13" s="35"/>
      <c r="M13" s="16"/>
      <c r="N13" s="35"/>
      <c r="O13" s="36" t="s">
        <v>58</v>
      </c>
      <c r="P13" s="4"/>
      <c r="Q13" s="4"/>
      <c r="R13" s="4"/>
      <c r="S13" s="4"/>
      <c r="T13" s="4" t="s">
        <v>50</v>
      </c>
      <c r="U13" s="4" t="s">
        <v>51</v>
      </c>
      <c r="V13" s="4"/>
    </row>
    <row r="14" spans="1:22" ht="19.5" customHeight="1">
      <c r="A14" s="52"/>
      <c r="B14" s="198"/>
      <c r="C14" s="199"/>
      <c r="D14" s="194"/>
      <c r="E14" s="200"/>
      <c r="F14" s="201"/>
      <c r="G14" s="199"/>
      <c r="H14" s="199"/>
      <c r="I14" s="199"/>
      <c r="J14" s="199"/>
      <c r="K14" s="199"/>
      <c r="L14" s="35"/>
      <c r="M14" s="16"/>
      <c r="N14" s="35"/>
      <c r="O14" s="36" t="s">
        <v>58</v>
      </c>
      <c r="P14" s="4"/>
      <c r="Q14" s="4"/>
      <c r="R14" s="4" t="s">
        <v>53</v>
      </c>
      <c r="S14" s="4"/>
      <c r="T14" s="55">
        <v>62</v>
      </c>
      <c r="U14" s="55">
        <v>13</v>
      </c>
      <c r="V14" s="4"/>
    </row>
    <row r="15" spans="1:22" ht="19.5" customHeight="1">
      <c r="A15" s="52"/>
      <c r="B15" s="60" t="str">
        <f>CONCATENATE("total ",A7)</f>
        <v>total local revenues</v>
      </c>
      <c r="C15" s="61"/>
      <c r="D15" s="62"/>
      <c r="E15" s="63"/>
      <c r="F15" s="64"/>
      <c r="G15" s="65">
        <f t="shared" ref="G15:K15" si="3">SUM(G11:G14)</f>
        <v>2913992.3295</v>
      </c>
      <c r="H15" s="65">
        <f t="shared" si="3"/>
        <v>4667099.5062499996</v>
      </c>
      <c r="I15" s="65">
        <f t="shared" si="3"/>
        <v>6626837.6446809601</v>
      </c>
      <c r="J15" s="65">
        <f t="shared" si="3"/>
        <v>8568941.0081279129</v>
      </c>
      <c r="K15" s="65">
        <f t="shared" si="3"/>
        <v>10488383.793948565</v>
      </c>
      <c r="L15" s="35"/>
      <c r="M15" s="16"/>
      <c r="N15" s="35"/>
      <c r="O15" s="36"/>
      <c r="P15" s="4"/>
      <c r="Q15" s="4"/>
      <c r="R15" s="4" t="s">
        <v>55</v>
      </c>
      <c r="S15" s="4"/>
      <c r="T15" s="55">
        <v>21</v>
      </c>
      <c r="U15" s="55">
        <v>4</v>
      </c>
      <c r="V15" s="4"/>
    </row>
    <row r="16" spans="1:22" ht="19.5" customHeight="1">
      <c r="A16" s="66"/>
      <c r="B16" s="67"/>
      <c r="C16" s="67"/>
      <c r="D16" s="67"/>
      <c r="E16" s="67"/>
      <c r="F16" s="67"/>
      <c r="G16" s="68"/>
      <c r="H16" s="68"/>
      <c r="I16" s="68"/>
      <c r="J16" s="68"/>
      <c r="K16" s="68"/>
      <c r="L16" s="44"/>
      <c r="M16" s="69"/>
      <c r="N16" s="44"/>
      <c r="O16" s="70"/>
      <c r="P16" s="4"/>
      <c r="Q16" s="4"/>
      <c r="R16" s="4" t="s">
        <v>56</v>
      </c>
      <c r="S16" s="4"/>
      <c r="T16" s="55">
        <v>21</v>
      </c>
      <c r="U16" s="55">
        <v>4</v>
      </c>
      <c r="V16" s="4"/>
    </row>
    <row r="17" spans="1:22" ht="19.5" customHeight="1">
      <c r="A17" s="71" t="s">
        <v>61</v>
      </c>
      <c r="B17" s="72"/>
      <c r="C17" s="73"/>
      <c r="D17" s="72"/>
      <c r="E17" s="73"/>
      <c r="F17" s="72"/>
      <c r="G17" s="73"/>
      <c r="H17" s="73"/>
      <c r="I17" s="73"/>
      <c r="J17" s="73"/>
      <c r="K17" s="73"/>
      <c r="L17" s="35"/>
      <c r="M17" s="16"/>
      <c r="N17" s="35"/>
      <c r="O17" s="36"/>
      <c r="P17" s="4"/>
      <c r="Q17" s="4"/>
      <c r="R17" s="4"/>
      <c r="S17" s="4"/>
      <c r="T17" s="55">
        <f t="shared" ref="T17:U17" si="4">SUM(T14:T16)</f>
        <v>104</v>
      </c>
      <c r="U17" s="55">
        <f t="shared" si="4"/>
        <v>21</v>
      </c>
      <c r="V17" s="4"/>
    </row>
    <row r="18" spans="1:22" ht="19.5" customHeight="1">
      <c r="A18" s="52"/>
      <c r="B18" s="16" t="s">
        <v>15</v>
      </c>
      <c r="C18" s="74">
        <v>220</v>
      </c>
      <c r="D18" s="18" t="s">
        <v>62</v>
      </c>
      <c r="E18" s="54">
        <v>0.84</v>
      </c>
      <c r="F18" s="58" t="s">
        <v>63</v>
      </c>
      <c r="G18" s="59"/>
      <c r="H18" s="59">
        <f>$C18*Students!D13*$E18</f>
        <v>41580</v>
      </c>
      <c r="I18" s="59">
        <f>$C18*Students!E13*$E18</f>
        <v>55440</v>
      </c>
      <c r="J18" s="59">
        <f>$C18*Students!F13*$E18</f>
        <v>69300</v>
      </c>
      <c r="K18" s="59">
        <f>$C18*Students!G13*$E18</f>
        <v>83160</v>
      </c>
      <c r="L18" s="35"/>
      <c r="M18" s="16"/>
      <c r="N18" s="35"/>
      <c r="O18" s="36"/>
      <c r="P18" s="4"/>
      <c r="Q18" s="4"/>
      <c r="R18" s="4"/>
      <c r="S18" s="4"/>
      <c r="T18" s="4"/>
      <c r="U18" s="4"/>
      <c r="V18" s="4"/>
    </row>
    <row r="19" spans="1:22" ht="19.5" customHeight="1">
      <c r="A19" s="52"/>
      <c r="B19" s="198"/>
      <c r="C19" s="202"/>
      <c r="D19" s="194"/>
      <c r="E19" s="200"/>
      <c r="F19" s="201"/>
      <c r="G19" s="203"/>
      <c r="H19" s="203"/>
      <c r="I19" s="203"/>
      <c r="J19" s="203"/>
      <c r="K19" s="203"/>
      <c r="L19" s="35"/>
      <c r="M19" s="16"/>
      <c r="N19" s="35"/>
      <c r="O19" s="36"/>
      <c r="P19" s="4"/>
      <c r="Q19" s="4"/>
      <c r="R19" s="4"/>
      <c r="S19" s="4"/>
      <c r="T19" s="4"/>
      <c r="U19" s="4"/>
      <c r="V19" s="4"/>
    </row>
    <row r="20" spans="1:22" ht="19.5" customHeight="1">
      <c r="A20" s="52"/>
      <c r="B20" s="60" t="str">
        <f>CONCATENATE("total ",A17)</f>
        <v>total state revenues</v>
      </c>
      <c r="C20" s="61"/>
      <c r="D20" s="62"/>
      <c r="E20" s="63"/>
      <c r="F20" s="64"/>
      <c r="G20" s="75">
        <f t="shared" ref="G20:K20" si="5">SUM(G18:G19)</f>
        <v>0</v>
      </c>
      <c r="H20" s="75">
        <f t="shared" si="5"/>
        <v>41580</v>
      </c>
      <c r="I20" s="75">
        <f t="shared" si="5"/>
        <v>55440</v>
      </c>
      <c r="J20" s="75">
        <f t="shared" si="5"/>
        <v>69300</v>
      </c>
      <c r="K20" s="75">
        <f t="shared" si="5"/>
        <v>83160</v>
      </c>
      <c r="L20" s="35"/>
      <c r="M20" s="16"/>
      <c r="N20" s="35"/>
      <c r="O20" s="36"/>
      <c r="P20" s="4"/>
      <c r="Q20" s="4"/>
      <c r="R20" s="4"/>
      <c r="S20" s="4"/>
      <c r="T20" s="4"/>
      <c r="U20" s="4"/>
      <c r="V20" s="4"/>
    </row>
    <row r="21" spans="1:22" ht="19.5" customHeight="1">
      <c r="A21" s="52"/>
      <c r="B21" s="16"/>
      <c r="C21" s="76"/>
      <c r="D21" s="77"/>
      <c r="E21" s="39"/>
      <c r="F21" s="78"/>
      <c r="G21" s="35"/>
      <c r="H21" s="35"/>
      <c r="I21" s="35"/>
      <c r="J21" s="35"/>
      <c r="K21" s="35"/>
      <c r="L21" s="35"/>
      <c r="M21" s="16"/>
      <c r="N21" s="35"/>
      <c r="O21" s="36"/>
      <c r="P21" s="4"/>
      <c r="Q21" s="4"/>
      <c r="R21" s="389" t="s">
        <v>60</v>
      </c>
      <c r="S21" s="390"/>
      <c r="T21" s="390"/>
      <c r="U21" s="390"/>
      <c r="V21" s="4"/>
    </row>
    <row r="22" spans="1:22" ht="19.5" customHeight="1">
      <c r="A22" s="71" t="s">
        <v>64</v>
      </c>
      <c r="B22" s="72"/>
      <c r="C22" s="79"/>
      <c r="D22" s="80"/>
      <c r="E22" s="73"/>
      <c r="F22" s="72"/>
      <c r="G22" s="73"/>
      <c r="H22" s="73"/>
      <c r="I22" s="73"/>
      <c r="J22" s="73"/>
      <c r="K22" s="73"/>
      <c r="L22" s="35"/>
      <c r="M22" s="16"/>
      <c r="N22" s="35"/>
      <c r="O22" s="36"/>
      <c r="P22" s="4"/>
      <c r="Q22" s="4"/>
      <c r="R22" s="4"/>
      <c r="S22" s="4"/>
      <c r="T22" s="4" t="s">
        <v>50</v>
      </c>
      <c r="U22" s="4" t="s">
        <v>51</v>
      </c>
      <c r="V22" s="4"/>
    </row>
    <row r="23" spans="1:22" ht="19.5" customHeight="1">
      <c r="A23" s="52"/>
      <c r="B23" s="16" t="s">
        <v>18</v>
      </c>
      <c r="C23" s="81">
        <v>500</v>
      </c>
      <c r="D23" s="18" t="s">
        <v>65</v>
      </c>
      <c r="E23" s="57"/>
      <c r="F23" s="58"/>
      <c r="G23" s="59">
        <v>50000</v>
      </c>
      <c r="H23" s="59">
        <v>70000</v>
      </c>
      <c r="I23" s="59">
        <v>90000</v>
      </c>
      <c r="J23" s="59">
        <v>110000</v>
      </c>
      <c r="K23" s="59">
        <v>125000</v>
      </c>
      <c r="L23" s="35"/>
      <c r="M23" s="16"/>
      <c r="N23" s="35"/>
      <c r="O23" s="36"/>
      <c r="P23" s="4"/>
      <c r="Q23" s="4"/>
      <c r="R23" s="4" t="s">
        <v>53</v>
      </c>
      <c r="S23" s="4"/>
      <c r="T23" s="82">
        <f t="shared" ref="T23:T25" si="6">+T14/$T$17</f>
        <v>0.59615384615384615</v>
      </c>
      <c r="U23" s="82">
        <f t="shared" ref="U23:U25" si="7">+U14/$U$17</f>
        <v>0.61904761904761907</v>
      </c>
      <c r="V23" s="4"/>
    </row>
    <row r="24" spans="1:22" ht="19.5" customHeight="1">
      <c r="A24" s="52"/>
      <c r="B24" s="16" t="s">
        <v>19</v>
      </c>
      <c r="C24" s="81">
        <v>50</v>
      </c>
      <c r="D24" s="18" t="s">
        <v>65</v>
      </c>
      <c r="E24" s="57"/>
      <c r="F24" s="58"/>
      <c r="G24" s="59">
        <v>7000</v>
      </c>
      <c r="H24" s="59">
        <v>7400</v>
      </c>
      <c r="I24" s="59">
        <f>$C24*Students!E20*I6</f>
        <v>7803</v>
      </c>
      <c r="J24" s="59">
        <f>$C24*Students!F20*J6</f>
        <v>9948.8249999999989</v>
      </c>
      <c r="K24" s="59">
        <f>$C24*Students!G20*K6</f>
        <v>12177.361800000001</v>
      </c>
      <c r="L24" s="35"/>
      <c r="M24" s="16"/>
      <c r="N24" s="35"/>
      <c r="O24" s="36"/>
      <c r="P24" s="4"/>
      <c r="Q24" s="4"/>
      <c r="R24" s="4" t="s">
        <v>55</v>
      </c>
      <c r="S24" s="4"/>
      <c r="T24" s="82">
        <f t="shared" si="6"/>
        <v>0.20192307692307693</v>
      </c>
      <c r="U24" s="82">
        <f t="shared" si="7"/>
        <v>0.19047619047619047</v>
      </c>
      <c r="V24" s="4"/>
    </row>
    <row r="25" spans="1:22" ht="19.5" customHeight="1">
      <c r="A25" s="52"/>
      <c r="B25" s="16" t="s">
        <v>66</v>
      </c>
      <c r="C25" s="81">
        <v>0</v>
      </c>
      <c r="D25" s="18" t="s">
        <v>65</v>
      </c>
      <c r="E25" s="57"/>
      <c r="F25" s="58"/>
      <c r="G25" s="59">
        <v>10000</v>
      </c>
      <c r="H25" s="59">
        <v>10000</v>
      </c>
      <c r="I25" s="59">
        <v>10000</v>
      </c>
      <c r="J25" s="59">
        <v>10000</v>
      </c>
      <c r="K25" s="59">
        <v>10000</v>
      </c>
      <c r="L25" s="35"/>
      <c r="M25" s="16"/>
      <c r="N25" s="35"/>
      <c r="O25" s="36"/>
      <c r="P25" s="4"/>
      <c r="Q25" s="4"/>
      <c r="R25" s="4" t="s">
        <v>56</v>
      </c>
      <c r="S25" s="4"/>
      <c r="T25" s="82">
        <f t="shared" si="6"/>
        <v>0.20192307692307693</v>
      </c>
      <c r="U25" s="82">
        <f t="shared" si="7"/>
        <v>0.19047619047619047</v>
      </c>
      <c r="V25" s="4"/>
    </row>
    <row r="26" spans="1:22" ht="19.5" customHeight="1">
      <c r="A26" s="52"/>
      <c r="B26" s="16" t="s">
        <v>22</v>
      </c>
      <c r="C26" s="81">
        <v>815</v>
      </c>
      <c r="D26" s="18" t="s">
        <v>65</v>
      </c>
      <c r="E26" s="57"/>
      <c r="F26" s="58"/>
      <c r="G26" s="59">
        <v>0</v>
      </c>
      <c r="H26" s="59">
        <f>$C26*Students!D16*H6</f>
        <v>28056.375</v>
      </c>
      <c r="I26" s="59">
        <f>$C26*Students!E16*I6</f>
        <v>40700.447999999997</v>
      </c>
      <c r="J26" s="59">
        <f>$C26*Students!F16*J6</f>
        <v>55136.388150000006</v>
      </c>
      <c r="K26" s="59">
        <f>$C26*Students!G16*K6</f>
        <v>67486.939095599999</v>
      </c>
      <c r="L26" s="35"/>
      <c r="M26" s="16"/>
      <c r="N26" s="35"/>
      <c r="O26" s="36"/>
      <c r="P26" s="4"/>
      <c r="Q26" s="4"/>
      <c r="R26" s="4"/>
      <c r="S26" s="4"/>
      <c r="T26" s="4"/>
      <c r="U26" s="4"/>
      <c r="V26" s="4"/>
    </row>
    <row r="27" spans="1:22" ht="19.5" customHeight="1">
      <c r="A27" s="52"/>
      <c r="B27" s="16" t="s">
        <v>67</v>
      </c>
      <c r="C27" s="81">
        <v>700</v>
      </c>
      <c r="D27" s="18" t="s">
        <v>65</v>
      </c>
      <c r="E27" s="57"/>
      <c r="F27" s="58"/>
      <c r="G27" s="59">
        <f>$C27*Students!C13*G$6</f>
        <v>105000</v>
      </c>
      <c r="H27" s="59">
        <f>$C27*Students!D13*H$6</f>
        <v>160650</v>
      </c>
      <c r="I27" s="59">
        <f>$C27*Students!E13*I$6</f>
        <v>218484</v>
      </c>
      <c r="J27" s="59">
        <f>$C27*Students!F13*J$6</f>
        <v>278567.09999999998</v>
      </c>
      <c r="K27" s="59">
        <f>$C27*Students!G13*K$6</f>
        <v>340966.13039999997</v>
      </c>
      <c r="L27" s="35"/>
      <c r="M27" s="16"/>
      <c r="N27" s="35"/>
      <c r="O27" s="36"/>
      <c r="P27" s="4"/>
      <c r="Q27" s="4"/>
      <c r="R27" s="4"/>
      <c r="S27" s="4"/>
      <c r="T27" s="4"/>
      <c r="U27" s="4"/>
      <c r="V27" s="4"/>
    </row>
    <row r="28" spans="1:22" ht="19.5" customHeight="1">
      <c r="A28" s="52"/>
      <c r="B28" s="198"/>
      <c r="C28" s="204"/>
      <c r="D28" s="194"/>
      <c r="E28" s="200"/>
      <c r="F28" s="201"/>
      <c r="G28" s="203"/>
      <c r="H28" s="203"/>
      <c r="I28" s="203"/>
      <c r="J28" s="203"/>
      <c r="K28" s="203"/>
      <c r="L28" s="35"/>
      <c r="M28" s="16"/>
      <c r="N28" s="35"/>
      <c r="O28" s="36"/>
      <c r="P28" s="4"/>
      <c r="Q28" s="4"/>
      <c r="R28" s="389" t="s">
        <v>60</v>
      </c>
      <c r="S28" s="390"/>
      <c r="T28" s="390"/>
      <c r="U28" s="390"/>
      <c r="V28" s="4"/>
    </row>
    <row r="29" spans="1:22" ht="19.5" customHeight="1">
      <c r="A29" s="52"/>
      <c r="B29" s="60" t="str">
        <f>CONCATENATE("total ",A22)</f>
        <v>total federal revenues</v>
      </c>
      <c r="C29" s="61"/>
      <c r="D29" s="62"/>
      <c r="E29" s="63"/>
      <c r="F29" s="64"/>
      <c r="G29" s="75">
        <f t="shared" ref="G29:K29" si="8">SUM(G23:G28)</f>
        <v>172000</v>
      </c>
      <c r="H29" s="75">
        <f t="shared" si="8"/>
        <v>276106.375</v>
      </c>
      <c r="I29" s="75">
        <f t="shared" si="8"/>
        <v>366987.44799999997</v>
      </c>
      <c r="J29" s="75">
        <f t="shared" si="8"/>
        <v>463652.31314999994</v>
      </c>
      <c r="K29" s="75">
        <f t="shared" si="8"/>
        <v>555630.43129560002</v>
      </c>
      <c r="L29" s="35"/>
      <c r="M29" s="16"/>
      <c r="N29" s="35"/>
      <c r="O29" s="36"/>
      <c r="P29" s="4"/>
      <c r="Q29" s="4"/>
      <c r="R29" s="4"/>
      <c r="S29" s="4"/>
      <c r="T29" s="4" t="s">
        <v>50</v>
      </c>
      <c r="U29" s="4" t="s">
        <v>51</v>
      </c>
      <c r="V29" s="4"/>
    </row>
    <row r="30" spans="1:22" ht="19.5" customHeight="1">
      <c r="A30" s="52"/>
      <c r="B30" s="16"/>
      <c r="C30" s="76"/>
      <c r="D30" s="77"/>
      <c r="E30" s="39"/>
      <c r="F30" s="78"/>
      <c r="G30" s="35"/>
      <c r="H30" s="35"/>
      <c r="I30" s="35"/>
      <c r="J30" s="35"/>
      <c r="K30" s="35"/>
      <c r="L30" s="35"/>
      <c r="M30" s="16"/>
      <c r="N30" s="35"/>
      <c r="O30" s="36"/>
      <c r="P30" s="4"/>
      <c r="Q30" s="4"/>
      <c r="R30" s="4" t="s">
        <v>53</v>
      </c>
      <c r="S30" s="4"/>
      <c r="T30" s="55">
        <v>62</v>
      </c>
      <c r="U30" s="55">
        <v>13</v>
      </c>
      <c r="V30" s="55">
        <f t="shared" ref="V30:V32" si="9">SUM(T30:U30)</f>
        <v>75</v>
      </c>
    </row>
    <row r="31" spans="1:22" ht="19.5" customHeight="1">
      <c r="A31" s="71" t="s">
        <v>68</v>
      </c>
      <c r="B31" s="72"/>
      <c r="C31" s="79"/>
      <c r="D31" s="80"/>
      <c r="E31" s="73"/>
      <c r="F31" s="72"/>
      <c r="G31" s="73"/>
      <c r="H31" s="73"/>
      <c r="I31" s="73"/>
      <c r="J31" s="73"/>
      <c r="K31" s="73"/>
      <c r="L31" s="35"/>
      <c r="M31" s="16"/>
      <c r="N31" s="35"/>
      <c r="O31" s="36"/>
      <c r="P31" s="4"/>
      <c r="Q31" s="4"/>
      <c r="R31" s="4" t="s">
        <v>55</v>
      </c>
      <c r="S31" s="4"/>
      <c r="T31" s="55">
        <v>21</v>
      </c>
      <c r="U31" s="55">
        <v>4</v>
      </c>
      <c r="V31" s="55">
        <f t="shared" si="9"/>
        <v>25</v>
      </c>
    </row>
    <row r="32" spans="1:22" ht="19.5" customHeight="1">
      <c r="A32" s="52"/>
      <c r="B32" s="16" t="s">
        <v>249</v>
      </c>
      <c r="C32" s="57"/>
      <c r="D32" s="18"/>
      <c r="E32" s="57"/>
      <c r="F32" s="58"/>
      <c r="G32" s="53">
        <v>10000</v>
      </c>
      <c r="H32" s="53">
        <v>20000</v>
      </c>
      <c r="I32" s="53">
        <v>30000</v>
      </c>
      <c r="J32" s="53">
        <v>40000</v>
      </c>
      <c r="K32" s="53">
        <v>50000</v>
      </c>
      <c r="L32" s="35"/>
      <c r="M32" s="16"/>
      <c r="N32" s="35"/>
      <c r="O32" s="36" t="s">
        <v>58</v>
      </c>
      <c r="P32" s="4"/>
      <c r="Q32" s="4"/>
      <c r="R32" s="4" t="s">
        <v>56</v>
      </c>
      <c r="S32" s="4"/>
      <c r="T32" s="55">
        <v>21</v>
      </c>
      <c r="U32" s="55">
        <v>4</v>
      </c>
      <c r="V32" s="55">
        <f t="shared" si="9"/>
        <v>25</v>
      </c>
    </row>
    <row r="33" spans="1:22" ht="19.5" customHeight="1">
      <c r="A33" s="52"/>
      <c r="B33" s="16" t="s">
        <v>259</v>
      </c>
      <c r="C33" s="57"/>
      <c r="D33" s="18"/>
      <c r="E33" s="57"/>
      <c r="F33" s="58"/>
      <c r="G33" s="53">
        <v>2800000</v>
      </c>
      <c r="H33" s="53"/>
      <c r="I33" s="53"/>
      <c r="J33" s="53"/>
      <c r="K33" s="53"/>
      <c r="L33" s="35"/>
      <c r="M33" s="16"/>
      <c r="N33" s="35"/>
      <c r="O33" s="36" t="s">
        <v>58</v>
      </c>
      <c r="P33" s="4"/>
      <c r="Q33" s="4"/>
      <c r="R33" s="4"/>
      <c r="S33" s="4"/>
      <c r="T33" s="4"/>
      <c r="U33" s="4"/>
      <c r="V33" s="4"/>
    </row>
    <row r="34" spans="1:22" ht="19.5" customHeight="1">
      <c r="A34" s="52"/>
      <c r="B34" s="16" t="s">
        <v>270</v>
      </c>
      <c r="C34" s="57"/>
      <c r="D34" s="18"/>
      <c r="E34" s="57"/>
      <c r="F34" s="58"/>
      <c r="G34" s="53">
        <v>300000</v>
      </c>
      <c r="H34" s="53"/>
      <c r="I34" s="53"/>
      <c r="J34" s="53"/>
      <c r="K34" s="53"/>
      <c r="L34" s="35"/>
      <c r="M34" s="16"/>
      <c r="N34" s="35"/>
      <c r="O34" s="36" t="s">
        <v>58</v>
      </c>
      <c r="P34" s="4"/>
      <c r="Q34" s="4"/>
      <c r="R34" s="4" t="s">
        <v>53</v>
      </c>
      <c r="S34" s="4"/>
      <c r="T34" s="55">
        <f t="shared" ref="T34:U36" si="10">+T30*T8</f>
        <v>724199.67999999993</v>
      </c>
      <c r="U34" s="55">
        <f t="shared" si="10"/>
        <v>468807.43</v>
      </c>
      <c r="V34" s="4"/>
    </row>
    <row r="35" spans="1:22" ht="19.5" customHeight="1">
      <c r="A35" s="52"/>
      <c r="B35" s="198"/>
      <c r="C35" s="200"/>
      <c r="D35" s="194"/>
      <c r="E35" s="200"/>
      <c r="F35" s="201"/>
      <c r="G35" s="199"/>
      <c r="H35" s="199"/>
      <c r="I35" s="199"/>
      <c r="J35" s="199"/>
      <c r="K35" s="199"/>
      <c r="L35" s="35"/>
      <c r="M35" s="16"/>
      <c r="N35" s="35"/>
      <c r="O35" s="36" t="s">
        <v>58</v>
      </c>
      <c r="P35" s="4"/>
      <c r="Q35" s="4"/>
      <c r="R35" s="4" t="s">
        <v>55</v>
      </c>
      <c r="S35" s="4"/>
      <c r="T35" s="55">
        <f t="shared" si="10"/>
        <v>406082.88</v>
      </c>
      <c r="U35" s="55">
        <f t="shared" si="10"/>
        <v>187118.92</v>
      </c>
      <c r="V35" s="4"/>
    </row>
    <row r="36" spans="1:22" ht="19.5" customHeight="1">
      <c r="A36" s="52"/>
      <c r="B36" s="60" t="str">
        <f>CONCATENATE("total ",A31)</f>
        <v>total other revenues</v>
      </c>
      <c r="C36" s="61"/>
      <c r="D36" s="62"/>
      <c r="E36" s="63"/>
      <c r="F36" s="64"/>
      <c r="G36" s="65">
        <f>SUM(G32:G35)</f>
        <v>3110000</v>
      </c>
      <c r="H36" s="65">
        <f>SUM(H32:H35)</f>
        <v>20000</v>
      </c>
      <c r="I36" s="65">
        <f>SUM(I32:I35)</f>
        <v>30000</v>
      </c>
      <c r="J36" s="65">
        <f>SUM(J32:J35)</f>
        <v>40000</v>
      </c>
      <c r="K36" s="65">
        <f>SUM(K32:K35)</f>
        <v>50000</v>
      </c>
      <c r="L36" s="35"/>
      <c r="M36" s="16"/>
      <c r="N36" s="35"/>
      <c r="O36" s="36"/>
      <c r="P36" s="4"/>
      <c r="Q36" s="4"/>
      <c r="R36" s="4" t="s">
        <v>56</v>
      </c>
      <c r="S36" s="4"/>
      <c r="T36" s="55">
        <f t="shared" si="10"/>
        <v>255711.12</v>
      </c>
      <c r="U36" s="55">
        <f t="shared" si="10"/>
        <v>197350.76</v>
      </c>
      <c r="V36" s="4"/>
    </row>
    <row r="37" spans="1:22" ht="19.5" customHeight="1">
      <c r="A37" s="52"/>
      <c r="B37" s="16"/>
      <c r="C37" s="76"/>
      <c r="D37" s="77"/>
      <c r="E37" s="39"/>
      <c r="F37" s="78"/>
      <c r="G37" s="53"/>
      <c r="H37" s="53"/>
      <c r="I37" s="53"/>
      <c r="J37" s="53"/>
      <c r="K37" s="53"/>
      <c r="L37" s="35"/>
      <c r="M37" s="16"/>
      <c r="N37" s="35"/>
      <c r="O37" s="36"/>
      <c r="P37" s="4"/>
      <c r="Q37" s="4"/>
      <c r="R37" s="4"/>
      <c r="S37" s="4"/>
      <c r="T37" s="55">
        <f t="shared" ref="T37:U37" si="11">SUM(T34:T36)</f>
        <v>1385993.6800000002</v>
      </c>
      <c r="U37" s="55">
        <f t="shared" si="11"/>
        <v>853277.11</v>
      </c>
      <c r="V37" s="4"/>
    </row>
    <row r="38" spans="1:22" ht="19.5" customHeight="1">
      <c r="A38" s="52"/>
      <c r="B38" s="16"/>
      <c r="C38" s="76"/>
      <c r="D38" s="77"/>
      <c r="E38" s="39"/>
      <c r="F38" s="78"/>
      <c r="G38" s="83"/>
      <c r="H38" s="35"/>
      <c r="I38" s="35"/>
      <c r="J38" s="35"/>
      <c r="K38" s="35"/>
      <c r="L38" s="35"/>
      <c r="M38" s="16"/>
      <c r="N38" s="35"/>
      <c r="O38" s="36"/>
      <c r="P38" s="4"/>
      <c r="Q38" s="4"/>
      <c r="R38" s="4"/>
      <c r="S38" s="4"/>
      <c r="T38" s="4"/>
      <c r="U38" s="4"/>
      <c r="V38" s="4"/>
    </row>
    <row r="39" spans="1:22" ht="19.5" customHeight="1">
      <c r="A39" s="84" t="s">
        <v>69</v>
      </c>
      <c r="B39" s="205"/>
      <c r="C39" s="199"/>
      <c r="D39" s="194"/>
      <c r="E39" s="206"/>
      <c r="F39" s="198"/>
      <c r="G39" s="199">
        <f>G15+G20+G29+G36</f>
        <v>6195992.3295</v>
      </c>
      <c r="H39" s="199">
        <f>H15+H20+H29+H36</f>
        <v>5004785.8812499996</v>
      </c>
      <c r="I39" s="199">
        <f>I15+I20+I29+I36</f>
        <v>7079265.09268096</v>
      </c>
      <c r="J39" s="199">
        <f>J15+J20+J29+J36</f>
        <v>9141893.3212779127</v>
      </c>
      <c r="K39" s="199">
        <f>K15+K20+K29+K36</f>
        <v>11177174.225244164</v>
      </c>
      <c r="L39" s="35"/>
      <c r="M39" s="16"/>
      <c r="N39" s="35"/>
      <c r="O39" s="36"/>
      <c r="P39" s="4"/>
      <c r="Q39" s="4"/>
      <c r="R39" s="4" t="s">
        <v>70</v>
      </c>
      <c r="S39" s="4"/>
      <c r="T39" s="85">
        <f>+T37/104</f>
        <v>13326.862307692309</v>
      </c>
      <c r="U39" s="85">
        <f>+U37/21</f>
        <v>40632.243333333332</v>
      </c>
      <c r="V39" s="4"/>
    </row>
    <row r="40" spans="1:22" ht="19.5" customHeight="1">
      <c r="A40" s="86"/>
      <c r="B40" s="87"/>
      <c r="C40" s="65"/>
      <c r="D40" s="88"/>
      <c r="E40" s="89"/>
      <c r="F40" s="60"/>
      <c r="G40" s="89"/>
      <c r="H40" s="89"/>
      <c r="I40" s="89"/>
      <c r="J40" s="89"/>
      <c r="K40" s="89"/>
      <c r="L40" s="35"/>
      <c r="M40" s="16"/>
      <c r="N40" s="35"/>
      <c r="O40" s="36"/>
      <c r="P40" s="4"/>
      <c r="Q40" s="4"/>
      <c r="R40" s="4"/>
      <c r="S40" s="4"/>
      <c r="T40" s="4"/>
      <c r="U40" s="4"/>
      <c r="V40" s="4"/>
    </row>
    <row r="41" spans="1:22" ht="19.5" customHeight="1">
      <c r="A41" s="37"/>
      <c r="B41" s="3"/>
      <c r="C41" s="53"/>
      <c r="D41" s="18"/>
      <c r="E41" s="35"/>
      <c r="F41" s="16"/>
      <c r="G41" s="35"/>
      <c r="H41" s="35"/>
      <c r="I41" s="35"/>
      <c r="J41" s="35"/>
      <c r="K41" s="35"/>
      <c r="L41" s="35"/>
      <c r="M41" s="16"/>
      <c r="N41" s="35"/>
      <c r="O41" s="36"/>
      <c r="P41" s="4"/>
      <c r="Q41" s="4"/>
      <c r="R41" s="4"/>
      <c r="S41" s="4"/>
      <c r="T41" s="4"/>
      <c r="U41" s="4"/>
      <c r="V41" s="4"/>
    </row>
    <row r="42" spans="1:22" ht="19.5" customHeight="1">
      <c r="A42" s="90"/>
      <c r="B42" s="91"/>
      <c r="C42" s="92"/>
      <c r="D42" s="93"/>
      <c r="E42" s="94"/>
      <c r="F42" s="95"/>
      <c r="G42" s="94"/>
      <c r="H42" s="94"/>
      <c r="I42" s="94"/>
      <c r="J42" s="94"/>
      <c r="K42" s="94"/>
      <c r="L42" s="94"/>
      <c r="M42" s="95"/>
      <c r="N42" s="94"/>
      <c r="O42" s="96"/>
      <c r="P42" s="4"/>
      <c r="Q42" s="4"/>
      <c r="R42" s="4"/>
      <c r="S42" s="4"/>
      <c r="T42" s="4"/>
      <c r="U42" s="4"/>
      <c r="V42" s="4"/>
    </row>
    <row r="43" spans="1:22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</sheetData>
  <sheetProtection algorithmName="SHA-512" hashValue="alGu/GXQwY5NIsc3YqmdOXuvALLaDwJq2ezHjmAX+zgsuVCgau4uYRnZHSBNcd56Bx7jjbTbC2wZCaEhInEVDg==" saltValue="iNP0WfvWTugnAMFuE1shNw==" spinCount="100000" sheet="1" objects="1" scenarios="1"/>
  <mergeCells count="6">
    <mergeCell ref="R28:U28"/>
    <mergeCell ref="C5:D5"/>
    <mergeCell ref="E5:F5"/>
    <mergeCell ref="R6:U6"/>
    <mergeCell ref="R12:U12"/>
    <mergeCell ref="R21:U21"/>
  </mergeCells>
  <conditionalFormatting sqref="C4">
    <cfRule type="cellIs" dxfId="4" priority="1" stopIfTrue="1" operator="lessThan">
      <formula>0</formula>
    </cfRule>
  </conditionalFormatting>
  <conditionalFormatting sqref="G6:K6">
    <cfRule type="cellIs" dxfId="3" priority="2" stopIfTrue="1" operator="lessThan">
      <formula>0</formula>
    </cfRule>
  </conditionalFormatting>
  <printOptions horizontalCentered="1"/>
  <pageMargins left="0.5" right="0.5" top="0.75" bottom="0.75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08"/>
  <sheetViews>
    <sheetView showGridLines="0" zoomScale="85" zoomScaleNormal="85" workbookViewId="0">
      <pane ySplit="7" topLeftCell="A74" activePane="bottomLeft" state="frozen"/>
      <selection pane="bottomLeft" activeCell="B88" sqref="B88"/>
    </sheetView>
  </sheetViews>
  <sheetFormatPr baseColWidth="10" defaultColWidth="12.6640625" defaultRowHeight="15" customHeight="1"/>
  <cols>
    <col min="1" max="1" width="2.83203125" customWidth="1"/>
    <col min="2" max="2" width="37.1640625" customWidth="1"/>
    <col min="3" max="3" width="8.1640625" customWidth="1"/>
    <col min="4" max="4" width="6.33203125" customWidth="1"/>
    <col min="5" max="5" width="10.6640625" customWidth="1"/>
    <col min="6" max="6" width="14.83203125" customWidth="1"/>
    <col min="7" max="7" width="15.6640625" customWidth="1"/>
    <col min="8" max="8" width="16.33203125" customWidth="1"/>
    <col min="9" max="12" width="13.5" customWidth="1"/>
    <col min="13" max="13" width="15.1640625" customWidth="1"/>
    <col min="14" max="14" width="7.1640625" customWidth="1"/>
    <col min="15" max="15" width="12" customWidth="1"/>
    <col min="16" max="16" width="2" customWidth="1"/>
    <col min="17" max="17" width="14.1640625" customWidth="1"/>
    <col min="18" max="21" width="10.1640625" customWidth="1"/>
  </cols>
  <sheetData>
    <row r="1" spans="1:21" ht="19.5" customHeight="1">
      <c r="A1" s="4" t="s">
        <v>8</v>
      </c>
      <c r="B1" s="26" t="str">
        <f>+Overview!A3</f>
        <v>Valley Forge Public Service Academy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9.5" customHeight="1">
      <c r="A2" s="27" t="s">
        <v>71</v>
      </c>
      <c r="B2" s="28"/>
      <c r="C2" s="28"/>
      <c r="D2" s="28"/>
      <c r="E2" s="29"/>
      <c r="F2" s="97"/>
      <c r="G2" s="29"/>
      <c r="H2" s="29"/>
      <c r="I2" s="29"/>
      <c r="J2" s="29"/>
      <c r="K2" s="29"/>
      <c r="L2" s="29"/>
      <c r="M2" s="29"/>
      <c r="N2" s="29"/>
      <c r="O2" s="30"/>
      <c r="P2" s="29"/>
      <c r="Q2" s="31"/>
      <c r="R2" s="4"/>
      <c r="S2" s="4"/>
      <c r="T2" s="4"/>
      <c r="U2" s="4"/>
    </row>
    <row r="3" spans="1:21" ht="19.5" customHeight="1">
      <c r="A3" s="32"/>
      <c r="B3" s="3"/>
      <c r="C3" s="3"/>
      <c r="D3" s="3"/>
      <c r="E3" s="98" t="s">
        <v>72</v>
      </c>
      <c r="F3" s="34">
        <v>0.03</v>
      </c>
      <c r="G3" s="99"/>
      <c r="H3" s="35"/>
      <c r="I3" s="35"/>
      <c r="J3" s="35"/>
      <c r="K3" s="35"/>
      <c r="L3" s="35"/>
      <c r="M3" s="35"/>
      <c r="N3" s="35"/>
      <c r="O3" s="16"/>
      <c r="P3" s="35"/>
      <c r="Q3" s="36"/>
      <c r="R3" s="4"/>
      <c r="S3" s="4"/>
      <c r="T3" s="4"/>
      <c r="U3" s="4"/>
    </row>
    <row r="4" spans="1:21" ht="19.5" customHeight="1">
      <c r="A4" s="37"/>
      <c r="B4" s="3"/>
      <c r="C4" s="3"/>
      <c r="D4" s="3"/>
      <c r="E4" s="35"/>
      <c r="F4" s="100"/>
      <c r="G4" s="35"/>
      <c r="H4" s="35"/>
      <c r="I4" s="35"/>
      <c r="J4" s="35"/>
      <c r="K4" s="35"/>
      <c r="L4" s="35"/>
      <c r="M4" s="35"/>
      <c r="N4" s="35"/>
      <c r="O4" s="16"/>
      <c r="P4" s="35"/>
      <c r="Q4" s="36"/>
      <c r="R4" s="4"/>
      <c r="S4" s="4"/>
      <c r="T4" s="4"/>
      <c r="U4" s="4"/>
    </row>
    <row r="5" spans="1:21" ht="19.5" customHeight="1">
      <c r="A5" s="38"/>
      <c r="B5" s="195"/>
      <c r="C5" s="207" t="s">
        <v>73</v>
      </c>
      <c r="D5" s="207" t="s">
        <v>74</v>
      </c>
      <c r="E5" s="391" t="s">
        <v>43</v>
      </c>
      <c r="F5" s="392"/>
      <c r="G5" s="391" t="s">
        <v>44</v>
      </c>
      <c r="H5" s="392"/>
      <c r="I5" s="196">
        <v>2026</v>
      </c>
      <c r="J5" s="196">
        <f t="shared" ref="J5:M5" si="0">I5+1</f>
        <v>2027</v>
      </c>
      <c r="K5" s="196">
        <f t="shared" si="0"/>
        <v>2028</v>
      </c>
      <c r="L5" s="196">
        <f t="shared" si="0"/>
        <v>2029</v>
      </c>
      <c r="M5" s="196">
        <f t="shared" si="0"/>
        <v>2030</v>
      </c>
      <c r="N5" s="39"/>
      <c r="O5" s="197" t="s">
        <v>45</v>
      </c>
      <c r="P5" s="39"/>
      <c r="Q5" s="40" t="s">
        <v>46</v>
      </c>
      <c r="R5" s="4"/>
      <c r="S5" s="4"/>
      <c r="T5" s="4"/>
      <c r="U5" s="4"/>
    </row>
    <row r="6" spans="1:21" ht="19.5" customHeight="1">
      <c r="A6" s="41" t="s">
        <v>75</v>
      </c>
      <c r="B6" s="42"/>
      <c r="C6" s="42"/>
      <c r="D6" s="42"/>
      <c r="E6" s="42"/>
      <c r="F6" s="42"/>
      <c r="G6" s="42"/>
      <c r="H6" s="42"/>
      <c r="I6" s="43">
        <v>1</v>
      </c>
      <c r="J6" s="43">
        <f t="shared" ref="J6:M6" si="1">I6*(1+$F$3)</f>
        <v>1.03</v>
      </c>
      <c r="K6" s="43">
        <f t="shared" si="1"/>
        <v>1.0609</v>
      </c>
      <c r="L6" s="43">
        <f t="shared" si="1"/>
        <v>1.092727</v>
      </c>
      <c r="M6" s="43">
        <f t="shared" si="1"/>
        <v>1.1255088100000001</v>
      </c>
      <c r="N6" s="44"/>
      <c r="O6" s="45"/>
      <c r="P6" s="44"/>
      <c r="Q6" s="46"/>
      <c r="R6" s="4"/>
      <c r="S6" s="4"/>
      <c r="T6" s="4"/>
      <c r="U6" s="4"/>
    </row>
    <row r="7" spans="1:21" ht="19.5" customHeight="1">
      <c r="A7" s="47" t="s">
        <v>76</v>
      </c>
      <c r="B7" s="48"/>
      <c r="C7" s="48"/>
      <c r="D7" s="48"/>
      <c r="E7" s="49"/>
      <c r="F7" s="49"/>
      <c r="G7" s="51"/>
      <c r="H7" s="51"/>
      <c r="I7" s="49"/>
      <c r="J7" s="49"/>
      <c r="K7" s="49"/>
      <c r="L7" s="49"/>
      <c r="M7" s="49"/>
      <c r="N7" s="35"/>
      <c r="O7" s="16"/>
      <c r="P7" s="35"/>
      <c r="Q7" s="36"/>
      <c r="R7" s="4"/>
      <c r="S7" s="4"/>
      <c r="T7" s="4"/>
      <c r="U7" s="4"/>
    </row>
    <row r="8" spans="1:21" ht="19.5" customHeight="1">
      <c r="A8" s="52" t="s">
        <v>200</v>
      </c>
      <c r="B8" s="16"/>
      <c r="C8" s="16"/>
      <c r="D8" s="16"/>
      <c r="E8" s="53"/>
      <c r="F8" s="53"/>
      <c r="G8" s="35"/>
      <c r="H8" s="16"/>
      <c r="I8" s="101">
        <v>0.05</v>
      </c>
      <c r="J8" s="101">
        <v>0.05</v>
      </c>
      <c r="K8" s="101">
        <v>0.05</v>
      </c>
      <c r="L8" s="101">
        <v>0.05</v>
      </c>
      <c r="M8" s="101">
        <v>0.05</v>
      </c>
      <c r="N8" s="35"/>
      <c r="O8" s="16"/>
      <c r="P8" s="35"/>
      <c r="Q8" s="36"/>
      <c r="R8" s="4"/>
      <c r="S8" s="4"/>
      <c r="T8" s="4"/>
      <c r="U8" s="4"/>
    </row>
    <row r="9" spans="1:21" ht="9" customHeight="1">
      <c r="A9" s="52"/>
      <c r="B9" s="16"/>
      <c r="C9" s="16"/>
      <c r="D9" s="16"/>
      <c r="E9" s="53"/>
      <c r="F9" s="53"/>
      <c r="G9" s="35"/>
      <c r="H9" s="16"/>
      <c r="I9" s="57"/>
      <c r="J9" s="57"/>
      <c r="K9" s="57"/>
      <c r="L9" s="57"/>
      <c r="M9" s="57"/>
      <c r="N9" s="35"/>
      <c r="O9" s="16"/>
      <c r="P9" s="35"/>
      <c r="Q9" s="36"/>
      <c r="R9" s="4"/>
      <c r="S9" s="4"/>
      <c r="T9" s="4"/>
      <c r="U9" s="4"/>
    </row>
    <row r="10" spans="1:21" ht="19.5" customHeight="1">
      <c r="A10" s="52"/>
      <c r="B10" s="16" t="s">
        <v>77</v>
      </c>
      <c r="C10" s="16"/>
      <c r="D10" s="16">
        <v>100</v>
      </c>
      <c r="E10" s="102"/>
      <c r="F10" s="58" t="s">
        <v>78</v>
      </c>
      <c r="G10" s="57"/>
      <c r="H10" s="58"/>
      <c r="I10" s="59">
        <f>Personnel!O40</f>
        <v>1450000</v>
      </c>
      <c r="J10" s="59">
        <f>Personnel!P40</f>
        <v>2046250</v>
      </c>
      <c r="K10" s="59">
        <f>Personnel!Q40</f>
        <v>2410031.25</v>
      </c>
      <c r="L10" s="59">
        <f>Personnel!R40</f>
        <v>3754933.75</v>
      </c>
      <c r="M10" s="59">
        <f>Personnel!S40</f>
        <v>4426962.7480468741</v>
      </c>
      <c r="N10" s="35"/>
      <c r="O10" s="16"/>
      <c r="P10" s="35"/>
      <c r="Q10" s="36" t="s">
        <v>58</v>
      </c>
      <c r="R10" s="4"/>
      <c r="S10" s="4"/>
      <c r="T10" s="4"/>
      <c r="U10" s="4"/>
    </row>
    <row r="11" spans="1:21" ht="19.5" customHeight="1">
      <c r="A11" s="52"/>
      <c r="B11" s="16" t="s">
        <v>79</v>
      </c>
      <c r="C11" s="16"/>
      <c r="D11" s="16">
        <v>210</v>
      </c>
      <c r="E11" s="103">
        <v>0.2</v>
      </c>
      <c r="F11" s="18" t="s">
        <v>80</v>
      </c>
      <c r="G11" s="54">
        <v>3.3000000000000002E-2</v>
      </c>
      <c r="H11" s="58" t="s">
        <v>81</v>
      </c>
      <c r="I11" s="104">
        <f t="shared" ref="I11:M11" si="2">($E11+$E11*((1+$G11)^(I5-2024)-1))*I10</f>
        <v>309455.80999999994</v>
      </c>
      <c r="J11" s="104">
        <f t="shared" si="2"/>
        <v>451117.47696724994</v>
      </c>
      <c r="K11" s="104">
        <f t="shared" si="2"/>
        <v>548850.3628932588</v>
      </c>
      <c r="L11" s="104">
        <f t="shared" si="2"/>
        <v>883352.17401079647</v>
      </c>
      <c r="M11" s="104">
        <f t="shared" si="2"/>
        <v>1075815.4878998417</v>
      </c>
      <c r="N11" s="35"/>
      <c r="O11" s="16"/>
      <c r="P11" s="35"/>
      <c r="Q11" s="36" t="s">
        <v>58</v>
      </c>
      <c r="R11" s="4"/>
      <c r="S11" s="4"/>
      <c r="T11" s="4"/>
      <c r="U11" s="4"/>
    </row>
    <row r="12" spans="1:21" ht="19.5" customHeight="1">
      <c r="A12" s="52"/>
      <c r="B12" s="16" t="s">
        <v>82</v>
      </c>
      <c r="C12" s="16"/>
      <c r="D12" s="16">
        <v>210</v>
      </c>
      <c r="E12" s="105">
        <v>200</v>
      </c>
      <c r="F12" s="18" t="s">
        <v>83</v>
      </c>
      <c r="G12" s="57"/>
      <c r="H12" s="58"/>
      <c r="I12" s="59">
        <f>$E12*Personnel!I40</f>
        <v>4200</v>
      </c>
      <c r="J12" s="59">
        <f>$E12*Personnel!J40</f>
        <v>6000</v>
      </c>
      <c r="K12" s="59">
        <f>$E12*Personnel!K40</f>
        <v>7000</v>
      </c>
      <c r="L12" s="59">
        <f>$E12*Personnel!L40</f>
        <v>11000</v>
      </c>
      <c r="M12" s="59">
        <f>$E12*Personnel!M40</f>
        <v>12800</v>
      </c>
      <c r="N12" s="35"/>
      <c r="O12" s="16"/>
      <c r="P12" s="35"/>
      <c r="Q12" s="36" t="s">
        <v>58</v>
      </c>
      <c r="R12" s="4"/>
      <c r="S12" s="4"/>
      <c r="T12" s="4"/>
      <c r="U12" s="4"/>
    </row>
    <row r="13" spans="1:21" ht="19.5" customHeight="1">
      <c r="A13" s="52"/>
      <c r="B13" s="16" t="s">
        <v>84</v>
      </c>
      <c r="C13" s="16"/>
      <c r="D13" s="16">
        <v>220</v>
      </c>
      <c r="E13" s="103">
        <v>7.6499999999999999E-2</v>
      </c>
      <c r="F13" s="18" t="s">
        <v>80</v>
      </c>
      <c r="G13" s="57"/>
      <c r="H13" s="58"/>
      <c r="I13" s="59">
        <f t="shared" ref="I13:M13" si="3">$E13*I10</f>
        <v>110925</v>
      </c>
      <c r="J13" s="59">
        <f t="shared" si="3"/>
        <v>156538.125</v>
      </c>
      <c r="K13" s="59">
        <f t="shared" si="3"/>
        <v>184367.390625</v>
      </c>
      <c r="L13" s="59">
        <f t="shared" si="3"/>
        <v>287252.43187500001</v>
      </c>
      <c r="M13" s="59">
        <f t="shared" si="3"/>
        <v>338662.65022558585</v>
      </c>
      <c r="N13" s="35"/>
      <c r="O13" s="16"/>
      <c r="P13" s="35"/>
      <c r="Q13" s="36" t="s">
        <v>58</v>
      </c>
      <c r="R13" s="4"/>
      <c r="S13" s="4"/>
      <c r="T13" s="4"/>
      <c r="U13" s="4"/>
    </row>
    <row r="14" spans="1:21" ht="19.5" customHeight="1">
      <c r="A14" s="52"/>
      <c r="B14" s="16" t="s">
        <v>85</v>
      </c>
      <c r="C14" s="16"/>
      <c r="D14" s="16">
        <v>230</v>
      </c>
      <c r="E14" s="103">
        <v>0.05</v>
      </c>
      <c r="F14" s="18" t="s">
        <v>86</v>
      </c>
      <c r="G14" s="57"/>
      <c r="H14" s="58"/>
      <c r="I14" s="59">
        <f t="shared" ref="I14:M14" si="4">I10*I8</f>
        <v>72500</v>
      </c>
      <c r="J14" s="59">
        <f t="shared" si="4"/>
        <v>102312.5</v>
      </c>
      <c r="K14" s="59">
        <f t="shared" si="4"/>
        <v>120501.5625</v>
      </c>
      <c r="L14" s="59">
        <f t="shared" si="4"/>
        <v>187746.6875</v>
      </c>
      <c r="M14" s="59">
        <f t="shared" si="4"/>
        <v>221348.13740234371</v>
      </c>
      <c r="N14" s="35"/>
      <c r="O14" s="106"/>
      <c r="P14" s="35"/>
      <c r="Q14" s="36" t="s">
        <v>58</v>
      </c>
      <c r="R14" s="4"/>
      <c r="S14" s="4"/>
      <c r="T14" s="4"/>
      <c r="U14" s="4"/>
    </row>
    <row r="15" spans="1:21" ht="19.5" customHeight="1">
      <c r="A15" s="52"/>
      <c r="B15" s="16" t="s">
        <v>87</v>
      </c>
      <c r="C15" s="16"/>
      <c r="D15" s="16">
        <v>250</v>
      </c>
      <c r="E15" s="103">
        <v>3.6999999999999998E-2</v>
      </c>
      <c r="F15" s="18" t="s">
        <v>88</v>
      </c>
      <c r="G15" s="57"/>
      <c r="H15" s="58"/>
      <c r="I15" s="59">
        <f>$E15*8000*Personnel!I40</f>
        <v>6216</v>
      </c>
      <c r="J15" s="59">
        <f>$E15*8000*Personnel!J40</f>
        <v>8880</v>
      </c>
      <c r="K15" s="59">
        <f>$E15*8000*Personnel!K40</f>
        <v>10360</v>
      </c>
      <c r="L15" s="59">
        <f>$E15*8000*Personnel!L40</f>
        <v>16280</v>
      </c>
      <c r="M15" s="59">
        <f>$E15*8000*Personnel!M40</f>
        <v>18944</v>
      </c>
      <c r="N15" s="35"/>
      <c r="O15" s="16"/>
      <c r="P15" s="35"/>
      <c r="Q15" s="36" t="s">
        <v>58</v>
      </c>
      <c r="R15" s="4"/>
      <c r="S15" s="4"/>
      <c r="T15" s="4"/>
      <c r="U15" s="4"/>
    </row>
    <row r="16" spans="1:21" ht="19.5" customHeight="1">
      <c r="A16" s="52"/>
      <c r="B16" s="198" t="s">
        <v>89</v>
      </c>
      <c r="C16" s="198"/>
      <c r="D16" s="198">
        <v>260</v>
      </c>
      <c r="E16" s="208">
        <v>0.01</v>
      </c>
      <c r="F16" s="194" t="s">
        <v>80</v>
      </c>
      <c r="G16" s="200"/>
      <c r="H16" s="201"/>
      <c r="I16" s="203">
        <f t="shared" ref="I16:M16" si="5">I10*$E16</f>
        <v>14500</v>
      </c>
      <c r="J16" s="203">
        <f t="shared" si="5"/>
        <v>20462.5</v>
      </c>
      <c r="K16" s="203">
        <f t="shared" si="5"/>
        <v>24100.3125</v>
      </c>
      <c r="L16" s="203">
        <f t="shared" si="5"/>
        <v>37549.337500000001</v>
      </c>
      <c r="M16" s="203">
        <f t="shared" si="5"/>
        <v>44269.627480468742</v>
      </c>
      <c r="N16" s="35"/>
      <c r="O16" s="16"/>
      <c r="P16" s="35"/>
      <c r="Q16" s="36" t="s">
        <v>58</v>
      </c>
      <c r="R16" s="4"/>
      <c r="S16" s="4"/>
      <c r="T16" s="4"/>
      <c r="U16" s="4"/>
    </row>
    <row r="17" spans="1:21" ht="19.5" customHeight="1">
      <c r="A17" s="52"/>
      <c r="B17" s="60" t="str">
        <f>CONCATENATE("total ",A7)</f>
        <v>total personnel expenses</v>
      </c>
      <c r="C17" s="60"/>
      <c r="D17" s="60"/>
      <c r="E17" s="61"/>
      <c r="F17" s="61"/>
      <c r="G17" s="63"/>
      <c r="H17" s="63"/>
      <c r="I17" s="75">
        <f t="shared" ref="I17:M17" si="6">SUM(I10:I16)</f>
        <v>1967796.81</v>
      </c>
      <c r="J17" s="75">
        <f t="shared" si="6"/>
        <v>2791560.60196725</v>
      </c>
      <c r="K17" s="75">
        <f t="shared" si="6"/>
        <v>3305210.8785182587</v>
      </c>
      <c r="L17" s="75">
        <f t="shared" si="6"/>
        <v>5178114.3808857966</v>
      </c>
      <c r="M17" s="75">
        <f t="shared" si="6"/>
        <v>6138802.6510551143</v>
      </c>
      <c r="N17" s="35"/>
      <c r="O17" s="16"/>
      <c r="P17" s="35"/>
      <c r="Q17" s="36"/>
      <c r="R17" s="4"/>
      <c r="S17" s="4"/>
      <c r="T17" s="4"/>
      <c r="U17" s="4"/>
    </row>
    <row r="18" spans="1:21" ht="19.5" customHeight="1">
      <c r="A18" s="37"/>
      <c r="B18" s="3"/>
      <c r="C18" s="3"/>
      <c r="D18" s="3"/>
      <c r="E18" s="53"/>
      <c r="F18" s="53"/>
      <c r="G18" s="35"/>
      <c r="H18" s="35"/>
      <c r="I18" s="53"/>
      <c r="J18" s="53"/>
      <c r="K18" s="53"/>
      <c r="L18" s="53"/>
      <c r="M18" s="53"/>
      <c r="N18" s="35"/>
      <c r="O18" s="16"/>
      <c r="P18" s="35"/>
      <c r="Q18" s="36"/>
      <c r="R18" s="4"/>
      <c r="S18" s="4"/>
      <c r="T18" s="4"/>
      <c r="U18" s="4"/>
    </row>
    <row r="19" spans="1:21" ht="19.5" customHeight="1">
      <c r="A19" s="71" t="s">
        <v>90</v>
      </c>
      <c r="B19" s="72"/>
      <c r="C19" s="72"/>
      <c r="D19" s="72"/>
      <c r="E19" s="79"/>
      <c r="F19" s="79"/>
      <c r="G19" s="73"/>
      <c r="H19" s="73"/>
      <c r="I19" s="79"/>
      <c r="J19" s="79"/>
      <c r="K19" s="79"/>
      <c r="L19" s="79"/>
      <c r="M19" s="79"/>
      <c r="N19" s="35"/>
      <c r="O19" s="16"/>
      <c r="P19" s="35"/>
      <c r="Q19" s="36"/>
      <c r="R19" s="4"/>
      <c r="S19" s="4"/>
      <c r="T19" s="4"/>
      <c r="U19" s="4"/>
    </row>
    <row r="20" spans="1:21" ht="19.5" customHeight="1">
      <c r="A20" s="52"/>
      <c r="B20" s="16" t="s">
        <v>198</v>
      </c>
      <c r="C20" s="16">
        <v>2500</v>
      </c>
      <c r="D20" s="16">
        <v>330</v>
      </c>
      <c r="E20" s="107">
        <v>120000</v>
      </c>
      <c r="F20" s="18"/>
      <c r="G20" s="57"/>
      <c r="H20" s="108"/>
      <c r="I20" s="59">
        <v>120000</v>
      </c>
      <c r="J20" s="59">
        <v>150000</v>
      </c>
      <c r="K20" s="59">
        <v>180000</v>
      </c>
      <c r="L20" s="59">
        <v>210000</v>
      </c>
      <c r="M20" s="59">
        <v>240000</v>
      </c>
      <c r="N20" s="35"/>
      <c r="O20" s="16"/>
      <c r="P20" s="35"/>
      <c r="Q20" s="36"/>
      <c r="R20" s="4"/>
      <c r="S20" s="4"/>
      <c r="T20" s="4"/>
      <c r="U20" s="4"/>
    </row>
    <row r="21" spans="1:21" ht="19.5" customHeight="1">
      <c r="A21" s="52"/>
      <c r="B21" s="16" t="s">
        <v>99</v>
      </c>
      <c r="C21" s="16">
        <v>1200</v>
      </c>
      <c r="D21" s="16">
        <v>329</v>
      </c>
      <c r="E21" s="81"/>
      <c r="F21" s="18"/>
      <c r="G21" s="57"/>
      <c r="H21" s="58"/>
      <c r="I21" s="248">
        <v>100000</v>
      </c>
      <c r="J21" s="59">
        <v>150000</v>
      </c>
      <c r="K21" s="59">
        <v>250000</v>
      </c>
      <c r="L21" s="59">
        <v>350000</v>
      </c>
      <c r="M21" s="59">
        <v>450000</v>
      </c>
      <c r="N21" s="35"/>
      <c r="O21" s="16"/>
      <c r="P21" s="35"/>
      <c r="Q21" s="36" t="s">
        <v>58</v>
      </c>
      <c r="R21" s="4"/>
      <c r="S21" s="4"/>
      <c r="T21" s="4"/>
      <c r="U21" s="4"/>
    </row>
    <row r="22" spans="1:21" ht="19.5" customHeight="1">
      <c r="A22" s="52"/>
      <c r="B22" s="16" t="s">
        <v>91</v>
      </c>
      <c r="C22" s="16">
        <v>2500</v>
      </c>
      <c r="D22" s="16">
        <v>330</v>
      </c>
      <c r="E22" s="107">
        <v>110000</v>
      </c>
      <c r="F22" s="18" t="s">
        <v>92</v>
      </c>
      <c r="G22" s="57"/>
      <c r="H22" s="108"/>
      <c r="I22" s="59">
        <v>105000</v>
      </c>
      <c r="J22" s="59">
        <f>+$E$22*J6</f>
        <v>113300</v>
      </c>
      <c r="K22" s="59">
        <f>J22*1.03</f>
        <v>116699</v>
      </c>
      <c r="L22" s="59">
        <f t="shared" ref="L22:M22" si="7">K22*1.03</f>
        <v>120199.97</v>
      </c>
      <c r="M22" s="59">
        <f t="shared" si="7"/>
        <v>123805.9691</v>
      </c>
      <c r="N22" s="35"/>
      <c r="O22" s="16"/>
      <c r="P22" s="35"/>
      <c r="Q22" s="36" t="s">
        <v>58</v>
      </c>
      <c r="R22" s="4"/>
      <c r="S22" s="4"/>
      <c r="T22" s="4"/>
      <c r="U22" s="4"/>
    </row>
    <row r="23" spans="1:21" ht="19.5" customHeight="1">
      <c r="A23" s="52"/>
      <c r="B23" s="16" t="s">
        <v>199</v>
      </c>
      <c r="C23" s="16">
        <v>2500</v>
      </c>
      <c r="D23" s="16">
        <v>330</v>
      </c>
      <c r="E23" s="107">
        <v>50000</v>
      </c>
      <c r="F23" s="18" t="s">
        <v>92</v>
      </c>
      <c r="G23" s="57"/>
      <c r="H23" s="108"/>
      <c r="I23" s="59">
        <v>75000</v>
      </c>
      <c r="J23" s="59">
        <v>80000</v>
      </c>
      <c r="K23" s="59">
        <v>80000</v>
      </c>
      <c r="L23" s="59">
        <v>80000</v>
      </c>
      <c r="M23" s="59">
        <v>50000</v>
      </c>
      <c r="N23" s="35"/>
      <c r="O23" s="16"/>
      <c r="P23" s="35"/>
      <c r="Q23" s="36" t="s">
        <v>58</v>
      </c>
      <c r="R23" s="4"/>
      <c r="S23" s="4"/>
      <c r="T23" s="4"/>
      <c r="U23" s="4"/>
    </row>
    <row r="24" spans="1:21" ht="19.5" customHeight="1">
      <c r="A24" s="52"/>
      <c r="B24" s="16" t="s">
        <v>93</v>
      </c>
      <c r="C24" s="16">
        <v>2500</v>
      </c>
      <c r="D24" s="16">
        <v>330</v>
      </c>
      <c r="E24" s="107">
        <v>20000</v>
      </c>
      <c r="F24" s="18" t="s">
        <v>92</v>
      </c>
      <c r="G24" s="57"/>
      <c r="H24" s="58"/>
      <c r="I24" s="248"/>
      <c r="J24" s="59">
        <v>20000</v>
      </c>
      <c r="K24" s="59">
        <f t="shared" ref="K24:M24" si="8">J24*K6</f>
        <v>21218</v>
      </c>
      <c r="L24" s="59">
        <f t="shared" si="8"/>
        <v>23185.481486000001</v>
      </c>
      <c r="M24" s="59">
        <f t="shared" si="8"/>
        <v>26095.463676584895</v>
      </c>
      <c r="N24" s="35"/>
      <c r="O24" s="16"/>
      <c r="P24" s="35"/>
      <c r="Q24" s="36" t="s">
        <v>58</v>
      </c>
      <c r="R24" s="4"/>
      <c r="S24" s="4"/>
      <c r="T24" s="4"/>
      <c r="U24" s="4"/>
    </row>
    <row r="25" spans="1:21" ht="19.5" customHeight="1">
      <c r="A25" s="52"/>
      <c r="B25" s="16" t="s">
        <v>264</v>
      </c>
      <c r="C25" s="16"/>
      <c r="D25" s="16"/>
      <c r="E25" s="107"/>
      <c r="F25" s="18"/>
      <c r="G25" s="57"/>
      <c r="H25" s="58"/>
      <c r="I25" s="248">
        <v>50000</v>
      </c>
      <c r="J25" s="59">
        <v>75000</v>
      </c>
      <c r="K25" s="59">
        <v>90000</v>
      </c>
      <c r="L25" s="59">
        <v>100000</v>
      </c>
      <c r="M25" s="59">
        <v>110000</v>
      </c>
      <c r="N25" s="35"/>
      <c r="O25" s="16"/>
      <c r="P25" s="35"/>
      <c r="Q25" s="36"/>
      <c r="R25" s="4"/>
      <c r="S25" s="4"/>
      <c r="T25" s="4"/>
      <c r="U25" s="4"/>
    </row>
    <row r="26" spans="1:21" ht="19.5" customHeight="1">
      <c r="A26" s="52"/>
      <c r="B26" s="16" t="s">
        <v>258</v>
      </c>
      <c r="C26" s="16"/>
      <c r="D26" s="16"/>
      <c r="E26" s="107"/>
      <c r="F26" s="18"/>
      <c r="G26" s="57"/>
      <c r="H26" s="58"/>
      <c r="I26" s="248">
        <v>120000</v>
      </c>
      <c r="J26" s="59">
        <v>80000</v>
      </c>
      <c r="K26" s="59">
        <v>85000</v>
      </c>
      <c r="L26" s="59">
        <f t="shared" ref="L26:M26" si="9">K26*1.03</f>
        <v>87550</v>
      </c>
      <c r="M26" s="59">
        <f t="shared" si="9"/>
        <v>90176.5</v>
      </c>
      <c r="N26" s="35"/>
      <c r="O26" s="16"/>
      <c r="P26" s="35"/>
      <c r="Q26" s="36"/>
      <c r="R26" s="4"/>
      <c r="S26" s="4"/>
      <c r="T26" s="4"/>
      <c r="U26" s="4"/>
    </row>
    <row r="27" spans="1:21" ht="19.5" customHeight="1">
      <c r="A27" s="52"/>
      <c r="B27" s="16" t="s">
        <v>94</v>
      </c>
      <c r="C27" s="16">
        <v>2350</v>
      </c>
      <c r="D27" s="16">
        <v>330</v>
      </c>
      <c r="E27" s="109">
        <v>5.0000000000000001E-3</v>
      </c>
      <c r="F27" s="18" t="s">
        <v>95</v>
      </c>
      <c r="G27" s="57"/>
      <c r="H27" s="58"/>
      <c r="I27" s="248">
        <v>25000</v>
      </c>
      <c r="J27" s="59">
        <v>30000</v>
      </c>
      <c r="K27" s="59">
        <v>35000</v>
      </c>
      <c r="L27" s="59">
        <v>40000</v>
      </c>
      <c r="M27" s="59">
        <v>50000</v>
      </c>
      <c r="N27" s="35"/>
      <c r="O27" s="16"/>
      <c r="P27" s="35"/>
      <c r="Q27" s="36" t="s">
        <v>58</v>
      </c>
      <c r="R27" s="4"/>
      <c r="S27" s="4"/>
      <c r="T27" s="4"/>
      <c r="U27" s="4"/>
    </row>
    <row r="28" spans="1:21" ht="19.5" customHeight="1">
      <c r="A28" s="52"/>
      <c r="B28" s="16" t="s">
        <v>96</v>
      </c>
      <c r="C28" s="16">
        <v>2270</v>
      </c>
      <c r="D28" s="16">
        <v>324</v>
      </c>
      <c r="E28" s="81"/>
      <c r="F28" s="18"/>
      <c r="G28" s="57"/>
      <c r="H28" s="58"/>
      <c r="I28" s="248">
        <v>25000</v>
      </c>
      <c r="J28" s="59">
        <v>30000</v>
      </c>
      <c r="K28" s="59">
        <v>35000</v>
      </c>
      <c r="L28" s="59">
        <v>45000</v>
      </c>
      <c r="M28" s="59">
        <v>90000</v>
      </c>
      <c r="N28" s="35"/>
      <c r="O28" s="16"/>
      <c r="P28" s="35"/>
      <c r="Q28" s="36" t="s">
        <v>58</v>
      </c>
      <c r="R28" s="4"/>
      <c r="S28" s="4"/>
      <c r="T28" s="4"/>
      <c r="U28" s="4"/>
    </row>
    <row r="29" spans="1:21" ht="19.5" customHeight="1">
      <c r="A29" s="52"/>
      <c r="B29" s="16" t="s">
        <v>97</v>
      </c>
      <c r="C29" s="16">
        <v>2500</v>
      </c>
      <c r="D29" s="16">
        <v>330</v>
      </c>
      <c r="E29" s="81">
        <v>100</v>
      </c>
      <c r="F29" s="18" t="s">
        <v>98</v>
      </c>
      <c r="G29" s="57"/>
      <c r="H29" s="58"/>
      <c r="I29" s="248">
        <v>20000</v>
      </c>
      <c r="J29" s="59">
        <f>I29*J6</f>
        <v>20600</v>
      </c>
      <c r="K29" s="59">
        <f t="shared" ref="K29:M29" si="10">J29*K6</f>
        <v>21854.54</v>
      </c>
      <c r="L29" s="59">
        <f t="shared" si="10"/>
        <v>23881.04593058</v>
      </c>
      <c r="M29" s="59">
        <f t="shared" si="10"/>
        <v>26878.327586882442</v>
      </c>
      <c r="N29" s="35"/>
      <c r="O29" s="16"/>
      <c r="P29" s="35"/>
      <c r="Q29" s="36" t="s">
        <v>58</v>
      </c>
      <c r="R29" s="4"/>
      <c r="S29" s="4"/>
      <c r="T29" s="4"/>
      <c r="U29" s="4"/>
    </row>
    <row r="30" spans="1:21" ht="19.5" customHeight="1">
      <c r="A30" s="52"/>
      <c r="B30" s="16" t="s">
        <v>100</v>
      </c>
      <c r="C30" s="16">
        <v>2300</v>
      </c>
      <c r="D30" s="16">
        <v>329</v>
      </c>
      <c r="E30" s="81">
        <v>500</v>
      </c>
      <c r="F30" s="18"/>
      <c r="G30" s="57"/>
      <c r="H30" s="58"/>
      <c r="I30" s="248">
        <v>20000</v>
      </c>
      <c r="J30" s="59">
        <f>I30*J6</f>
        <v>20600</v>
      </c>
      <c r="K30" s="59">
        <f>J30*K6</f>
        <v>21854.54</v>
      </c>
      <c r="L30" s="59">
        <f>K30*L6</f>
        <v>23881.04593058</v>
      </c>
      <c r="M30" s="59">
        <f>L30*M6</f>
        <v>26878.327586882442</v>
      </c>
      <c r="N30" s="35"/>
      <c r="O30" s="16"/>
      <c r="P30" s="35"/>
      <c r="Q30" s="36"/>
      <c r="R30" s="4"/>
      <c r="S30" s="4"/>
      <c r="T30" s="4"/>
      <c r="U30" s="4"/>
    </row>
    <row r="31" spans="1:21" ht="19.5" customHeight="1">
      <c r="A31" s="52"/>
      <c r="B31" s="16" t="s">
        <v>101</v>
      </c>
      <c r="C31" s="16"/>
      <c r="D31" s="16">
        <v>340</v>
      </c>
      <c r="E31" s="81">
        <v>2500</v>
      </c>
      <c r="F31" s="18" t="s">
        <v>92</v>
      </c>
      <c r="G31" s="57"/>
      <c r="H31" s="58"/>
      <c r="I31" s="248">
        <v>2500</v>
      </c>
      <c r="J31" s="59">
        <f>+E31</f>
        <v>2500</v>
      </c>
      <c r="K31" s="59">
        <f>+$J$31*K6</f>
        <v>2652.25</v>
      </c>
      <c r="L31" s="59">
        <f>+$K$31*L6</f>
        <v>2898.1851857500001</v>
      </c>
      <c r="M31" s="59">
        <f>+$L$31*M6</f>
        <v>3261.9329595731119</v>
      </c>
      <c r="N31" s="35"/>
      <c r="O31" s="16"/>
      <c r="P31" s="35"/>
      <c r="Q31" s="36"/>
      <c r="R31" s="4"/>
      <c r="S31" s="4"/>
      <c r="T31" s="4"/>
      <c r="U31" s="4"/>
    </row>
    <row r="32" spans="1:21" ht="19.5" customHeight="1">
      <c r="A32" s="52"/>
      <c r="B32" s="198" t="s">
        <v>102</v>
      </c>
      <c r="C32" s="198">
        <v>3100</v>
      </c>
      <c r="D32" s="198">
        <v>570</v>
      </c>
      <c r="E32" s="81">
        <v>700</v>
      </c>
      <c r="F32" s="194" t="s">
        <v>62</v>
      </c>
      <c r="G32" s="204"/>
      <c r="H32" s="201"/>
      <c r="I32" s="248">
        <v>90000</v>
      </c>
      <c r="J32" s="203">
        <f>$E32*Students!C$13*J$6</f>
        <v>108150</v>
      </c>
      <c r="K32" s="203">
        <f>$E32*Students!D$13*K$6</f>
        <v>167091.75</v>
      </c>
      <c r="L32" s="203">
        <f>$E32*Students!E$13*L$6</f>
        <v>229472.67</v>
      </c>
      <c r="M32" s="203">
        <f>$E32*Students!F$13*M$6</f>
        <v>295446.06262500002</v>
      </c>
      <c r="N32" s="35"/>
      <c r="O32" s="16"/>
      <c r="P32" s="35"/>
      <c r="Q32" s="36" t="s">
        <v>58</v>
      </c>
      <c r="R32" s="4"/>
      <c r="S32" s="4"/>
      <c r="T32" s="4"/>
      <c r="U32" s="4"/>
    </row>
    <row r="33" spans="1:21" ht="19.5" customHeight="1">
      <c r="A33" s="52"/>
      <c r="B33" s="60" t="str">
        <f>CONCATENATE("total ",A19)</f>
        <v>total contracted services</v>
      </c>
      <c r="C33" s="60"/>
      <c r="D33" s="60"/>
      <c r="E33" s="61"/>
      <c r="F33" s="61"/>
      <c r="G33" s="63"/>
      <c r="H33" s="63"/>
      <c r="I33" s="75">
        <f>SUM(I20:I32)</f>
        <v>752500</v>
      </c>
      <c r="J33" s="75">
        <f t="shared" ref="J33:M33" si="11">SUM(J20:J32)</f>
        <v>880150</v>
      </c>
      <c r="K33" s="75">
        <f t="shared" si="11"/>
        <v>1106370.08</v>
      </c>
      <c r="L33" s="75">
        <f t="shared" si="11"/>
        <v>1336068.3985329098</v>
      </c>
      <c r="M33" s="75">
        <f t="shared" si="11"/>
        <v>1582542.5835349229</v>
      </c>
      <c r="N33" s="35"/>
      <c r="O33" s="16"/>
      <c r="P33" s="35"/>
      <c r="Q33" s="36"/>
      <c r="R33" s="4"/>
      <c r="S33" s="4"/>
      <c r="T33" s="4"/>
      <c r="U33" s="4"/>
    </row>
    <row r="34" spans="1:21" ht="19.5" customHeight="1">
      <c r="A34" s="52"/>
      <c r="B34" s="16"/>
      <c r="C34" s="16"/>
      <c r="D34" s="16"/>
      <c r="E34" s="76"/>
      <c r="F34" s="76"/>
      <c r="G34" s="39"/>
      <c r="H34" s="39"/>
      <c r="I34" s="53"/>
      <c r="J34" s="53"/>
      <c r="K34" s="53"/>
      <c r="L34" s="53"/>
      <c r="M34" s="53"/>
      <c r="N34" s="35"/>
      <c r="O34" s="16"/>
      <c r="P34" s="35"/>
      <c r="Q34" s="36"/>
      <c r="R34" s="4"/>
      <c r="S34" s="4"/>
      <c r="T34" s="4"/>
      <c r="U34" s="4"/>
    </row>
    <row r="35" spans="1:21" ht="19.5" customHeight="1">
      <c r="A35" s="71" t="s">
        <v>103</v>
      </c>
      <c r="B35" s="72"/>
      <c r="C35" s="72"/>
      <c r="D35" s="72"/>
      <c r="E35" s="79"/>
      <c r="F35" s="80"/>
      <c r="G35" s="73"/>
      <c r="H35" s="73"/>
      <c r="I35" s="79"/>
      <c r="J35" s="79"/>
      <c r="K35" s="79"/>
      <c r="L35" s="79"/>
      <c r="M35" s="79"/>
      <c r="N35" s="35"/>
      <c r="O35" s="16"/>
      <c r="P35" s="35"/>
      <c r="Q35" s="36"/>
      <c r="R35" s="4"/>
      <c r="S35" s="4"/>
      <c r="T35" s="4"/>
      <c r="U35" s="4"/>
    </row>
    <row r="36" spans="1:21" ht="19.5" customHeight="1">
      <c r="A36" s="52"/>
      <c r="B36" s="16" t="s">
        <v>104</v>
      </c>
      <c r="C36" s="16">
        <v>3200</v>
      </c>
      <c r="D36" s="16">
        <v>500</v>
      </c>
      <c r="E36" s="110"/>
      <c r="F36" s="111"/>
      <c r="G36" s="57"/>
      <c r="H36" s="58"/>
      <c r="I36" s="248">
        <v>20000</v>
      </c>
      <c r="J36" s="59">
        <v>25000</v>
      </c>
      <c r="K36" s="59">
        <v>40000</v>
      </c>
      <c r="L36" s="59">
        <v>50000</v>
      </c>
      <c r="M36" s="59">
        <v>60000</v>
      </c>
      <c r="N36" s="35"/>
      <c r="O36" s="16"/>
      <c r="P36" s="35"/>
      <c r="Q36" s="36" t="s">
        <v>58</v>
      </c>
      <c r="R36" s="4"/>
      <c r="S36" s="4"/>
      <c r="T36" s="4"/>
      <c r="U36" s="4"/>
    </row>
    <row r="37" spans="1:21" ht="19.5" customHeight="1">
      <c r="A37" s="52"/>
      <c r="B37" s="198" t="s">
        <v>105</v>
      </c>
      <c r="C37" s="198">
        <v>3200</v>
      </c>
      <c r="D37" s="198">
        <v>500</v>
      </c>
      <c r="E37" s="110"/>
      <c r="F37" s="111"/>
      <c r="G37" s="57"/>
      <c r="H37" s="58"/>
      <c r="I37" s="248">
        <v>20000</v>
      </c>
      <c r="J37" s="59">
        <v>25000</v>
      </c>
      <c r="K37" s="59">
        <v>40000</v>
      </c>
      <c r="L37" s="59">
        <v>50000</v>
      </c>
      <c r="M37" s="59">
        <v>60000</v>
      </c>
      <c r="N37" s="35"/>
      <c r="O37" s="16"/>
      <c r="P37" s="35"/>
      <c r="Q37" s="36" t="s">
        <v>58</v>
      </c>
      <c r="R37" s="4"/>
      <c r="S37" s="4"/>
      <c r="T37" s="4"/>
      <c r="U37" s="4"/>
    </row>
    <row r="38" spans="1:21" ht="19.5" customHeight="1">
      <c r="A38" s="52"/>
      <c r="B38" s="60" t="str">
        <f>CONCATENATE("total ",A35)</f>
        <v>total student activities</v>
      </c>
      <c r="C38" s="60"/>
      <c r="D38" s="60"/>
      <c r="E38" s="61"/>
      <c r="F38" s="61"/>
      <c r="G38" s="63"/>
      <c r="H38" s="63"/>
      <c r="I38" s="75">
        <f t="shared" ref="I38:M38" si="12">SUM(I36:I37)</f>
        <v>40000</v>
      </c>
      <c r="J38" s="75">
        <f t="shared" si="12"/>
        <v>50000</v>
      </c>
      <c r="K38" s="75">
        <f t="shared" si="12"/>
        <v>80000</v>
      </c>
      <c r="L38" s="75">
        <f t="shared" si="12"/>
        <v>100000</v>
      </c>
      <c r="M38" s="75">
        <f t="shared" si="12"/>
        <v>120000</v>
      </c>
      <c r="N38" s="35"/>
      <c r="O38" s="16"/>
      <c r="P38" s="35"/>
      <c r="Q38" s="36"/>
      <c r="R38" s="4"/>
      <c r="S38" s="4"/>
      <c r="T38" s="4"/>
      <c r="U38" s="4"/>
    </row>
    <row r="39" spans="1:21" ht="19.5" customHeight="1">
      <c r="A39" s="52"/>
      <c r="B39" s="16"/>
      <c r="C39" s="16"/>
      <c r="D39" s="16"/>
      <c r="E39" s="76"/>
      <c r="F39" s="76"/>
      <c r="G39" s="39"/>
      <c r="H39" s="39"/>
      <c r="I39" s="53"/>
      <c r="J39" s="53"/>
      <c r="K39" s="53"/>
      <c r="L39" s="53"/>
      <c r="M39" s="53"/>
      <c r="N39" s="35"/>
      <c r="O39" s="16"/>
      <c r="P39" s="35"/>
      <c r="Q39" s="36"/>
      <c r="R39" s="4"/>
      <c r="S39" s="4"/>
      <c r="T39" s="4"/>
      <c r="U39" s="4"/>
    </row>
    <row r="40" spans="1:21" ht="19.5" customHeight="1">
      <c r="A40" s="71" t="s">
        <v>106</v>
      </c>
      <c r="B40" s="72"/>
      <c r="C40" s="72"/>
      <c r="D40" s="72"/>
      <c r="E40" s="79"/>
      <c r="F40" s="79"/>
      <c r="G40" s="73"/>
      <c r="H40" s="73"/>
      <c r="I40" s="79"/>
      <c r="J40" s="79"/>
      <c r="K40" s="79"/>
      <c r="L40" s="79"/>
      <c r="M40" s="79"/>
      <c r="N40" s="35"/>
      <c r="O40" s="16"/>
      <c r="P40" s="35"/>
      <c r="Q40" s="36"/>
      <c r="R40" s="4"/>
      <c r="S40" s="4"/>
      <c r="T40" s="4"/>
      <c r="U40" s="4"/>
    </row>
    <row r="41" spans="1:21" ht="19.5" customHeight="1">
      <c r="A41" s="52"/>
      <c r="B41" s="16" t="s">
        <v>107</v>
      </c>
      <c r="C41" s="16">
        <v>2600</v>
      </c>
      <c r="D41" s="16">
        <v>520</v>
      </c>
      <c r="E41" s="81">
        <v>55000</v>
      </c>
      <c r="F41" s="18" t="s">
        <v>108</v>
      </c>
      <c r="G41" s="112"/>
      <c r="H41" s="111"/>
      <c r="I41" s="59">
        <f>+E41</f>
        <v>55000</v>
      </c>
      <c r="J41" s="59">
        <f>+$I$41*J6</f>
        <v>56650</v>
      </c>
      <c r="K41" s="59">
        <f>+$I$41*K6</f>
        <v>58349.5</v>
      </c>
      <c r="L41" s="59">
        <f>+$I$41*L6</f>
        <v>60099.985000000001</v>
      </c>
      <c r="M41" s="59">
        <f>+$I$41*M6</f>
        <v>61902.984550000008</v>
      </c>
      <c r="N41" s="35"/>
      <c r="O41" s="16"/>
      <c r="P41" s="35"/>
      <c r="Q41" s="36" t="s">
        <v>58</v>
      </c>
      <c r="R41" s="4"/>
      <c r="S41" s="4"/>
      <c r="T41" s="4"/>
      <c r="U41" s="4"/>
    </row>
    <row r="42" spans="1:21" ht="19.5" customHeight="1">
      <c r="A42" s="52"/>
      <c r="B42" s="198"/>
      <c r="C42" s="198"/>
      <c r="D42" s="198"/>
      <c r="E42" s="209"/>
      <c r="F42" s="194"/>
      <c r="G42" s="210"/>
      <c r="H42" s="211"/>
      <c r="I42" s="203"/>
      <c r="J42" s="203"/>
      <c r="K42" s="203"/>
      <c r="L42" s="203"/>
      <c r="M42" s="203"/>
      <c r="N42" s="35"/>
      <c r="O42" s="16"/>
      <c r="P42" s="35"/>
      <c r="Q42" s="36" t="s">
        <v>58</v>
      </c>
      <c r="R42" s="4"/>
      <c r="S42" s="4"/>
      <c r="T42" s="4"/>
      <c r="U42" s="4"/>
    </row>
    <row r="43" spans="1:21" ht="19.5" customHeight="1">
      <c r="A43" s="52"/>
      <c r="B43" s="60" t="str">
        <f>CONCATENATE("total ",A40)</f>
        <v>total insurance</v>
      </c>
      <c r="C43" s="60"/>
      <c r="D43" s="60"/>
      <c r="E43" s="61"/>
      <c r="F43" s="61"/>
      <c r="G43" s="63"/>
      <c r="H43" s="63"/>
      <c r="I43" s="75">
        <f t="shared" ref="I43:M43" si="13">SUM(I41:I42)</f>
        <v>55000</v>
      </c>
      <c r="J43" s="75">
        <f t="shared" si="13"/>
        <v>56650</v>
      </c>
      <c r="K43" s="75">
        <f t="shared" si="13"/>
        <v>58349.5</v>
      </c>
      <c r="L43" s="75">
        <f t="shared" si="13"/>
        <v>60099.985000000001</v>
      </c>
      <c r="M43" s="75">
        <f t="shared" si="13"/>
        <v>61902.984550000008</v>
      </c>
      <c r="N43" s="35"/>
      <c r="O43" s="16"/>
      <c r="P43" s="35"/>
      <c r="Q43" s="36"/>
      <c r="R43" s="4"/>
      <c r="S43" s="4"/>
      <c r="T43" s="4"/>
      <c r="U43" s="4"/>
    </row>
    <row r="44" spans="1:21" ht="19.5" customHeight="1">
      <c r="A44" s="52"/>
      <c r="B44" s="16"/>
      <c r="C44" s="16"/>
      <c r="D44" s="16"/>
      <c r="E44" s="76"/>
      <c r="F44" s="76"/>
      <c r="G44" s="39"/>
      <c r="H44" s="39"/>
      <c r="I44" s="59"/>
      <c r="J44" s="59"/>
      <c r="K44" s="59"/>
      <c r="L44" s="59"/>
      <c r="M44" s="59"/>
      <c r="N44" s="35"/>
      <c r="O44" s="16"/>
      <c r="P44" s="35"/>
      <c r="Q44" s="36"/>
      <c r="R44" s="4"/>
      <c r="S44" s="4"/>
      <c r="T44" s="4"/>
      <c r="U44" s="4"/>
    </row>
    <row r="45" spans="1:21" ht="19.5" customHeight="1">
      <c r="A45" s="71" t="s">
        <v>109</v>
      </c>
      <c r="B45" s="72"/>
      <c r="C45" s="72"/>
      <c r="D45" s="72"/>
      <c r="E45" s="79"/>
      <c r="F45" s="79"/>
      <c r="G45" s="73"/>
      <c r="H45" s="73"/>
      <c r="I45" s="113"/>
      <c r="J45" s="113"/>
      <c r="K45" s="113"/>
      <c r="L45" s="113"/>
      <c r="M45" s="113"/>
      <c r="N45" s="35"/>
      <c r="O45" s="16"/>
      <c r="P45" s="35"/>
      <c r="Q45" s="36"/>
      <c r="R45" s="4"/>
      <c r="S45" s="4"/>
      <c r="T45" s="4"/>
      <c r="U45" s="4"/>
    </row>
    <row r="46" spans="1:21" ht="19.5" customHeight="1">
      <c r="A46" s="52"/>
      <c r="B46" s="16" t="s">
        <v>110</v>
      </c>
      <c r="C46" s="16">
        <v>2380</v>
      </c>
      <c r="D46" s="16">
        <v>610</v>
      </c>
      <c r="E46" s="81">
        <v>125</v>
      </c>
      <c r="F46" s="18" t="s">
        <v>111</v>
      </c>
      <c r="G46" s="57"/>
      <c r="H46" s="57"/>
      <c r="I46" s="59">
        <f>$E46*Students!C$13*I$6</f>
        <v>18750</v>
      </c>
      <c r="J46" s="59">
        <f>$E46*Students!D$13*J$6</f>
        <v>28968.75</v>
      </c>
      <c r="K46" s="59">
        <f>$E46*Students!E$13*K$6</f>
        <v>39783.75</v>
      </c>
      <c r="L46" s="59">
        <f>$E46*Students!F$13*L$6</f>
        <v>51221.578125</v>
      </c>
      <c r="M46" s="59">
        <f>$E46*Students!G$13*M$6</f>
        <v>63309.870562500008</v>
      </c>
      <c r="N46" s="35"/>
      <c r="O46" s="16"/>
      <c r="P46" s="35"/>
      <c r="Q46" s="36" t="s">
        <v>58</v>
      </c>
      <c r="R46" s="4"/>
      <c r="S46" s="4"/>
      <c r="T46" s="4"/>
      <c r="U46" s="4"/>
    </row>
    <row r="47" spans="1:21" ht="19.5" customHeight="1">
      <c r="A47" s="52"/>
      <c r="B47" s="198" t="s">
        <v>112</v>
      </c>
      <c r="C47" s="198">
        <v>1100</v>
      </c>
      <c r="D47" s="198">
        <v>610</v>
      </c>
      <c r="E47" s="209">
        <v>150</v>
      </c>
      <c r="F47" s="194" t="s">
        <v>111</v>
      </c>
      <c r="G47" s="200"/>
      <c r="H47" s="200"/>
      <c r="I47" s="212">
        <f>+E47*Students!C13</f>
        <v>22500</v>
      </c>
      <c r="J47" s="203">
        <f>$E47*Students!D$13*J$6</f>
        <v>34762.5</v>
      </c>
      <c r="K47" s="203">
        <f>$E47*Students!E$13*K$6</f>
        <v>47740.5</v>
      </c>
      <c r="L47" s="203">
        <f>$E47*Students!F$13*L$6</f>
        <v>61465.893750000003</v>
      </c>
      <c r="M47" s="203">
        <f>$E47*Students!G$13*M$6</f>
        <v>75971.844675000015</v>
      </c>
      <c r="N47" s="35"/>
      <c r="O47" s="16"/>
      <c r="P47" s="35"/>
      <c r="Q47" s="36" t="s">
        <v>58</v>
      </c>
      <c r="R47" s="4"/>
      <c r="S47" s="4"/>
      <c r="T47" s="4"/>
      <c r="U47" s="4"/>
    </row>
    <row r="48" spans="1:21" ht="19.5" customHeight="1">
      <c r="A48" s="52"/>
      <c r="B48" s="60" t="str">
        <f>CONCATENATE("total ",A45)</f>
        <v>total consumable supplies</v>
      </c>
      <c r="C48" s="60"/>
      <c r="D48" s="60"/>
      <c r="E48" s="61"/>
      <c r="F48" s="61"/>
      <c r="G48" s="63"/>
      <c r="H48" s="63"/>
      <c r="I48" s="75">
        <f t="shared" ref="I48:M48" si="14">SUM(I46:I47)</f>
        <v>41250</v>
      </c>
      <c r="J48" s="75">
        <f t="shared" si="14"/>
        <v>63731.25</v>
      </c>
      <c r="K48" s="75">
        <f t="shared" si="14"/>
        <v>87524.25</v>
      </c>
      <c r="L48" s="75">
        <f t="shared" si="14"/>
        <v>112687.471875</v>
      </c>
      <c r="M48" s="75">
        <f t="shared" si="14"/>
        <v>139281.71523750003</v>
      </c>
      <c r="N48" s="35"/>
      <c r="O48" s="16"/>
      <c r="P48" s="35"/>
      <c r="Q48" s="36"/>
      <c r="R48" s="4"/>
      <c r="S48" s="4"/>
      <c r="T48" s="4"/>
      <c r="U48" s="4"/>
    </row>
    <row r="49" spans="1:21" ht="19.5" customHeight="1">
      <c r="A49" s="52"/>
      <c r="B49" s="16"/>
      <c r="C49" s="16"/>
      <c r="D49" s="16"/>
      <c r="E49" s="76"/>
      <c r="F49" s="76"/>
      <c r="G49" s="39"/>
      <c r="H49" s="39"/>
      <c r="I49" s="59"/>
      <c r="J49" s="59"/>
      <c r="K49" s="59"/>
      <c r="L49" s="59"/>
      <c r="M49" s="59"/>
      <c r="N49" s="35"/>
      <c r="O49" s="16"/>
      <c r="P49" s="35"/>
      <c r="Q49" s="36"/>
      <c r="R49" s="4"/>
      <c r="S49" s="4"/>
      <c r="T49" s="4"/>
      <c r="U49" s="4"/>
    </row>
    <row r="50" spans="1:21" ht="19.5" customHeight="1">
      <c r="A50" s="71" t="s">
        <v>113</v>
      </c>
      <c r="B50" s="72"/>
      <c r="C50" s="72"/>
      <c r="D50" s="72"/>
      <c r="E50" s="79"/>
      <c r="F50" s="79"/>
      <c r="G50" s="73"/>
      <c r="H50" s="73"/>
      <c r="I50" s="113"/>
      <c r="J50" s="113"/>
      <c r="K50" s="113"/>
      <c r="L50" s="113"/>
      <c r="M50" s="113"/>
      <c r="N50" s="35"/>
      <c r="O50" s="16"/>
      <c r="P50" s="35"/>
      <c r="Q50" s="36"/>
      <c r="R50" s="4"/>
      <c r="S50" s="4"/>
      <c r="T50" s="4"/>
      <c r="U50" s="4"/>
    </row>
    <row r="51" spans="1:21" ht="19.5" customHeight="1">
      <c r="A51" s="52"/>
      <c r="B51" s="16" t="s">
        <v>114</v>
      </c>
      <c r="C51" s="16"/>
      <c r="D51" s="16">
        <v>580</v>
      </c>
      <c r="E51" s="110"/>
      <c r="F51" s="18"/>
      <c r="G51" s="57"/>
      <c r="H51" s="57"/>
      <c r="I51" s="59">
        <v>5000</v>
      </c>
      <c r="J51" s="59">
        <v>8000</v>
      </c>
      <c r="K51" s="59">
        <v>11000</v>
      </c>
      <c r="L51" s="59">
        <v>12000</v>
      </c>
      <c r="M51" s="59">
        <v>12000</v>
      </c>
      <c r="N51" s="35"/>
      <c r="O51" s="16"/>
      <c r="P51" s="35"/>
      <c r="Q51" s="36"/>
      <c r="R51" s="4"/>
      <c r="S51" s="4"/>
      <c r="T51" s="4"/>
      <c r="U51" s="4"/>
    </row>
    <row r="52" spans="1:21" ht="19.5" customHeight="1">
      <c r="A52" s="52"/>
      <c r="B52" s="16" t="s">
        <v>115</v>
      </c>
      <c r="C52" s="16"/>
      <c r="D52" s="16">
        <v>530</v>
      </c>
      <c r="E52" s="81">
        <v>600</v>
      </c>
      <c r="F52" s="18" t="s">
        <v>98</v>
      </c>
      <c r="G52" s="57"/>
      <c r="H52" s="57"/>
      <c r="I52" s="59">
        <f>$E52*I$6*Personnel!I$40</f>
        <v>12600</v>
      </c>
      <c r="J52" s="59">
        <f>$E52*J$6*Personnel!J$40</f>
        <v>18540</v>
      </c>
      <c r="K52" s="59">
        <f>$E52*K$6*Personnel!K$40</f>
        <v>22278.899999999998</v>
      </c>
      <c r="L52" s="59">
        <f>$E52*L$6*Personnel!L$40</f>
        <v>36059.991000000002</v>
      </c>
      <c r="M52" s="59">
        <f>$E52*M$6*Personnel!M$40</f>
        <v>43219.538304000009</v>
      </c>
      <c r="N52" s="35"/>
      <c r="O52" s="16"/>
      <c r="P52" s="35"/>
      <c r="Q52" s="36"/>
      <c r="R52" s="4"/>
      <c r="S52" s="4"/>
      <c r="T52" s="4"/>
      <c r="U52" s="4"/>
    </row>
    <row r="53" spans="1:21" ht="19.5" customHeight="1">
      <c r="A53" s="52"/>
      <c r="B53" s="16" t="s">
        <v>116</v>
      </c>
      <c r="C53" s="16"/>
      <c r="D53" s="16">
        <v>550</v>
      </c>
      <c r="E53" s="81">
        <v>500</v>
      </c>
      <c r="F53" s="18" t="s">
        <v>98</v>
      </c>
      <c r="G53" s="57"/>
      <c r="H53" s="57"/>
      <c r="I53" s="59">
        <f>$E53*I$6*Personnel!I$40</f>
        <v>10500</v>
      </c>
      <c r="J53" s="59">
        <f>$E53*J$6*Personnel!J$40</f>
        <v>15450</v>
      </c>
      <c r="K53" s="59">
        <f>$E53*K$6*Personnel!K$40</f>
        <v>18565.749999999996</v>
      </c>
      <c r="L53" s="59">
        <f>$E53*L$6*Personnel!L$40</f>
        <v>30049.992500000004</v>
      </c>
      <c r="M53" s="59">
        <f>$E53*M$6*Personnel!M$40</f>
        <v>36016.281920000001</v>
      </c>
      <c r="N53" s="35"/>
      <c r="O53" s="16"/>
      <c r="P53" s="35"/>
      <c r="Q53" s="36"/>
      <c r="R53" s="4"/>
      <c r="S53" s="4"/>
      <c r="T53" s="4"/>
      <c r="U53" s="4"/>
    </row>
    <row r="54" spans="1:21" ht="19.5" customHeight="1">
      <c r="A54" s="52"/>
      <c r="B54" s="16" t="s">
        <v>117</v>
      </c>
      <c r="C54" s="16"/>
      <c r="D54" s="16">
        <v>530</v>
      </c>
      <c r="E54" s="81">
        <v>75</v>
      </c>
      <c r="F54" s="18" t="s">
        <v>98</v>
      </c>
      <c r="G54" s="57"/>
      <c r="H54" s="57"/>
      <c r="I54" s="59">
        <f>$E54*I$6*Personnel!I$40</f>
        <v>1575</v>
      </c>
      <c r="J54" s="59">
        <f>$E54*J$6*Personnel!J$40</f>
        <v>2317.5</v>
      </c>
      <c r="K54" s="59">
        <f>$E54*K$6*Personnel!K$40</f>
        <v>2784.8624999999997</v>
      </c>
      <c r="L54" s="59">
        <f>$E54*L$6*Personnel!L$40</f>
        <v>4507.4988750000002</v>
      </c>
      <c r="M54" s="59">
        <f>$E54*M$6*Personnel!M$40</f>
        <v>5402.4422880000011</v>
      </c>
      <c r="N54" s="35"/>
      <c r="O54" s="16"/>
      <c r="P54" s="35"/>
      <c r="Q54" s="36"/>
      <c r="R54" s="4"/>
      <c r="S54" s="4"/>
      <c r="T54" s="4"/>
      <c r="U54" s="4"/>
    </row>
    <row r="55" spans="1:21" ht="19.5" customHeight="1">
      <c r="A55" s="52"/>
      <c r="B55" s="16"/>
      <c r="C55" s="16"/>
      <c r="D55" s="16"/>
      <c r="E55" s="81"/>
      <c r="F55" s="18"/>
      <c r="G55" s="57"/>
      <c r="H55" s="57"/>
      <c r="I55" s="59">
        <f>$E55*I$6*Students!C13</f>
        <v>0</v>
      </c>
      <c r="J55" s="59">
        <f>$E55*J$6*Students!D13</f>
        <v>0</v>
      </c>
      <c r="K55" s="59">
        <f>$E55*K$6*Students!E13</f>
        <v>0</v>
      </c>
      <c r="L55" s="59">
        <f>$E55*L$6*Students!F13</f>
        <v>0</v>
      </c>
      <c r="M55" s="59">
        <f>$E55*M$6*Students!G13</f>
        <v>0</v>
      </c>
      <c r="N55" s="35"/>
      <c r="O55" s="16"/>
      <c r="P55" s="35"/>
      <c r="Q55" s="36"/>
      <c r="R55" s="4"/>
      <c r="S55" s="4"/>
      <c r="T55" s="4"/>
      <c r="U55" s="4"/>
    </row>
    <row r="56" spans="1:21" ht="19.5" customHeight="1">
      <c r="A56" s="52"/>
      <c r="B56" s="198"/>
      <c r="C56" s="198"/>
      <c r="D56" s="198"/>
      <c r="E56" s="209"/>
      <c r="F56" s="194"/>
      <c r="G56" s="200"/>
      <c r="H56" s="200"/>
      <c r="I56" s="203"/>
      <c r="J56" s="203"/>
      <c r="K56" s="203"/>
      <c r="L56" s="203"/>
      <c r="M56" s="203"/>
      <c r="N56" s="35"/>
      <c r="O56" s="16"/>
      <c r="P56" s="35"/>
      <c r="Q56" s="36"/>
      <c r="R56" s="4"/>
      <c r="S56" s="4"/>
      <c r="T56" s="4"/>
      <c r="U56" s="4"/>
    </row>
    <row r="57" spans="1:21" ht="19.5" customHeight="1">
      <c r="A57" s="52"/>
      <c r="B57" s="60" t="str">
        <f>CONCATENATE("total ",A50)</f>
        <v>total other services</v>
      </c>
      <c r="C57" s="60"/>
      <c r="D57" s="60"/>
      <c r="E57" s="61"/>
      <c r="F57" s="61"/>
      <c r="G57" s="63"/>
      <c r="H57" s="63"/>
      <c r="I57" s="75">
        <f t="shared" ref="I57:M57" si="15">SUM(I51:I56)</f>
        <v>29675</v>
      </c>
      <c r="J57" s="75">
        <f t="shared" si="15"/>
        <v>44307.5</v>
      </c>
      <c r="K57" s="75">
        <f t="shared" si="15"/>
        <v>54629.512499999997</v>
      </c>
      <c r="L57" s="75">
        <f t="shared" si="15"/>
        <v>82617.482375000007</v>
      </c>
      <c r="M57" s="75">
        <f t="shared" si="15"/>
        <v>96638.262512000016</v>
      </c>
      <c r="N57" s="35"/>
      <c r="O57" s="16"/>
      <c r="P57" s="35"/>
      <c r="Q57" s="36"/>
      <c r="R57" s="4"/>
      <c r="S57" s="4"/>
      <c r="T57" s="4"/>
      <c r="U57" s="4"/>
    </row>
    <row r="58" spans="1:21" ht="19.5" customHeight="1">
      <c r="A58" s="52"/>
      <c r="B58" s="16"/>
      <c r="C58" s="16"/>
      <c r="D58" s="16"/>
      <c r="E58" s="76"/>
      <c r="F58" s="76"/>
      <c r="G58" s="39"/>
      <c r="H58" s="39"/>
      <c r="I58" s="59"/>
      <c r="J58" s="59"/>
      <c r="K58" s="59"/>
      <c r="L58" s="59"/>
      <c r="M58" s="59"/>
      <c r="N58" s="35"/>
      <c r="O58" s="16"/>
      <c r="P58" s="35"/>
      <c r="Q58" s="36"/>
      <c r="R58" s="4"/>
      <c r="S58" s="4"/>
      <c r="T58" s="4"/>
      <c r="U58" s="4"/>
    </row>
    <row r="59" spans="1:21" ht="19.5" customHeight="1">
      <c r="A59" s="71" t="s">
        <v>118</v>
      </c>
      <c r="B59" s="72"/>
      <c r="C59" s="72"/>
      <c r="D59" s="72"/>
      <c r="E59" s="79"/>
      <c r="F59" s="79"/>
      <c r="G59" s="73"/>
      <c r="H59" s="73"/>
      <c r="I59" s="113"/>
      <c r="J59" s="113"/>
      <c r="K59" s="113"/>
      <c r="L59" s="113"/>
      <c r="M59" s="113"/>
      <c r="N59" s="35"/>
      <c r="O59" s="16"/>
      <c r="P59" s="35"/>
      <c r="Q59" s="36"/>
      <c r="R59" s="4"/>
      <c r="S59" s="4"/>
      <c r="T59" s="4"/>
      <c r="U59" s="4"/>
    </row>
    <row r="60" spans="1:21" ht="19.5" customHeight="1">
      <c r="A60" s="52"/>
      <c r="B60" s="16" t="s">
        <v>118</v>
      </c>
      <c r="C60" s="16">
        <v>1100</v>
      </c>
      <c r="D60" s="16">
        <v>640</v>
      </c>
      <c r="E60" s="110"/>
      <c r="F60" s="18"/>
      <c r="G60" s="57"/>
      <c r="H60" s="57"/>
      <c r="I60" s="248">
        <v>80000</v>
      </c>
      <c r="J60" s="114">
        <v>40000</v>
      </c>
      <c r="K60" s="114">
        <v>40000</v>
      </c>
      <c r="L60" s="114">
        <v>40000</v>
      </c>
      <c r="M60" s="114">
        <v>40000</v>
      </c>
      <c r="N60" s="35"/>
      <c r="O60" s="16"/>
      <c r="P60" s="35"/>
      <c r="Q60" s="36"/>
      <c r="R60" s="4"/>
      <c r="S60" s="4"/>
      <c r="T60" s="4"/>
      <c r="U60" s="4"/>
    </row>
    <row r="61" spans="1:21" ht="19.5" customHeight="1">
      <c r="A61" s="52"/>
      <c r="B61" s="16" t="s">
        <v>119</v>
      </c>
      <c r="C61" s="16">
        <v>1100</v>
      </c>
      <c r="D61" s="16">
        <v>618</v>
      </c>
      <c r="E61" s="81">
        <v>150</v>
      </c>
      <c r="F61" s="18" t="s">
        <v>111</v>
      </c>
      <c r="G61" s="57"/>
      <c r="H61" s="57"/>
      <c r="I61" s="248">
        <v>15000</v>
      </c>
      <c r="J61" s="59">
        <v>20000</v>
      </c>
      <c r="K61" s="59">
        <v>25000</v>
      </c>
      <c r="L61" s="59">
        <v>30000</v>
      </c>
      <c r="M61" s="59">
        <v>35000</v>
      </c>
      <c r="N61" s="35"/>
      <c r="O61" s="16"/>
      <c r="P61" s="35"/>
      <c r="Q61" s="36"/>
      <c r="R61" s="4"/>
      <c r="S61" s="4"/>
      <c r="T61" s="4"/>
      <c r="U61" s="4"/>
    </row>
    <row r="62" spans="1:21" ht="19.5" customHeight="1">
      <c r="A62" s="52"/>
      <c r="B62" s="16" t="s">
        <v>120</v>
      </c>
      <c r="C62" s="16"/>
      <c r="D62" s="16"/>
      <c r="E62" s="81">
        <v>500</v>
      </c>
      <c r="F62" s="18" t="s">
        <v>121</v>
      </c>
      <c r="G62" s="57"/>
      <c r="H62" s="57"/>
      <c r="I62" s="248">
        <v>15000</v>
      </c>
      <c r="J62" s="59">
        <v>20000</v>
      </c>
      <c r="K62" s="59">
        <v>25000</v>
      </c>
      <c r="L62" s="59">
        <v>30000</v>
      </c>
      <c r="M62" s="59">
        <v>35000</v>
      </c>
      <c r="N62" s="35"/>
      <c r="O62" s="16"/>
      <c r="P62" s="35"/>
      <c r="Q62" s="36"/>
      <c r="R62" s="4"/>
      <c r="S62" s="4"/>
      <c r="T62" s="4"/>
      <c r="U62" s="4"/>
    </row>
    <row r="63" spans="1:21" ht="19.5" customHeight="1">
      <c r="A63" s="52"/>
      <c r="B63" s="198"/>
      <c r="C63" s="198"/>
      <c r="D63" s="198"/>
      <c r="E63" s="209"/>
      <c r="F63" s="194"/>
      <c r="G63" s="200"/>
      <c r="H63" s="200"/>
      <c r="I63" s="203"/>
      <c r="J63" s="203"/>
      <c r="K63" s="203"/>
      <c r="L63" s="203"/>
      <c r="M63" s="203"/>
      <c r="N63" s="35"/>
      <c r="O63" s="16"/>
      <c r="P63" s="35"/>
      <c r="Q63" s="36"/>
      <c r="R63" s="4"/>
      <c r="S63" s="4"/>
      <c r="T63" s="4"/>
      <c r="U63" s="4"/>
    </row>
    <row r="64" spans="1:21" ht="19.5" customHeight="1">
      <c r="A64" s="52"/>
      <c r="B64" s="60" t="str">
        <f>CONCATENATE("total ",A59)</f>
        <v>total books/instructional aids</v>
      </c>
      <c r="C64" s="60"/>
      <c r="D64" s="60"/>
      <c r="E64" s="61"/>
      <c r="F64" s="61"/>
      <c r="G64" s="63"/>
      <c r="H64" s="63"/>
      <c r="I64" s="75">
        <f t="shared" ref="I64:M64" si="16">SUM(I60:I63)</f>
        <v>110000</v>
      </c>
      <c r="J64" s="75">
        <f t="shared" si="16"/>
        <v>80000</v>
      </c>
      <c r="K64" s="75">
        <f t="shared" si="16"/>
        <v>90000</v>
      </c>
      <c r="L64" s="75">
        <f t="shared" si="16"/>
        <v>100000</v>
      </c>
      <c r="M64" s="75">
        <f t="shared" si="16"/>
        <v>110000</v>
      </c>
      <c r="N64" s="35"/>
      <c r="O64" s="16"/>
      <c r="P64" s="35"/>
      <c r="Q64" s="36"/>
      <c r="R64" s="4"/>
      <c r="S64" s="4"/>
      <c r="T64" s="4"/>
      <c r="U64" s="4"/>
    </row>
    <row r="65" spans="1:21" ht="19.5" customHeight="1">
      <c r="A65" s="52"/>
      <c r="B65" s="16"/>
      <c r="C65" s="16"/>
      <c r="D65" s="16"/>
      <c r="E65" s="76"/>
      <c r="F65" s="76"/>
      <c r="G65" s="39"/>
      <c r="H65" s="39"/>
      <c r="I65" s="59"/>
      <c r="J65" s="59"/>
      <c r="K65" s="59"/>
      <c r="L65" s="59"/>
      <c r="M65" s="59"/>
      <c r="N65" s="35"/>
      <c r="O65" s="16"/>
      <c r="P65" s="35"/>
      <c r="Q65" s="36"/>
      <c r="R65" s="4"/>
      <c r="S65" s="4"/>
      <c r="T65" s="4"/>
      <c r="U65" s="4"/>
    </row>
    <row r="66" spans="1:21" ht="19.5" customHeight="1">
      <c r="A66" s="71" t="s">
        <v>122</v>
      </c>
      <c r="B66" s="72"/>
      <c r="C66" s="72"/>
      <c r="D66" s="72"/>
      <c r="E66" s="79"/>
      <c r="F66" s="79"/>
      <c r="G66" s="73"/>
      <c r="H66" s="73"/>
      <c r="I66" s="113"/>
      <c r="J66" s="113"/>
      <c r="K66" s="113"/>
      <c r="L66" s="113"/>
      <c r="M66" s="113"/>
      <c r="N66" s="35"/>
      <c r="O66" s="16"/>
      <c r="P66" s="35"/>
      <c r="Q66" s="36"/>
      <c r="R66" s="4"/>
      <c r="S66" s="4"/>
      <c r="T66" s="4"/>
      <c r="U66" s="4"/>
    </row>
    <row r="67" spans="1:21" ht="19.5" customHeight="1">
      <c r="A67" s="52"/>
      <c r="B67" s="16" t="s">
        <v>123</v>
      </c>
      <c r="C67" s="16">
        <v>2380</v>
      </c>
      <c r="D67" s="16">
        <v>750</v>
      </c>
      <c r="E67" s="81">
        <v>50000</v>
      </c>
      <c r="F67" s="18" t="s">
        <v>124</v>
      </c>
      <c r="G67" s="110"/>
      <c r="H67" s="58"/>
      <c r="I67" s="252">
        <v>50000</v>
      </c>
      <c r="J67" s="252">
        <v>25000</v>
      </c>
      <c r="K67" s="252">
        <v>10000</v>
      </c>
      <c r="L67" s="252">
        <v>10000</v>
      </c>
      <c r="M67" s="252">
        <v>10000</v>
      </c>
      <c r="N67" s="35"/>
      <c r="O67" s="16"/>
      <c r="P67" s="35"/>
      <c r="Q67" s="36"/>
      <c r="R67" s="4"/>
      <c r="S67" s="4"/>
      <c r="T67" s="4"/>
      <c r="U67" s="4"/>
    </row>
    <row r="68" spans="1:21" ht="19.5" customHeight="1">
      <c r="A68" s="52"/>
      <c r="B68" s="16" t="s">
        <v>125</v>
      </c>
      <c r="C68" s="16">
        <v>1100</v>
      </c>
      <c r="D68" s="16">
        <v>750</v>
      </c>
      <c r="E68" s="81">
        <v>75000</v>
      </c>
      <c r="F68" s="18" t="s">
        <v>124</v>
      </c>
      <c r="G68" s="57"/>
      <c r="H68" s="58"/>
      <c r="I68" s="249">
        <v>75000</v>
      </c>
      <c r="J68" s="249">
        <v>25000</v>
      </c>
      <c r="K68" s="249">
        <v>50000</v>
      </c>
      <c r="L68" s="249">
        <v>25000</v>
      </c>
      <c r="M68" s="249">
        <v>25000</v>
      </c>
      <c r="N68" s="35"/>
      <c r="O68" s="16"/>
      <c r="P68" s="35"/>
      <c r="Q68" s="36"/>
      <c r="R68" s="4"/>
      <c r="S68" s="4"/>
      <c r="T68" s="4"/>
      <c r="U68" s="4"/>
    </row>
    <row r="69" spans="1:21" ht="19.5" customHeight="1">
      <c r="A69" s="52"/>
      <c r="B69" s="16" t="s">
        <v>126</v>
      </c>
      <c r="C69" s="16">
        <v>1100</v>
      </c>
      <c r="D69" s="16">
        <v>750</v>
      </c>
      <c r="E69" s="81">
        <v>600</v>
      </c>
      <c r="F69" s="18" t="s">
        <v>127</v>
      </c>
      <c r="G69" s="115"/>
      <c r="H69" s="58"/>
      <c r="I69" s="249">
        <v>25000</v>
      </c>
      <c r="J69" s="249">
        <v>15000</v>
      </c>
      <c r="K69" s="249">
        <v>15000</v>
      </c>
      <c r="L69" s="249">
        <v>15000</v>
      </c>
      <c r="M69" s="249">
        <v>15000</v>
      </c>
      <c r="N69" s="35"/>
      <c r="O69" s="16"/>
      <c r="P69" s="35"/>
      <c r="Q69" s="36"/>
      <c r="R69" s="4"/>
      <c r="S69" s="4"/>
      <c r="T69" s="4"/>
      <c r="U69" s="4"/>
    </row>
    <row r="70" spans="1:21" ht="19.5" customHeight="1">
      <c r="A70" s="116"/>
      <c r="B70" s="117" t="s">
        <v>128</v>
      </c>
      <c r="C70" s="117">
        <v>1100</v>
      </c>
      <c r="D70" s="117">
        <v>750</v>
      </c>
      <c r="E70" s="110"/>
      <c r="F70" s="118"/>
      <c r="G70" s="119"/>
      <c r="H70" s="120"/>
      <c r="I70" s="250">
        <v>125000</v>
      </c>
      <c r="J70" s="251">
        <v>40000</v>
      </c>
      <c r="K70" s="251">
        <v>35000</v>
      </c>
      <c r="L70" s="251">
        <v>25000</v>
      </c>
      <c r="M70" s="251">
        <v>25000</v>
      </c>
      <c r="N70" s="121"/>
      <c r="O70" s="117"/>
      <c r="P70" s="121"/>
      <c r="Q70" s="122"/>
      <c r="R70" s="123"/>
      <c r="S70" s="123"/>
      <c r="T70" s="123"/>
      <c r="U70" s="123"/>
    </row>
    <row r="71" spans="1:21" ht="19.5" customHeight="1">
      <c r="A71" s="52"/>
      <c r="B71" s="16" t="s">
        <v>129</v>
      </c>
      <c r="C71" s="16">
        <v>1100</v>
      </c>
      <c r="D71" s="16">
        <v>757</v>
      </c>
      <c r="E71" s="110"/>
      <c r="F71" s="18"/>
      <c r="G71" s="57"/>
      <c r="H71" s="58"/>
      <c r="I71" s="250">
        <v>35000</v>
      </c>
      <c r="J71" s="249">
        <v>40000</v>
      </c>
      <c r="K71" s="249">
        <v>45000</v>
      </c>
      <c r="L71" s="249">
        <v>50000</v>
      </c>
      <c r="M71" s="249">
        <v>55000</v>
      </c>
      <c r="N71" s="35"/>
      <c r="O71" s="16"/>
      <c r="P71" s="35"/>
      <c r="Q71" s="36"/>
      <c r="R71" s="4"/>
      <c r="S71" s="4"/>
      <c r="T71" s="4"/>
      <c r="U71" s="4"/>
    </row>
    <row r="72" spans="1:21" ht="19.5" customHeight="1">
      <c r="A72" s="52"/>
      <c r="B72" s="198"/>
      <c r="C72" s="198"/>
      <c r="D72" s="198"/>
      <c r="E72" s="204"/>
      <c r="F72" s="194"/>
      <c r="G72" s="200"/>
      <c r="H72" s="201"/>
      <c r="I72" s="213"/>
      <c r="J72" s="213"/>
      <c r="K72" s="213"/>
      <c r="L72" s="213"/>
      <c r="M72" s="213"/>
      <c r="N72" s="35"/>
      <c r="O72" s="16"/>
      <c r="P72" s="35"/>
      <c r="Q72" s="36"/>
      <c r="R72" s="4"/>
      <c r="S72" s="4"/>
      <c r="T72" s="4"/>
      <c r="U72" s="4"/>
    </row>
    <row r="73" spans="1:21" ht="19.5" customHeight="1">
      <c r="A73" s="52"/>
      <c r="B73" s="60" t="str">
        <f>CONCATENATE("total ",A66)</f>
        <v>total equipment</v>
      </c>
      <c r="C73" s="60"/>
      <c r="D73" s="60"/>
      <c r="E73" s="61"/>
      <c r="F73" s="61"/>
      <c r="G73" s="63"/>
      <c r="H73" s="63"/>
      <c r="I73" s="75">
        <f t="shared" ref="I73:M73" si="17">SUM(I67:I72)</f>
        <v>310000</v>
      </c>
      <c r="J73" s="75">
        <f t="shared" si="17"/>
        <v>145000</v>
      </c>
      <c r="K73" s="75">
        <f t="shared" si="17"/>
        <v>155000</v>
      </c>
      <c r="L73" s="75">
        <f t="shared" si="17"/>
        <v>125000</v>
      </c>
      <c r="M73" s="75">
        <f t="shared" si="17"/>
        <v>130000</v>
      </c>
      <c r="N73" s="35"/>
      <c r="O73" s="16"/>
      <c r="P73" s="35"/>
      <c r="Q73" s="36"/>
      <c r="R73" s="4"/>
      <c r="S73" s="4"/>
      <c r="T73" s="4"/>
      <c r="U73" s="4"/>
    </row>
    <row r="74" spans="1:21" ht="19.5" customHeight="1">
      <c r="A74" s="3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124"/>
      <c r="R74" s="4"/>
      <c r="S74" s="4"/>
      <c r="T74" s="4"/>
      <c r="U74" s="4"/>
    </row>
    <row r="75" spans="1:21" ht="19.5" customHeight="1">
      <c r="A75" s="71" t="s">
        <v>130</v>
      </c>
      <c r="B75" s="72"/>
      <c r="C75" s="72"/>
      <c r="D75" s="72"/>
      <c r="E75" s="79"/>
      <c r="F75" s="79"/>
      <c r="G75" s="73"/>
      <c r="H75" s="73"/>
      <c r="I75" s="113"/>
      <c r="J75" s="113"/>
      <c r="K75" s="113"/>
      <c r="L75" s="113"/>
      <c r="M75" s="113"/>
      <c r="N75" s="3"/>
      <c r="O75" s="3"/>
      <c r="P75" s="3"/>
      <c r="Q75" s="124"/>
      <c r="R75" s="4"/>
      <c r="S75" s="4"/>
      <c r="T75" s="4"/>
      <c r="U75" s="4"/>
    </row>
    <row r="76" spans="1:21" ht="19.5" customHeight="1">
      <c r="A76" s="52"/>
      <c r="B76" s="16" t="s">
        <v>273</v>
      </c>
      <c r="C76" s="16">
        <v>2600</v>
      </c>
      <c r="D76" s="16">
        <v>441</v>
      </c>
      <c r="E76" s="125"/>
      <c r="F76" s="18" t="s">
        <v>131</v>
      </c>
      <c r="G76" s="115"/>
      <c r="H76" s="126"/>
      <c r="I76" s="59">
        <f>0.03*REVENUES!G15</f>
        <v>87419.769885000002</v>
      </c>
      <c r="J76" s="59">
        <f>0.045*REVENUES!H15</f>
        <v>210019.47778124997</v>
      </c>
      <c r="K76" s="59">
        <f>0.06*REVENUES!I15</f>
        <v>397610.2586808576</v>
      </c>
      <c r="L76" s="59">
        <f>0.07*REVENUES!J15</f>
        <v>599825.87056895392</v>
      </c>
      <c r="M76" s="59">
        <f>0.08*REVENUES!K15</f>
        <v>839070.70351588516</v>
      </c>
      <c r="N76" s="3"/>
      <c r="O76" s="3"/>
      <c r="P76" s="3"/>
      <c r="Q76" s="124"/>
      <c r="R76" s="4"/>
      <c r="S76" s="4"/>
      <c r="T76" s="4"/>
      <c r="U76" s="4"/>
    </row>
    <row r="77" spans="1:21" ht="19.5" customHeight="1">
      <c r="A77" s="52"/>
      <c r="B77" s="16" t="s">
        <v>274</v>
      </c>
      <c r="C77" s="16">
        <v>2600</v>
      </c>
      <c r="D77" s="16">
        <v>441</v>
      </c>
      <c r="E77" s="125"/>
      <c r="F77" s="18"/>
      <c r="G77" s="115"/>
      <c r="H77" s="126"/>
      <c r="I77" s="59"/>
      <c r="J77" s="59">
        <v>178190</v>
      </c>
      <c r="K77" s="59">
        <v>356380</v>
      </c>
      <c r="L77" s="59">
        <v>712760</v>
      </c>
      <c r="M77" s="59">
        <f>L77</f>
        <v>712760</v>
      </c>
      <c r="N77" s="3"/>
      <c r="O77" s="3"/>
      <c r="P77" s="3"/>
      <c r="Q77" s="124"/>
      <c r="R77" s="4"/>
      <c r="S77" s="4"/>
      <c r="T77" s="4"/>
      <c r="U77" s="4"/>
    </row>
    <row r="78" spans="1:21" ht="19.5" customHeight="1">
      <c r="A78" s="52"/>
      <c r="B78" s="16" t="s">
        <v>132</v>
      </c>
      <c r="C78" s="16">
        <v>2600</v>
      </c>
      <c r="D78" s="16">
        <v>410</v>
      </c>
      <c r="E78" s="81">
        <v>0</v>
      </c>
      <c r="F78" s="18" t="s">
        <v>124</v>
      </c>
      <c r="G78" s="115"/>
      <c r="H78" s="126"/>
      <c r="I78" s="59">
        <v>85000</v>
      </c>
      <c r="J78" s="59">
        <f t="shared" ref="J78:M78" si="18">+I78*1.03</f>
        <v>87550</v>
      </c>
      <c r="K78" s="59">
        <f t="shared" si="18"/>
        <v>90176.5</v>
      </c>
      <c r="L78" s="59">
        <f t="shared" si="18"/>
        <v>92881.794999999998</v>
      </c>
      <c r="M78" s="59">
        <f t="shared" si="18"/>
        <v>95668.248850000004</v>
      </c>
      <c r="N78" s="3"/>
      <c r="O78" s="3"/>
      <c r="P78" s="3"/>
      <c r="Q78" s="124"/>
      <c r="R78" s="4"/>
      <c r="S78" s="4"/>
      <c r="T78" s="4"/>
      <c r="U78" s="4"/>
    </row>
    <row r="79" spans="1:21" ht="19.5" customHeight="1">
      <c r="A79" s="52"/>
      <c r="B79" s="16" t="s">
        <v>133</v>
      </c>
      <c r="C79" s="16">
        <v>2600</v>
      </c>
      <c r="D79" s="16">
        <v>420</v>
      </c>
      <c r="E79" s="125">
        <v>0</v>
      </c>
      <c r="F79" s="18" t="s">
        <v>131</v>
      </c>
      <c r="G79" s="115"/>
      <c r="H79" s="126"/>
      <c r="I79" s="59">
        <v>40000</v>
      </c>
      <c r="J79" s="59">
        <f t="shared" ref="J79:M79" si="19">+I79*1.03</f>
        <v>41200</v>
      </c>
      <c r="K79" s="59">
        <f t="shared" si="19"/>
        <v>42436</v>
      </c>
      <c r="L79" s="59">
        <f t="shared" si="19"/>
        <v>43709.08</v>
      </c>
      <c r="M79" s="59">
        <f t="shared" si="19"/>
        <v>45020.352400000003</v>
      </c>
      <c r="N79" s="3"/>
      <c r="O79" s="3"/>
      <c r="P79" s="3"/>
      <c r="Q79" s="124"/>
      <c r="R79" s="4"/>
      <c r="S79" s="4"/>
      <c r="T79" s="4"/>
      <c r="U79" s="4"/>
    </row>
    <row r="80" spans="1:21" ht="19.5" customHeight="1">
      <c r="A80" s="52"/>
      <c r="B80" s="16" t="s">
        <v>134</v>
      </c>
      <c r="C80" s="16">
        <v>2600</v>
      </c>
      <c r="D80" s="16">
        <v>430</v>
      </c>
      <c r="E80" s="127"/>
      <c r="F80" s="18" t="s">
        <v>124</v>
      </c>
      <c r="G80" s="115"/>
      <c r="H80" s="126"/>
      <c r="I80" s="59">
        <v>200000</v>
      </c>
      <c r="J80" s="59">
        <v>75000</v>
      </c>
      <c r="K80" s="59">
        <v>125000</v>
      </c>
      <c r="L80" s="59">
        <v>150000</v>
      </c>
      <c r="M80" s="59">
        <v>150000</v>
      </c>
      <c r="N80" s="3"/>
      <c r="O80" s="3"/>
      <c r="P80" s="3"/>
      <c r="Q80" s="124"/>
      <c r="R80" s="4"/>
      <c r="S80" s="4"/>
      <c r="T80" s="4"/>
      <c r="U80" s="4"/>
    </row>
    <row r="81" spans="1:21" ht="19.5" customHeight="1">
      <c r="A81" s="52"/>
      <c r="B81" s="198"/>
      <c r="C81" s="198"/>
      <c r="D81" s="198"/>
      <c r="E81" s="209"/>
      <c r="F81" s="194"/>
      <c r="G81" s="214"/>
      <c r="H81" s="215"/>
      <c r="I81" s="203"/>
      <c r="J81" s="203"/>
      <c r="K81" s="203"/>
      <c r="L81" s="203"/>
      <c r="M81" s="203"/>
      <c r="N81" s="3"/>
      <c r="O81" s="3"/>
      <c r="P81" s="3"/>
      <c r="Q81" s="124"/>
      <c r="R81" s="4"/>
      <c r="S81" s="4"/>
      <c r="T81" s="4"/>
      <c r="U81" s="4"/>
    </row>
    <row r="82" spans="1:21" ht="19.5" customHeight="1">
      <c r="A82" s="128"/>
      <c r="B82" s="129" t="str">
        <f>CONCATENATE("total ",A75)</f>
        <v>total site costs</v>
      </c>
      <c r="C82" s="129"/>
      <c r="D82" s="129"/>
      <c r="E82" s="130"/>
      <c r="F82" s="130"/>
      <c r="G82" s="131"/>
      <c r="H82" s="131"/>
      <c r="I82" s="132">
        <f t="shared" ref="I82:M82" si="20">SUM(I76:I81)</f>
        <v>412419.76988500002</v>
      </c>
      <c r="J82" s="132">
        <f t="shared" si="20"/>
        <v>591959.47778124991</v>
      </c>
      <c r="K82" s="132">
        <f t="shared" si="20"/>
        <v>1011602.7586808576</v>
      </c>
      <c r="L82" s="132">
        <f t="shared" si="20"/>
        <v>1599176.7455689539</v>
      </c>
      <c r="M82" s="132">
        <f t="shared" si="20"/>
        <v>1842519.3047658852</v>
      </c>
      <c r="N82" s="91"/>
      <c r="O82" s="91"/>
      <c r="P82" s="91"/>
      <c r="Q82" s="133"/>
      <c r="R82" s="4"/>
      <c r="S82" s="4"/>
      <c r="T82" s="4"/>
      <c r="U82" s="4"/>
    </row>
    <row r="83" spans="1:21" ht="19.5" customHeight="1">
      <c r="A83" s="16" t="s">
        <v>250</v>
      </c>
      <c r="B83" s="16"/>
      <c r="C83" s="16"/>
      <c r="D83" s="16"/>
      <c r="E83" s="76"/>
      <c r="F83" s="76"/>
      <c r="G83" s="39"/>
      <c r="H83" s="39"/>
      <c r="I83" s="59"/>
      <c r="J83" s="59"/>
      <c r="K83" s="59"/>
      <c r="L83" s="59"/>
      <c r="M83" s="59"/>
      <c r="N83" s="3"/>
      <c r="O83" s="3"/>
      <c r="P83" s="3"/>
      <c r="Q83" s="3"/>
      <c r="R83" s="4"/>
      <c r="S83" s="4"/>
      <c r="T83" s="4"/>
      <c r="U83" s="4"/>
    </row>
    <row r="84" spans="1:21" ht="19.5" customHeight="1">
      <c r="A84" s="16"/>
      <c r="B84" s="16" t="s">
        <v>275</v>
      </c>
      <c r="C84" s="16"/>
      <c r="D84" s="16"/>
      <c r="E84" s="76"/>
      <c r="F84" s="76"/>
      <c r="G84" s="39"/>
      <c r="H84" s="39"/>
      <c r="I84" s="59">
        <v>105000</v>
      </c>
      <c r="J84" s="59">
        <v>105000</v>
      </c>
      <c r="K84" s="59">
        <v>105000</v>
      </c>
      <c r="L84" s="59"/>
      <c r="M84" s="59">
        <f>L84</f>
        <v>0</v>
      </c>
      <c r="N84" s="3"/>
      <c r="O84" s="3"/>
      <c r="P84" s="3"/>
      <c r="Q84" s="3"/>
      <c r="R84" s="4"/>
      <c r="S84" s="4"/>
      <c r="T84" s="4"/>
      <c r="U84" s="4"/>
    </row>
    <row r="85" spans="1:21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9.5" customHeight="1">
      <c r="A86" s="84" t="s">
        <v>69</v>
      </c>
      <c r="B86" s="205"/>
      <c r="C86" s="199"/>
      <c r="D86" s="194"/>
      <c r="E86" s="206"/>
      <c r="F86" s="198"/>
      <c r="G86" s="199"/>
      <c r="H86" s="199"/>
      <c r="I86" s="199">
        <f>I17+I33+I38+I43+I57+I48+I64+I73+I82+I84</f>
        <v>3823641.5798849999</v>
      </c>
      <c r="J86" s="199">
        <f t="shared" ref="J86:M86" si="21">J17+J33+J38+J43+J57+J48+J64+J73+J82+J84</f>
        <v>4808358.8297485001</v>
      </c>
      <c r="K86" s="199">
        <f t="shared" si="21"/>
        <v>6053686.9796991171</v>
      </c>
      <c r="L86" s="199">
        <f t="shared" si="21"/>
        <v>8693764.4642376602</v>
      </c>
      <c r="M86" s="199">
        <f t="shared" si="21"/>
        <v>10221687.501655422</v>
      </c>
      <c r="N86" s="35"/>
      <c r="O86" s="36"/>
      <c r="P86" s="4"/>
      <c r="Q86" s="4"/>
      <c r="R86" s="4"/>
      <c r="S86" s="4"/>
      <c r="T86" s="4"/>
      <c r="U86" s="4"/>
    </row>
    <row r="87" spans="1:21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9.5" customHeight="1">
      <c r="A88" s="4"/>
      <c r="B88" s="4"/>
      <c r="C88" s="4"/>
      <c r="D88" s="4"/>
      <c r="E88" s="4"/>
      <c r="F88" s="4"/>
      <c r="G88" s="4"/>
      <c r="H88" s="4"/>
      <c r="I88" s="4"/>
      <c r="J88" s="13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19.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19.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19.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19.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19.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19.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19.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19.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</sheetData>
  <sheetProtection algorithmName="SHA-512" hashValue="31LtNyO0ttBvkY3mWPxZ59amdnz9NwI6T0h/2mFzdI8YeLtzPwXsY6LSnGCz3qaPc5JeEjRf0co0ZiUOuRdhgA==" saltValue="vfC7jawwdevE97+qGgsE/w==" spinCount="100000" sheet="1" objects="1" scenarios="1"/>
  <mergeCells count="2">
    <mergeCell ref="E5:F5"/>
    <mergeCell ref="G5:H5"/>
  </mergeCells>
  <conditionalFormatting sqref="I6:M6">
    <cfRule type="cellIs" dxfId="2" priority="1" stopIfTrue="1" operator="lessThan">
      <formula>0</formula>
    </cfRule>
  </conditionalFormatting>
  <printOptions horizontalCentered="1"/>
  <pageMargins left="0.5" right="0.5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C4AB-FEF4-4946-9444-8EC738829A06}">
  <dimension ref="A1:N26"/>
  <sheetViews>
    <sheetView topLeftCell="A3" workbookViewId="0">
      <selection activeCell="J22" sqref="J22:N23"/>
    </sheetView>
  </sheetViews>
  <sheetFormatPr baseColWidth="10" defaultColWidth="11.1640625" defaultRowHeight="16"/>
  <cols>
    <col min="1" max="8" width="11.1640625" style="223"/>
    <col min="9" max="9" width="18.6640625" style="223" customWidth="1"/>
    <col min="10" max="16384" width="11.1640625" style="223"/>
  </cols>
  <sheetData>
    <row r="1" spans="1:14">
      <c r="A1" s="393" t="s">
        <v>158</v>
      </c>
      <c r="B1" s="393"/>
      <c r="C1" s="393"/>
      <c r="D1" s="393"/>
      <c r="E1" s="393"/>
      <c r="F1" s="393"/>
      <c r="I1" s="393" t="s">
        <v>159</v>
      </c>
      <c r="J1" s="393"/>
      <c r="K1" s="393"/>
      <c r="L1" s="393"/>
      <c r="M1" s="393"/>
      <c r="N1" s="393"/>
    </row>
    <row r="3" spans="1:14">
      <c r="A3" s="224" t="s">
        <v>160</v>
      </c>
      <c r="B3" s="225">
        <v>2026</v>
      </c>
      <c r="C3" s="225">
        <v>2027</v>
      </c>
      <c r="D3" s="225">
        <v>2028</v>
      </c>
      <c r="E3" s="225">
        <v>2029</v>
      </c>
      <c r="F3" s="225">
        <v>2030</v>
      </c>
      <c r="I3" s="224" t="s">
        <v>161</v>
      </c>
      <c r="J3" s="225">
        <v>2026</v>
      </c>
      <c r="K3" s="225">
        <v>2027</v>
      </c>
      <c r="L3" s="225">
        <v>2028</v>
      </c>
      <c r="M3" s="225">
        <v>2029</v>
      </c>
      <c r="N3" s="225">
        <v>2030</v>
      </c>
    </row>
    <row r="4" spans="1:14">
      <c r="A4" s="226">
        <v>6</v>
      </c>
      <c r="B4" s="222">
        <v>50</v>
      </c>
      <c r="C4" s="222">
        <v>75</v>
      </c>
      <c r="D4" s="222">
        <v>75</v>
      </c>
      <c r="E4" s="222">
        <v>75</v>
      </c>
      <c r="F4" s="222">
        <v>75</v>
      </c>
      <c r="I4" s="227" t="s">
        <v>162</v>
      </c>
      <c r="J4" s="223">
        <v>1</v>
      </c>
      <c r="K4" s="223">
        <v>1</v>
      </c>
      <c r="L4" s="223">
        <v>1</v>
      </c>
      <c r="M4" s="223">
        <v>1</v>
      </c>
      <c r="N4" s="223">
        <v>1</v>
      </c>
    </row>
    <row r="5" spans="1:14">
      <c r="A5" s="226">
        <v>7</v>
      </c>
      <c r="B5" s="222">
        <v>50</v>
      </c>
      <c r="C5" s="222">
        <v>50</v>
      </c>
      <c r="D5" s="222">
        <v>75</v>
      </c>
      <c r="E5" s="222">
        <v>75</v>
      </c>
      <c r="F5" s="222">
        <v>75</v>
      </c>
      <c r="I5" s="228" t="s">
        <v>146</v>
      </c>
      <c r="J5" s="223">
        <v>1</v>
      </c>
      <c r="K5" s="223">
        <v>1</v>
      </c>
      <c r="L5" s="223">
        <v>1</v>
      </c>
      <c r="M5" s="223">
        <v>1</v>
      </c>
      <c r="N5" s="223">
        <v>1</v>
      </c>
    </row>
    <row r="6" spans="1:14">
      <c r="A6" s="226">
        <v>8</v>
      </c>
      <c r="B6" s="222">
        <v>50</v>
      </c>
      <c r="C6" s="222">
        <v>50</v>
      </c>
      <c r="D6" s="222">
        <v>50</v>
      </c>
      <c r="E6" s="222">
        <v>75</v>
      </c>
      <c r="F6" s="222">
        <v>75</v>
      </c>
      <c r="I6" s="228" t="s">
        <v>163</v>
      </c>
      <c r="J6" s="223">
        <v>1</v>
      </c>
      <c r="K6" s="223">
        <v>1</v>
      </c>
      <c r="L6" s="223">
        <v>1</v>
      </c>
      <c r="M6" s="223">
        <v>1</v>
      </c>
      <c r="N6" s="223">
        <v>1</v>
      </c>
    </row>
    <row r="7" spans="1:14">
      <c r="A7" s="226">
        <v>9</v>
      </c>
      <c r="B7" s="222"/>
      <c r="C7" s="222">
        <v>50</v>
      </c>
      <c r="D7" s="222">
        <v>50</v>
      </c>
      <c r="E7" s="222">
        <v>50</v>
      </c>
      <c r="F7" s="222">
        <v>75</v>
      </c>
      <c r="I7" s="227" t="s">
        <v>164</v>
      </c>
      <c r="J7" s="223">
        <v>0</v>
      </c>
      <c r="K7" s="223">
        <v>0</v>
      </c>
      <c r="L7" s="223">
        <v>1</v>
      </c>
      <c r="M7" s="223">
        <v>1</v>
      </c>
      <c r="N7" s="223">
        <v>1</v>
      </c>
    </row>
    <row r="8" spans="1:14">
      <c r="A8" s="226">
        <v>10</v>
      </c>
      <c r="B8" s="222"/>
      <c r="C8" s="222"/>
      <c r="D8" s="222">
        <v>50</v>
      </c>
      <c r="E8" s="222">
        <v>50</v>
      </c>
      <c r="F8" s="222">
        <v>50</v>
      </c>
      <c r="I8" s="228" t="s">
        <v>165</v>
      </c>
      <c r="J8" s="223">
        <v>1</v>
      </c>
      <c r="K8" s="223">
        <v>1</v>
      </c>
      <c r="L8" s="223">
        <v>1</v>
      </c>
      <c r="M8" s="223">
        <v>1</v>
      </c>
      <c r="N8" s="223">
        <v>1</v>
      </c>
    </row>
    <row r="9" spans="1:14">
      <c r="A9" s="226">
        <v>11</v>
      </c>
      <c r="B9" s="222"/>
      <c r="C9" s="222"/>
      <c r="D9" s="222"/>
      <c r="E9" s="222">
        <v>50</v>
      </c>
      <c r="F9" s="222">
        <v>50</v>
      </c>
      <c r="I9" s="228" t="s">
        <v>166</v>
      </c>
      <c r="J9" s="223">
        <v>1</v>
      </c>
      <c r="K9" s="223">
        <v>1</v>
      </c>
      <c r="L9" s="223">
        <v>1</v>
      </c>
      <c r="M9" s="223">
        <v>1</v>
      </c>
      <c r="N9" s="223">
        <v>2</v>
      </c>
    </row>
    <row r="10" spans="1:14">
      <c r="A10" s="226">
        <v>12</v>
      </c>
      <c r="B10" s="222"/>
      <c r="C10" s="222"/>
      <c r="D10" s="222"/>
      <c r="E10" s="222"/>
      <c r="F10" s="222">
        <v>50</v>
      </c>
      <c r="I10" s="226"/>
    </row>
    <row r="11" spans="1:14" ht="17" thickBot="1">
      <c r="B11" s="229">
        <f>SUM(B4:B10)</f>
        <v>150</v>
      </c>
      <c r="C11" s="229">
        <f t="shared" ref="C11:F11" si="0">SUM(C4:C10)</f>
        <v>225</v>
      </c>
      <c r="D11" s="229">
        <f t="shared" si="0"/>
        <v>300</v>
      </c>
      <c r="E11" s="229">
        <f t="shared" si="0"/>
        <v>375</v>
      </c>
      <c r="F11" s="229">
        <f t="shared" si="0"/>
        <v>450</v>
      </c>
      <c r="I11" s="224" t="s">
        <v>167</v>
      </c>
    </row>
    <row r="12" spans="1:14" ht="17" thickTop="1">
      <c r="I12" s="228" t="s">
        <v>168</v>
      </c>
      <c r="J12" s="223">
        <v>2</v>
      </c>
      <c r="K12" s="223">
        <v>3</v>
      </c>
      <c r="L12" s="223">
        <v>3</v>
      </c>
      <c r="M12" s="223">
        <v>3</v>
      </c>
      <c r="N12" s="223">
        <v>3</v>
      </c>
    </row>
    <row r="13" spans="1:14">
      <c r="I13" s="228" t="s">
        <v>169</v>
      </c>
      <c r="J13" s="223">
        <v>1</v>
      </c>
      <c r="K13" s="223">
        <v>2</v>
      </c>
      <c r="L13" s="223">
        <v>2</v>
      </c>
      <c r="M13" s="223">
        <v>3</v>
      </c>
      <c r="N13" s="223">
        <v>3</v>
      </c>
    </row>
    <row r="14" spans="1:14">
      <c r="I14" s="228" t="s">
        <v>170</v>
      </c>
      <c r="J14" s="223">
        <v>1</v>
      </c>
      <c r="K14" s="223">
        <v>2</v>
      </c>
      <c r="L14" s="223">
        <v>2</v>
      </c>
      <c r="M14" s="223">
        <v>3</v>
      </c>
      <c r="N14" s="223">
        <v>3</v>
      </c>
    </row>
    <row r="15" spans="1:14">
      <c r="I15" s="228" t="s">
        <v>171</v>
      </c>
      <c r="J15" s="223">
        <v>1</v>
      </c>
      <c r="K15" s="223">
        <v>2</v>
      </c>
      <c r="L15" s="223">
        <v>2</v>
      </c>
      <c r="M15" s="223">
        <v>3</v>
      </c>
      <c r="N15" s="223">
        <v>3</v>
      </c>
    </row>
    <row r="16" spans="1:14">
      <c r="I16" s="228" t="s">
        <v>172</v>
      </c>
      <c r="J16" s="223">
        <v>1</v>
      </c>
      <c r="K16" s="223">
        <v>2</v>
      </c>
      <c r="L16" s="223">
        <v>2</v>
      </c>
      <c r="M16" s="223">
        <v>3</v>
      </c>
      <c r="N16" s="223">
        <v>3</v>
      </c>
    </row>
    <row r="17" spans="9:14">
      <c r="I17" s="228" t="s">
        <v>173</v>
      </c>
      <c r="J17" s="223">
        <v>1</v>
      </c>
      <c r="K17" s="223">
        <v>2</v>
      </c>
      <c r="L17" s="223">
        <v>2</v>
      </c>
      <c r="M17" s="223">
        <v>2</v>
      </c>
      <c r="N17" s="223">
        <v>3</v>
      </c>
    </row>
    <row r="18" spans="9:14">
      <c r="I18" s="228" t="s">
        <v>174</v>
      </c>
      <c r="J18" s="223">
        <v>2</v>
      </c>
      <c r="K18" s="223">
        <v>2</v>
      </c>
      <c r="L18" s="223">
        <v>2</v>
      </c>
      <c r="M18" s="223">
        <v>3</v>
      </c>
      <c r="N18" s="223">
        <v>4</v>
      </c>
    </row>
    <row r="19" spans="9:14">
      <c r="I19" s="228" t="s">
        <v>175</v>
      </c>
      <c r="J19" s="223">
        <v>1</v>
      </c>
      <c r="K19" s="223">
        <v>2</v>
      </c>
      <c r="L19" s="223">
        <v>3</v>
      </c>
      <c r="M19" s="223">
        <v>4</v>
      </c>
      <c r="N19" s="223">
        <v>5</v>
      </c>
    </row>
    <row r="20" spans="9:14">
      <c r="I20" s="226"/>
    </row>
    <row r="21" spans="9:14">
      <c r="I21" s="224" t="s">
        <v>176</v>
      </c>
    </row>
    <row r="22" spans="9:14">
      <c r="I22" s="228" t="s">
        <v>177</v>
      </c>
      <c r="J22" s="223">
        <v>1</v>
      </c>
      <c r="K22" s="223">
        <v>1</v>
      </c>
      <c r="L22" s="223">
        <v>2</v>
      </c>
      <c r="M22" s="223">
        <v>2</v>
      </c>
      <c r="N22" s="223">
        <v>2</v>
      </c>
    </row>
    <row r="23" spans="9:14">
      <c r="I23" s="228" t="s">
        <v>178</v>
      </c>
      <c r="J23" s="223">
        <v>0</v>
      </c>
      <c r="K23" s="223">
        <v>1</v>
      </c>
      <c r="L23" s="223">
        <v>2</v>
      </c>
      <c r="M23" s="223">
        <v>3</v>
      </c>
      <c r="N23" s="223">
        <v>4</v>
      </c>
    </row>
    <row r="25" spans="9:14" ht="17" thickBot="1">
      <c r="I25" s="230" t="s">
        <v>179</v>
      </c>
      <c r="J25" s="231">
        <f>SUM(J4:J23)</f>
        <v>16</v>
      </c>
      <c r="K25" s="231">
        <f>SUM(K4:K23)</f>
        <v>24</v>
      </c>
      <c r="L25" s="231">
        <f>SUM(L4:L23)</f>
        <v>28</v>
      </c>
      <c r="M25" s="231">
        <f>SUM(M4:M23)</f>
        <v>35</v>
      </c>
      <c r="N25" s="231">
        <f>SUM(N4:N23)</f>
        <v>40</v>
      </c>
    </row>
    <row r="26" spans="9:14" ht="17" thickTop="1"/>
  </sheetData>
  <mergeCells count="2">
    <mergeCell ref="A1:F1"/>
    <mergeCell ref="I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997"/>
  <sheetViews>
    <sheetView showGridLines="0" topLeftCell="A4" workbookViewId="0">
      <selection activeCell="G20" sqref="B5:G20"/>
    </sheetView>
  </sheetViews>
  <sheetFormatPr baseColWidth="10" defaultColWidth="12.6640625" defaultRowHeight="15" customHeight="1"/>
  <cols>
    <col min="1" max="1" width="2.1640625" customWidth="1"/>
    <col min="2" max="2" width="21.1640625" customWidth="1"/>
    <col min="3" max="7" width="11.1640625" customWidth="1"/>
    <col min="8" max="9" width="10.6640625" customWidth="1"/>
    <col min="10" max="10" width="9.83203125" customWidth="1"/>
    <col min="11" max="11" width="10.6640625" customWidth="1"/>
    <col min="12" max="12" width="9" customWidth="1"/>
    <col min="13" max="19" width="10.1640625" customWidth="1"/>
  </cols>
  <sheetData>
    <row r="1" spans="1:19" ht="19.5" customHeight="1">
      <c r="A1" s="4"/>
      <c r="B1" s="26" t="str">
        <f>+Overview!A3</f>
        <v>Valley Forge Public Service Academy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27" t="s">
        <v>135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135"/>
      <c r="M2" s="4"/>
      <c r="N2" s="4"/>
      <c r="O2" s="4"/>
      <c r="P2" s="4"/>
      <c r="Q2" s="4"/>
      <c r="R2" s="4"/>
      <c r="S2" s="4"/>
    </row>
    <row r="3" spans="1:19" ht="19.5" customHeight="1">
      <c r="A3" s="37"/>
      <c r="B3" s="3"/>
      <c r="C3" s="136"/>
      <c r="D3" s="136"/>
      <c r="E3" s="136"/>
      <c r="F3" s="136"/>
      <c r="G3" s="136"/>
      <c r="H3" s="35"/>
      <c r="I3" s="35"/>
      <c r="J3" s="35"/>
      <c r="K3" s="35"/>
      <c r="L3" s="137"/>
      <c r="M3" s="4"/>
      <c r="N3" s="4"/>
      <c r="O3" s="4"/>
      <c r="P3" s="4"/>
      <c r="Q3" s="4"/>
      <c r="R3" s="4"/>
      <c r="S3" s="4"/>
    </row>
    <row r="4" spans="1:19" ht="19.5" customHeight="1" thickBot="1">
      <c r="A4" s="138"/>
      <c r="B4" s="281"/>
      <c r="C4" s="282">
        <v>2026</v>
      </c>
      <c r="D4" s="282">
        <f t="shared" ref="D4:G4" si="0">C4+1</f>
        <v>2027</v>
      </c>
      <c r="E4" s="282">
        <f t="shared" si="0"/>
        <v>2028</v>
      </c>
      <c r="F4" s="282">
        <f t="shared" si="0"/>
        <v>2029</v>
      </c>
      <c r="G4" s="282">
        <f t="shared" si="0"/>
        <v>2030</v>
      </c>
      <c r="H4" s="39"/>
      <c r="I4" s="140"/>
      <c r="J4" s="140"/>
      <c r="K4" s="140"/>
      <c r="L4" s="141"/>
      <c r="M4" s="4"/>
      <c r="N4" s="4"/>
      <c r="O4" s="4"/>
      <c r="P4" s="4"/>
      <c r="Q4" s="4"/>
      <c r="R4" s="4"/>
      <c r="S4" s="4"/>
    </row>
    <row r="5" spans="1:19" ht="19.5" customHeight="1">
      <c r="B5" s="357" t="s">
        <v>222</v>
      </c>
      <c r="C5" s="356" t="s">
        <v>212</v>
      </c>
      <c r="D5" s="356" t="s">
        <v>213</v>
      </c>
      <c r="E5" s="356" t="s">
        <v>214</v>
      </c>
      <c r="F5" s="356" t="s">
        <v>215</v>
      </c>
      <c r="G5" s="356" t="s">
        <v>216</v>
      </c>
      <c r="H5" s="35"/>
      <c r="I5" s="142"/>
      <c r="J5" s="143"/>
      <c r="K5" s="143"/>
      <c r="L5" s="137"/>
      <c r="M5" s="4"/>
      <c r="N5" s="4"/>
      <c r="O5" s="4"/>
      <c r="P5" s="4"/>
      <c r="Q5" s="4"/>
      <c r="R5" s="4"/>
      <c r="S5" s="4"/>
    </row>
    <row r="6" spans="1:19" ht="19.5" customHeight="1">
      <c r="A6" s="144"/>
      <c r="B6" s="353">
        <v>6</v>
      </c>
      <c r="C6" s="350">
        <v>50</v>
      </c>
      <c r="D6" s="350">
        <v>75</v>
      </c>
      <c r="E6" s="350">
        <v>75</v>
      </c>
      <c r="F6" s="350">
        <v>75</v>
      </c>
      <c r="G6" s="350">
        <v>75</v>
      </c>
      <c r="H6" s="35"/>
      <c r="I6" s="142"/>
      <c r="J6" s="143"/>
      <c r="K6" s="143"/>
      <c r="L6" s="137"/>
      <c r="M6" s="4"/>
      <c r="N6" s="4"/>
      <c r="O6" s="4"/>
      <c r="P6" s="4"/>
      <c r="Q6" s="4"/>
      <c r="R6" s="4"/>
      <c r="S6" s="4"/>
    </row>
    <row r="7" spans="1:19" ht="19.5" customHeight="1">
      <c r="A7" s="144"/>
      <c r="B7" s="353">
        <v>7</v>
      </c>
      <c r="C7" s="350">
        <v>50</v>
      </c>
      <c r="D7" s="350">
        <v>50</v>
      </c>
      <c r="E7" s="350">
        <v>75</v>
      </c>
      <c r="F7" s="350">
        <v>75</v>
      </c>
      <c r="G7" s="350">
        <v>75</v>
      </c>
      <c r="H7" s="35"/>
      <c r="I7" s="142"/>
      <c r="J7" s="143"/>
      <c r="K7" s="143"/>
      <c r="L7" s="137"/>
      <c r="M7" s="4"/>
      <c r="N7" s="4"/>
      <c r="O7" s="4"/>
      <c r="P7" s="4"/>
      <c r="Q7" s="4"/>
      <c r="R7" s="4"/>
      <c r="S7" s="4"/>
    </row>
    <row r="8" spans="1:19" ht="19.5" customHeight="1">
      <c r="A8" s="144"/>
      <c r="B8" s="353">
        <v>8</v>
      </c>
      <c r="C8" s="350">
        <v>50</v>
      </c>
      <c r="D8" s="350">
        <v>50</v>
      </c>
      <c r="E8" s="350">
        <v>50</v>
      </c>
      <c r="F8" s="350">
        <v>75</v>
      </c>
      <c r="G8" s="350">
        <v>75</v>
      </c>
      <c r="H8" s="35"/>
      <c r="I8" s="142"/>
      <c r="J8" s="143"/>
      <c r="K8" s="143"/>
      <c r="L8" s="137"/>
      <c r="M8" s="4"/>
      <c r="N8" s="4"/>
      <c r="O8" s="4"/>
      <c r="P8" s="4"/>
      <c r="Q8" s="4"/>
      <c r="R8" s="4"/>
      <c r="S8" s="4"/>
    </row>
    <row r="9" spans="1:19" ht="19.5" customHeight="1">
      <c r="A9" s="144"/>
      <c r="B9" s="353">
        <v>9</v>
      </c>
      <c r="C9" s="350"/>
      <c r="D9" s="350">
        <v>50</v>
      </c>
      <c r="E9" s="350">
        <v>50</v>
      </c>
      <c r="F9" s="350">
        <v>50</v>
      </c>
      <c r="G9" s="350">
        <v>75</v>
      </c>
      <c r="H9" s="35"/>
      <c r="I9" s="142"/>
      <c r="J9" s="143"/>
      <c r="K9" s="143"/>
      <c r="L9" s="137"/>
      <c r="M9" s="4"/>
      <c r="N9" s="4"/>
      <c r="O9" s="4"/>
      <c r="P9" s="4"/>
      <c r="Q9" s="4"/>
      <c r="R9" s="4"/>
      <c r="S9" s="4"/>
    </row>
    <row r="10" spans="1:19" ht="19.5" customHeight="1">
      <c r="A10" s="144"/>
      <c r="B10" s="353">
        <v>10</v>
      </c>
      <c r="C10" s="350"/>
      <c r="D10" s="350"/>
      <c r="E10" s="350">
        <v>50</v>
      </c>
      <c r="F10" s="350">
        <v>50</v>
      </c>
      <c r="G10" s="350">
        <v>50</v>
      </c>
      <c r="H10" s="35"/>
      <c r="I10" s="142"/>
      <c r="J10" s="143"/>
      <c r="K10" s="143"/>
      <c r="L10" s="137"/>
      <c r="M10" s="4"/>
      <c r="N10" s="4"/>
      <c r="O10" s="4"/>
      <c r="P10" s="4"/>
      <c r="Q10" s="4"/>
      <c r="R10" s="4"/>
      <c r="S10" s="4"/>
    </row>
    <row r="11" spans="1:19" ht="19.5" customHeight="1">
      <c r="A11" s="144"/>
      <c r="B11" s="353">
        <v>11</v>
      </c>
      <c r="C11" s="350"/>
      <c r="D11" s="350"/>
      <c r="E11" s="350"/>
      <c r="F11" s="350">
        <v>50</v>
      </c>
      <c r="G11" s="350">
        <v>50</v>
      </c>
      <c r="H11" s="35"/>
      <c r="I11" s="142"/>
      <c r="J11" s="143"/>
      <c r="K11" s="143"/>
      <c r="L11" s="137"/>
      <c r="M11" s="4"/>
      <c r="N11" s="4"/>
      <c r="O11" s="4"/>
      <c r="P11" s="4"/>
      <c r="Q11" s="4"/>
      <c r="R11" s="4"/>
      <c r="S11" s="4"/>
    </row>
    <row r="12" spans="1:19" ht="19.5" customHeight="1">
      <c r="A12" s="144"/>
      <c r="B12" s="353">
        <v>12</v>
      </c>
      <c r="C12" s="350"/>
      <c r="D12" s="350"/>
      <c r="E12" s="350"/>
      <c r="F12" s="350"/>
      <c r="G12" s="350">
        <v>50</v>
      </c>
      <c r="H12" s="35"/>
      <c r="I12" s="142"/>
      <c r="J12" s="142"/>
      <c r="K12" s="142"/>
      <c r="L12" s="137"/>
      <c r="M12" s="4"/>
      <c r="N12" s="4"/>
      <c r="O12" s="4"/>
      <c r="P12" s="4"/>
      <c r="Q12" s="4"/>
      <c r="R12" s="4"/>
      <c r="S12" s="4"/>
    </row>
    <row r="13" spans="1:19" ht="19.5" customHeight="1">
      <c r="A13" s="146"/>
      <c r="B13" s="351" t="s">
        <v>202</v>
      </c>
      <c r="C13" s="352">
        <f>SUM(C6:C12)</f>
        <v>150</v>
      </c>
      <c r="D13" s="352">
        <f>SUM(D6:D12)</f>
        <v>225</v>
      </c>
      <c r="E13" s="352">
        <f>SUM(E6:E12)</f>
        <v>300</v>
      </c>
      <c r="F13" s="352">
        <f>SUM(F6:F12)</f>
        <v>375</v>
      </c>
      <c r="G13" s="352">
        <f>SUM(G6:G12)</f>
        <v>450</v>
      </c>
      <c r="H13" s="35"/>
      <c r="I13" s="142"/>
      <c r="J13" s="145"/>
      <c r="K13" s="145"/>
      <c r="L13" s="137"/>
      <c r="M13" s="4"/>
      <c r="N13" s="4"/>
      <c r="O13" s="4"/>
      <c r="P13" s="4"/>
      <c r="Q13" s="4"/>
      <c r="R13" s="4"/>
      <c r="S13" s="4"/>
    </row>
    <row r="14" spans="1:19" ht="19.5" customHeight="1">
      <c r="A14" s="146"/>
      <c r="B14" s="3"/>
      <c r="C14" s="35"/>
      <c r="D14" s="35"/>
      <c r="E14" s="35"/>
      <c r="F14" s="35"/>
      <c r="G14" s="35"/>
      <c r="H14" s="35"/>
      <c r="I14" s="142"/>
      <c r="J14" s="145"/>
      <c r="K14" s="145"/>
      <c r="L14" s="137"/>
      <c r="M14" s="4"/>
      <c r="N14" s="4"/>
      <c r="O14" s="4"/>
      <c r="P14" s="4"/>
      <c r="Q14" s="4"/>
      <c r="R14" s="4"/>
      <c r="S14" s="4"/>
    </row>
    <row r="15" spans="1:19" ht="19.5" customHeight="1">
      <c r="A15" s="146"/>
      <c r="B15" s="351" t="s">
        <v>224</v>
      </c>
      <c r="C15" s="355">
        <v>0.1</v>
      </c>
      <c r="D15" s="355">
        <v>0.15</v>
      </c>
      <c r="E15" s="355">
        <v>0.16</v>
      </c>
      <c r="F15" s="355">
        <v>0.17</v>
      </c>
      <c r="G15" s="355">
        <f t="shared" ref="G15" si="1">+F15</f>
        <v>0.17</v>
      </c>
      <c r="H15" s="35"/>
      <c r="I15" s="142"/>
      <c r="J15" s="145"/>
      <c r="K15" s="145"/>
      <c r="L15" s="137"/>
      <c r="M15" s="4"/>
      <c r="N15" s="4"/>
      <c r="O15" s="4"/>
      <c r="P15" s="4"/>
      <c r="Q15" s="4"/>
      <c r="R15" s="4"/>
      <c r="S15" s="4"/>
    </row>
    <row r="16" spans="1:19" ht="19.5" customHeight="1">
      <c r="A16" s="146"/>
      <c r="B16" s="351" t="s">
        <v>209</v>
      </c>
      <c r="C16" s="354">
        <f t="shared" ref="C16:G16" si="2">C13*C15</f>
        <v>15</v>
      </c>
      <c r="D16" s="354">
        <f t="shared" si="2"/>
        <v>33.75</v>
      </c>
      <c r="E16" s="354">
        <f t="shared" si="2"/>
        <v>48</v>
      </c>
      <c r="F16" s="354">
        <f t="shared" si="2"/>
        <v>63.750000000000007</v>
      </c>
      <c r="G16" s="354">
        <f t="shared" si="2"/>
        <v>76.5</v>
      </c>
      <c r="H16" s="35"/>
      <c r="I16" s="142"/>
      <c r="J16" s="145"/>
      <c r="K16" s="145"/>
      <c r="L16" s="137"/>
      <c r="M16" s="4"/>
      <c r="N16" s="4"/>
      <c r="O16" s="4"/>
      <c r="P16" s="4"/>
      <c r="Q16" s="4"/>
      <c r="R16" s="4"/>
      <c r="S16" s="4"/>
    </row>
    <row r="17" spans="1:19" ht="19.5" customHeight="1">
      <c r="A17" s="146"/>
      <c r="B17" s="351" t="s">
        <v>210</v>
      </c>
      <c r="C17" s="354">
        <f t="shared" ref="C17:G17" si="3">C13-C16</f>
        <v>135</v>
      </c>
      <c r="D17" s="354">
        <f t="shared" si="3"/>
        <v>191.25</v>
      </c>
      <c r="E17" s="354">
        <f t="shared" si="3"/>
        <v>252</v>
      </c>
      <c r="F17" s="354">
        <f t="shared" si="3"/>
        <v>311.25</v>
      </c>
      <c r="G17" s="354">
        <f t="shared" si="3"/>
        <v>373.5</v>
      </c>
      <c r="H17" s="35"/>
      <c r="I17" s="142"/>
      <c r="J17" s="145"/>
      <c r="K17" s="145"/>
      <c r="L17" s="137"/>
      <c r="M17" s="4"/>
      <c r="N17" s="4"/>
      <c r="O17" s="4"/>
      <c r="P17" s="4"/>
      <c r="Q17" s="4"/>
      <c r="R17" s="4"/>
      <c r="S17" s="4"/>
    </row>
    <row r="18" spans="1:19" ht="19.5" customHeight="1">
      <c r="A18" s="146"/>
      <c r="B18" s="3"/>
      <c r="C18" s="139"/>
      <c r="D18" s="139"/>
      <c r="E18" s="139"/>
      <c r="F18" s="139"/>
      <c r="G18" s="139"/>
      <c r="H18" s="35"/>
      <c r="I18" s="142"/>
      <c r="J18" s="142"/>
      <c r="K18" s="142"/>
      <c r="L18" s="137"/>
      <c r="M18" s="4"/>
      <c r="N18" s="4"/>
      <c r="O18" s="4"/>
      <c r="P18" s="4"/>
      <c r="Q18" s="4"/>
      <c r="R18" s="4"/>
      <c r="S18" s="4"/>
    </row>
    <row r="19" spans="1:19" ht="19.5" customHeight="1">
      <c r="A19" s="146"/>
      <c r="B19" s="358" t="s">
        <v>136</v>
      </c>
      <c r="C19" s="359">
        <v>0.4</v>
      </c>
      <c r="D19" s="359">
        <v>0.45</v>
      </c>
      <c r="E19" s="359">
        <v>0.5</v>
      </c>
      <c r="F19" s="359">
        <v>0.5</v>
      </c>
      <c r="G19" s="359">
        <v>0.5</v>
      </c>
      <c r="H19" s="35"/>
      <c r="I19" s="142"/>
      <c r="J19" s="147"/>
      <c r="K19" s="147"/>
      <c r="L19" s="137"/>
      <c r="M19" s="4"/>
      <c r="N19" s="4"/>
      <c r="O19" s="4"/>
      <c r="P19" s="4"/>
      <c r="Q19" s="4"/>
      <c r="R19" s="4"/>
      <c r="S19" s="4"/>
    </row>
    <row r="20" spans="1:19" ht="19.5" customHeight="1">
      <c r="A20" s="148"/>
      <c r="B20" s="360" t="s">
        <v>137</v>
      </c>
      <c r="C20" s="361">
        <f t="shared" ref="C20:G20" si="4">C13*C19</f>
        <v>60</v>
      </c>
      <c r="D20" s="361">
        <f t="shared" si="4"/>
        <v>101.25</v>
      </c>
      <c r="E20" s="361">
        <f t="shared" si="4"/>
        <v>150</v>
      </c>
      <c r="F20" s="361">
        <f t="shared" si="4"/>
        <v>187.5</v>
      </c>
      <c r="G20" s="361">
        <f t="shared" si="4"/>
        <v>225</v>
      </c>
      <c r="H20" s="35"/>
      <c r="I20" s="142"/>
      <c r="J20" s="142"/>
      <c r="K20" s="142"/>
      <c r="L20" s="137"/>
      <c r="M20" s="4"/>
      <c r="N20" s="4"/>
      <c r="O20" s="4"/>
      <c r="P20" s="4"/>
      <c r="Q20" s="4"/>
      <c r="R20" s="4"/>
      <c r="S20" s="4"/>
    </row>
    <row r="21" spans="1:19" ht="19.5" customHeight="1">
      <c r="A21" s="52"/>
      <c r="B21" s="16"/>
      <c r="C21" s="16"/>
      <c r="D21" s="16"/>
      <c r="E21" s="16"/>
      <c r="F21" s="16"/>
      <c r="G21" s="16"/>
      <c r="H21" s="35"/>
      <c r="I21" s="35"/>
      <c r="J21" s="35"/>
      <c r="K21" s="35"/>
      <c r="L21" s="137"/>
      <c r="M21" s="4"/>
      <c r="N21" s="4"/>
      <c r="O21" s="4"/>
      <c r="P21" s="4"/>
      <c r="Q21" s="4"/>
      <c r="R21" s="4"/>
      <c r="S21" s="4"/>
    </row>
    <row r="22" spans="1:19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:19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:19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:19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:19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:19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:19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:1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:19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spans="1:19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spans="1:19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spans="1:19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spans="1:19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spans="1:19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spans="1:19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spans="1:19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spans="1:19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spans="1:1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spans="1:19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spans="1:19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spans="1:19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spans="1:19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spans="1:19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spans="1:19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spans="1:19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spans="1:19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spans="1:19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 spans="1:1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 spans="1:19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 spans="1:19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 spans="1:19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 spans="1:19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 spans="1:19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 spans="1:19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 spans="1:19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 spans="1:19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</sheetData>
  <sheetProtection algorithmName="SHA-512" hashValue="FENo2vawMdNwPv0j6Vn5JTpfapim7Gh62I1fpEQjRwLQB7El9dvJGcVLy4itn7Xwz8hd9ptHABrsgwgyBZLRWg==" saltValue="jlhxZgHZLp2i3+xJwAFpQg==" spinCount="100000" sheet="1" objects="1" scenarios="1"/>
  <phoneticPr fontId="21" type="noConversion"/>
  <printOptions horizontalCentered="1"/>
  <pageMargins left="0.5" right="0.5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004"/>
  <sheetViews>
    <sheetView showGridLines="0" workbookViewId="0">
      <pane ySplit="6" topLeftCell="A29" activePane="bottomLeft" state="frozen"/>
      <selection pane="bottomLeft" activeCell="E30" sqref="E30"/>
    </sheetView>
  </sheetViews>
  <sheetFormatPr baseColWidth="10" defaultColWidth="12.6640625" defaultRowHeight="15" customHeight="1"/>
  <cols>
    <col min="1" max="1" width="3.83203125" customWidth="1"/>
    <col min="2" max="2" width="29" customWidth="1"/>
    <col min="3" max="3" width="8.33203125" customWidth="1"/>
    <col min="4" max="4" width="1.83203125" customWidth="1"/>
    <col min="5" max="5" width="9.33203125" customWidth="1"/>
    <col min="6" max="6" width="7.5" customWidth="1"/>
    <col min="7" max="7" width="1.5" customWidth="1"/>
    <col min="8" max="8" width="7.1640625" customWidth="1"/>
    <col min="9" max="13" width="4.6640625" customWidth="1"/>
    <col min="14" max="14" width="3.5" customWidth="1"/>
    <col min="15" max="15" width="9.5" customWidth="1"/>
    <col min="16" max="16" width="9.6640625" customWidth="1"/>
    <col min="17" max="19" width="9.83203125" customWidth="1"/>
    <col min="20" max="21" width="7.6640625" customWidth="1"/>
  </cols>
  <sheetData>
    <row r="1" spans="1:21" ht="19.5" customHeight="1">
      <c r="A1" s="4"/>
      <c r="B1" s="26" t="str">
        <f>+Overview!A3</f>
        <v>Valley Forge Public Service Academy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9.5" customHeight="1">
      <c r="A2" s="27" t="s">
        <v>138</v>
      </c>
      <c r="B2" s="29"/>
      <c r="C2" s="29"/>
      <c r="D2" s="142"/>
      <c r="E2" s="30"/>
      <c r="F2" s="29"/>
      <c r="G2" s="149"/>
      <c r="H2" s="29"/>
      <c r="I2" s="29"/>
      <c r="J2" s="29"/>
      <c r="K2" s="29"/>
      <c r="L2" s="29"/>
      <c r="M2" s="29"/>
      <c r="N2" s="142"/>
      <c r="O2" s="29" t="e" vm="1">
        <v>#VALUE!</v>
      </c>
      <c r="P2" s="29"/>
      <c r="Q2" s="29"/>
      <c r="R2" s="29"/>
      <c r="S2" s="29"/>
      <c r="T2" s="29"/>
      <c r="U2" s="135"/>
    </row>
    <row r="3" spans="1:21" ht="19.5" customHeight="1">
      <c r="A3" s="150"/>
      <c r="B3" s="33" t="s">
        <v>139</v>
      </c>
      <c r="C3" s="34">
        <v>2.5000000000000001E-2</v>
      </c>
      <c r="D3" s="151"/>
      <c r="E3" s="16"/>
      <c r="F3" s="3"/>
      <c r="G3" s="142"/>
      <c r="H3" s="35"/>
      <c r="I3" s="35"/>
      <c r="J3" s="152"/>
      <c r="K3" s="152"/>
      <c r="L3" s="152"/>
      <c r="M3" s="35"/>
      <c r="N3" s="142"/>
      <c r="O3" s="35"/>
      <c r="P3" s="35"/>
      <c r="Q3" s="35"/>
      <c r="R3" s="35"/>
      <c r="S3" s="35"/>
      <c r="T3" s="3"/>
      <c r="U3" s="124"/>
    </row>
    <row r="4" spans="1:21" ht="19.5" customHeight="1">
      <c r="A4" s="150"/>
      <c r="B4" s="3"/>
      <c r="C4" s="3"/>
      <c r="D4" s="294"/>
      <c r="E4" s="16"/>
      <c r="F4" s="3"/>
      <c r="G4" s="295"/>
      <c r="H4" s="35"/>
      <c r="I4" s="394" t="s">
        <v>140</v>
      </c>
      <c r="J4" s="395"/>
      <c r="K4" s="395"/>
      <c r="L4" s="395"/>
      <c r="M4" s="395"/>
      <c r="N4" s="153"/>
      <c r="O4" s="396" t="s">
        <v>141</v>
      </c>
      <c r="P4" s="397"/>
      <c r="Q4" s="397"/>
      <c r="R4" s="397"/>
      <c r="S4" s="397"/>
      <c r="T4" s="3"/>
      <c r="U4" s="124"/>
    </row>
    <row r="5" spans="1:21" ht="28.5" customHeight="1" thickBot="1">
      <c r="A5" s="297"/>
      <c r="B5" s="298" t="s">
        <v>142</v>
      </c>
      <c r="C5" s="298" t="s">
        <v>143</v>
      </c>
      <c r="D5" s="299"/>
      <c r="E5" s="398" t="s">
        <v>144</v>
      </c>
      <c r="F5" s="399"/>
      <c r="G5" s="300"/>
      <c r="H5" s="301"/>
      <c r="I5" s="302">
        <v>2026</v>
      </c>
      <c r="J5" s="302">
        <f t="shared" ref="J5:M5" si="0">I5+1</f>
        <v>2027</v>
      </c>
      <c r="K5" s="302">
        <f t="shared" si="0"/>
        <v>2028</v>
      </c>
      <c r="L5" s="302">
        <f t="shared" si="0"/>
        <v>2029</v>
      </c>
      <c r="M5" s="303">
        <f t="shared" si="0"/>
        <v>2030</v>
      </c>
      <c r="N5" s="140"/>
      <c r="O5" s="154">
        <v>2026</v>
      </c>
      <c r="P5" s="196">
        <f t="shared" ref="P5:S5" si="1">O5+1</f>
        <v>2027</v>
      </c>
      <c r="Q5" s="196">
        <f t="shared" si="1"/>
        <v>2028</v>
      </c>
      <c r="R5" s="196">
        <f t="shared" si="1"/>
        <v>2029</v>
      </c>
      <c r="S5" s="196">
        <f t="shared" si="1"/>
        <v>2030</v>
      </c>
      <c r="T5" s="3"/>
      <c r="U5" s="124"/>
    </row>
    <row r="6" spans="1:21" ht="19.5" hidden="1" customHeight="1">
      <c r="A6" s="337" t="s">
        <v>145</v>
      </c>
      <c r="B6" s="42"/>
      <c r="C6" s="155"/>
      <c r="D6" s="304"/>
      <c r="E6" s="156"/>
      <c r="F6" s="42"/>
      <c r="G6" s="305"/>
      <c r="H6" s="67"/>
      <c r="I6" s="157"/>
      <c r="J6" s="157"/>
      <c r="K6" s="157"/>
      <c r="L6" s="157"/>
      <c r="M6" s="306"/>
      <c r="N6" s="158"/>
      <c r="O6" s="43">
        <f>(1+$C$3)^(O5-2026)</f>
        <v>1</v>
      </c>
      <c r="P6" s="43">
        <f t="shared" ref="P6:S6" si="2">(1+$C$3)^(P5-2026)</f>
        <v>1.0249999999999999</v>
      </c>
      <c r="Q6" s="43">
        <f t="shared" si="2"/>
        <v>1.0506249999999999</v>
      </c>
      <c r="R6" s="43">
        <f t="shared" si="2"/>
        <v>1.0768906249999999</v>
      </c>
      <c r="S6" s="43">
        <f t="shared" si="2"/>
        <v>1.1038128906249998</v>
      </c>
      <c r="T6" s="3"/>
      <c r="U6" s="124"/>
    </row>
    <row r="7" spans="1:21" ht="19.5" customHeight="1">
      <c r="A7" s="307" t="s">
        <v>246</v>
      </c>
      <c r="B7" s="159"/>
      <c r="C7" s="159"/>
      <c r="D7" s="296"/>
      <c r="E7" s="161"/>
      <c r="F7" s="162"/>
      <c r="G7" s="308"/>
      <c r="H7" s="163"/>
      <c r="I7" s="164"/>
      <c r="J7" s="164"/>
      <c r="K7" s="164" t="s">
        <v>140</v>
      </c>
      <c r="L7" s="164"/>
      <c r="M7" s="309"/>
      <c r="N7" s="110"/>
      <c r="O7" s="161"/>
      <c r="P7" s="162"/>
      <c r="Q7" s="162"/>
      <c r="R7" s="162"/>
      <c r="S7" s="162"/>
      <c r="T7" s="3"/>
      <c r="U7" s="124"/>
    </row>
    <row r="8" spans="1:21" ht="19.5" customHeight="1">
      <c r="A8" s="313"/>
      <c r="B8" s="165"/>
      <c r="C8" s="16"/>
      <c r="D8" s="296"/>
      <c r="E8" s="81"/>
      <c r="F8" s="53"/>
      <c r="G8" s="308"/>
      <c r="H8" s="152"/>
      <c r="I8" s="166"/>
      <c r="J8" s="166"/>
      <c r="K8" s="166"/>
      <c r="L8" s="166"/>
      <c r="M8" s="310"/>
      <c r="N8" s="110"/>
      <c r="O8" s="59"/>
      <c r="P8" s="59"/>
      <c r="Q8" s="59"/>
      <c r="R8" s="59"/>
      <c r="S8" s="59"/>
      <c r="T8" s="3"/>
      <c r="U8" s="124"/>
    </row>
    <row r="9" spans="1:21" ht="19.5" customHeight="1">
      <c r="A9" s="313"/>
      <c r="B9" s="339" t="s">
        <v>227</v>
      </c>
      <c r="C9" s="16">
        <v>2380</v>
      </c>
      <c r="D9" s="296"/>
      <c r="E9" s="81">
        <v>125000</v>
      </c>
      <c r="F9" s="53" t="s">
        <v>147</v>
      </c>
      <c r="G9" s="308"/>
      <c r="H9" s="152"/>
      <c r="I9" s="166">
        <v>1</v>
      </c>
      <c r="J9" s="166">
        <v>1</v>
      </c>
      <c r="K9" s="166">
        <v>1</v>
      </c>
      <c r="L9" s="166">
        <v>1</v>
      </c>
      <c r="M9" s="310">
        <v>1</v>
      </c>
      <c r="N9" s="110"/>
      <c r="O9" s="59">
        <f t="shared" ref="O9:O15" si="3">I9*$E9</f>
        <v>125000</v>
      </c>
      <c r="P9" s="59">
        <f t="shared" ref="P9:S9" si="4">J9*$E9*P$6</f>
        <v>128124.99999999999</v>
      </c>
      <c r="Q9" s="59">
        <f t="shared" si="4"/>
        <v>131328.125</v>
      </c>
      <c r="R9" s="59">
        <f t="shared" si="4"/>
        <v>134611.32812499997</v>
      </c>
      <c r="S9" s="59">
        <f t="shared" si="4"/>
        <v>137976.61132812497</v>
      </c>
      <c r="T9" s="3"/>
      <c r="U9" s="124"/>
    </row>
    <row r="10" spans="1:21" ht="19.5" customHeight="1">
      <c r="A10" s="313"/>
      <c r="B10" s="340" t="s">
        <v>146</v>
      </c>
      <c r="C10" s="16">
        <v>2380</v>
      </c>
      <c r="D10" s="296"/>
      <c r="E10" s="81">
        <v>115000</v>
      </c>
      <c r="F10" s="53" t="s">
        <v>147</v>
      </c>
      <c r="G10" s="308"/>
      <c r="H10" s="152"/>
      <c r="I10" s="166">
        <v>1</v>
      </c>
      <c r="J10" s="166">
        <v>1</v>
      </c>
      <c r="K10" s="166">
        <v>1</v>
      </c>
      <c r="L10" s="166">
        <v>1</v>
      </c>
      <c r="M10" s="310">
        <v>1</v>
      </c>
      <c r="N10" s="110"/>
      <c r="O10" s="59">
        <f t="shared" si="3"/>
        <v>115000</v>
      </c>
      <c r="P10" s="59">
        <f t="shared" ref="P10:S10" si="5">J10*$E10*P$6</f>
        <v>117874.99999999999</v>
      </c>
      <c r="Q10" s="59">
        <f t="shared" si="5"/>
        <v>120821.87499999999</v>
      </c>
      <c r="R10" s="59">
        <f t="shared" si="5"/>
        <v>123842.42187499999</v>
      </c>
      <c r="S10" s="59">
        <f t="shared" si="5"/>
        <v>126938.48242187497</v>
      </c>
      <c r="T10" s="3"/>
      <c r="U10" s="124"/>
    </row>
    <row r="11" spans="1:21" ht="19.5" customHeight="1">
      <c r="A11" s="313"/>
      <c r="B11" s="340" t="s">
        <v>265</v>
      </c>
      <c r="C11" s="16">
        <v>2380</v>
      </c>
      <c r="D11" s="296"/>
      <c r="E11" s="81">
        <v>105000</v>
      </c>
      <c r="F11" s="53" t="s">
        <v>147</v>
      </c>
      <c r="G11" s="308"/>
      <c r="H11" s="152"/>
      <c r="I11" s="166">
        <v>0</v>
      </c>
      <c r="J11" s="166">
        <v>0</v>
      </c>
      <c r="K11" s="166">
        <v>0</v>
      </c>
      <c r="L11" s="166">
        <v>1</v>
      </c>
      <c r="M11" s="310">
        <v>1</v>
      </c>
      <c r="N11" s="110"/>
      <c r="O11" s="59">
        <f t="shared" ref="O11" si="6">I11*$E11</f>
        <v>0</v>
      </c>
      <c r="P11" s="59">
        <f t="shared" ref="P11" si="7">J11*$E11*P$6</f>
        <v>0</v>
      </c>
      <c r="Q11" s="59">
        <f t="shared" ref="Q11" si="8">K11*$E11*Q$6</f>
        <v>0</v>
      </c>
      <c r="R11" s="59">
        <f t="shared" ref="R11" si="9">L11*$E11*R$6</f>
        <v>113073.51562499999</v>
      </c>
      <c r="S11" s="59">
        <f t="shared" ref="S11" si="10">M11*$E11*S$6</f>
        <v>115900.35351562497</v>
      </c>
      <c r="T11" s="3"/>
      <c r="U11" s="124"/>
    </row>
    <row r="12" spans="1:21" ht="19.5" customHeight="1">
      <c r="A12" s="313"/>
      <c r="B12" s="340" t="s">
        <v>226</v>
      </c>
      <c r="C12" s="16">
        <v>2380</v>
      </c>
      <c r="D12" s="296"/>
      <c r="E12" s="81">
        <v>115000</v>
      </c>
      <c r="F12" s="53" t="s">
        <v>147</v>
      </c>
      <c r="G12" s="308"/>
      <c r="H12" s="152"/>
      <c r="I12" s="166">
        <v>1</v>
      </c>
      <c r="J12" s="166">
        <v>1</v>
      </c>
      <c r="K12" s="166">
        <v>1</v>
      </c>
      <c r="L12" s="166">
        <v>1</v>
      </c>
      <c r="M12" s="310">
        <v>1</v>
      </c>
      <c r="N12" s="110"/>
      <c r="O12" s="59">
        <f t="shared" si="3"/>
        <v>115000</v>
      </c>
      <c r="P12" s="59">
        <f t="shared" ref="P12:S12" si="11">J12*$E12*P$6</f>
        <v>117874.99999999999</v>
      </c>
      <c r="Q12" s="59">
        <f t="shared" si="11"/>
        <v>120821.87499999999</v>
      </c>
      <c r="R12" s="59">
        <f t="shared" si="11"/>
        <v>123842.42187499999</v>
      </c>
      <c r="S12" s="59">
        <f t="shared" si="11"/>
        <v>126938.48242187497</v>
      </c>
      <c r="T12" s="3"/>
      <c r="U12" s="124"/>
    </row>
    <row r="13" spans="1:21" ht="19.5" customHeight="1">
      <c r="A13" s="313"/>
      <c r="B13" s="339" t="s">
        <v>164</v>
      </c>
      <c r="C13" s="16">
        <v>2380</v>
      </c>
      <c r="D13" s="296"/>
      <c r="E13" s="81">
        <v>75000</v>
      </c>
      <c r="F13" s="53" t="s">
        <v>147</v>
      </c>
      <c r="G13" s="308"/>
      <c r="H13" s="152"/>
      <c r="I13" s="166">
        <v>1</v>
      </c>
      <c r="J13" s="166">
        <v>1</v>
      </c>
      <c r="K13" s="166">
        <v>1</v>
      </c>
      <c r="L13" s="166">
        <v>3</v>
      </c>
      <c r="M13" s="310">
        <v>4</v>
      </c>
      <c r="N13" s="110"/>
      <c r="O13" s="59">
        <f t="shared" si="3"/>
        <v>75000</v>
      </c>
      <c r="P13" s="59">
        <f t="shared" ref="P13:S15" si="12">J13*$E13*P$6</f>
        <v>76875</v>
      </c>
      <c r="Q13" s="59">
        <f t="shared" si="12"/>
        <v>78796.875</v>
      </c>
      <c r="R13" s="59">
        <f t="shared" si="12"/>
        <v>242300.39062499997</v>
      </c>
      <c r="S13" s="59">
        <f t="shared" si="12"/>
        <v>331143.86718749994</v>
      </c>
      <c r="T13" s="3"/>
      <c r="U13" s="124"/>
    </row>
    <row r="14" spans="1:21" ht="19.5" customHeight="1">
      <c r="A14" s="313"/>
      <c r="B14" s="340" t="s">
        <v>228</v>
      </c>
      <c r="C14" s="16"/>
      <c r="D14" s="296"/>
      <c r="E14" s="81">
        <v>110000</v>
      </c>
      <c r="F14" s="53"/>
      <c r="G14" s="308"/>
      <c r="H14" s="152"/>
      <c r="I14" s="166">
        <v>1</v>
      </c>
      <c r="J14" s="166">
        <v>1</v>
      </c>
      <c r="K14" s="166">
        <v>1</v>
      </c>
      <c r="L14" s="166">
        <v>1</v>
      </c>
      <c r="M14" s="310">
        <v>1</v>
      </c>
      <c r="N14" s="110"/>
      <c r="O14" s="59">
        <f t="shared" si="3"/>
        <v>110000</v>
      </c>
      <c r="P14" s="59">
        <f t="shared" si="12"/>
        <v>112749.99999999999</v>
      </c>
      <c r="Q14" s="59">
        <f t="shared" si="12"/>
        <v>115568.74999999999</v>
      </c>
      <c r="R14" s="59">
        <f t="shared" si="12"/>
        <v>118457.96874999999</v>
      </c>
      <c r="S14" s="59">
        <f t="shared" si="12"/>
        <v>121419.41796874997</v>
      </c>
      <c r="T14" s="3"/>
      <c r="U14" s="124"/>
    </row>
    <row r="15" spans="1:21" ht="19.5" customHeight="1">
      <c r="A15" s="313"/>
      <c r="B15" s="340" t="s">
        <v>225</v>
      </c>
      <c r="C15" s="16"/>
      <c r="D15" s="296"/>
      <c r="E15" s="81">
        <v>55000</v>
      </c>
      <c r="F15" s="53"/>
      <c r="G15" s="308"/>
      <c r="H15" s="152"/>
      <c r="I15" s="166">
        <v>1</v>
      </c>
      <c r="J15" s="166">
        <v>2</v>
      </c>
      <c r="K15" s="166">
        <v>2</v>
      </c>
      <c r="L15" s="166">
        <v>3</v>
      </c>
      <c r="M15" s="310">
        <v>3</v>
      </c>
      <c r="N15" s="110"/>
      <c r="O15" s="59">
        <f t="shared" si="3"/>
        <v>55000</v>
      </c>
      <c r="P15" s="59">
        <f t="shared" si="12"/>
        <v>112749.99999999999</v>
      </c>
      <c r="Q15" s="59">
        <f t="shared" si="12"/>
        <v>115568.74999999999</v>
      </c>
      <c r="R15" s="59">
        <f t="shared" si="12"/>
        <v>177686.95312499997</v>
      </c>
      <c r="S15" s="59">
        <f t="shared" si="12"/>
        <v>182129.12695312497</v>
      </c>
      <c r="T15" s="3"/>
      <c r="U15" s="124"/>
    </row>
    <row r="16" spans="1:21" ht="19.5" customHeight="1">
      <c r="A16" s="313"/>
      <c r="B16" s="218"/>
      <c r="C16" s="198"/>
      <c r="D16" s="296"/>
      <c r="E16" s="209"/>
      <c r="F16" s="199"/>
      <c r="G16" s="308"/>
      <c r="H16" s="217"/>
      <c r="I16" s="219"/>
      <c r="J16" s="219"/>
      <c r="K16" s="219"/>
      <c r="L16" s="219"/>
      <c r="M16" s="311"/>
      <c r="N16" s="110"/>
      <c r="O16" s="203"/>
      <c r="P16" s="203"/>
      <c r="Q16" s="203"/>
      <c r="R16" s="203"/>
      <c r="S16" s="203"/>
      <c r="T16" s="3"/>
      <c r="U16" s="124"/>
    </row>
    <row r="17" spans="1:21" ht="19.5" customHeight="1">
      <c r="A17" s="313"/>
      <c r="B17" s="167" t="str">
        <f>A7&amp;" - total"</f>
        <v>Administration - total</v>
      </c>
      <c r="C17" s="60"/>
      <c r="D17" s="296"/>
      <c r="E17" s="89"/>
      <c r="F17" s="89"/>
      <c r="G17" s="295"/>
      <c r="H17" s="168"/>
      <c r="I17" s="169">
        <f t="shared" ref="I17:M17" si="13">SUM(I7:I16)</f>
        <v>6</v>
      </c>
      <c r="J17" s="169">
        <f t="shared" si="13"/>
        <v>7</v>
      </c>
      <c r="K17" s="169">
        <f t="shared" si="13"/>
        <v>7</v>
      </c>
      <c r="L17" s="169">
        <f t="shared" si="13"/>
        <v>11</v>
      </c>
      <c r="M17" s="312">
        <f t="shared" si="13"/>
        <v>12</v>
      </c>
      <c r="N17" s="110"/>
      <c r="O17" s="75">
        <f t="shared" ref="O17:S17" si="14">SUM(O7:O16)</f>
        <v>595000</v>
      </c>
      <c r="P17" s="75">
        <f t="shared" si="14"/>
        <v>666249.99999999988</v>
      </c>
      <c r="Q17" s="75">
        <f t="shared" si="14"/>
        <v>682906.25</v>
      </c>
      <c r="R17" s="75">
        <f t="shared" si="14"/>
        <v>1033814.9999999999</v>
      </c>
      <c r="S17" s="75">
        <f t="shared" si="14"/>
        <v>1142446.3417968748</v>
      </c>
      <c r="T17" s="3"/>
      <c r="U17" s="124"/>
    </row>
    <row r="18" spans="1:21" ht="19.5" hidden="1" customHeight="1">
      <c r="A18" s="313"/>
      <c r="B18" s="16"/>
      <c r="C18" s="16"/>
      <c r="D18" s="296"/>
      <c r="E18" s="35"/>
      <c r="F18" s="35"/>
      <c r="G18" s="295"/>
      <c r="H18" s="152"/>
      <c r="I18" s="170"/>
      <c r="J18" s="170"/>
      <c r="K18" s="170"/>
      <c r="L18" s="170"/>
      <c r="M18" s="314"/>
      <c r="N18" s="110"/>
      <c r="O18" s="59"/>
      <c r="P18" s="59"/>
      <c r="Q18" s="59"/>
      <c r="R18" s="59"/>
      <c r="S18" s="59"/>
      <c r="T18" s="3"/>
      <c r="U18" s="124"/>
    </row>
    <row r="19" spans="1:21" ht="19.5" customHeight="1">
      <c r="A19" s="315" t="s">
        <v>247</v>
      </c>
      <c r="B19" s="171"/>
      <c r="C19" s="171"/>
      <c r="D19" s="296"/>
      <c r="E19" s="161"/>
      <c r="F19" s="161"/>
      <c r="G19" s="308"/>
      <c r="H19" s="163"/>
      <c r="I19" s="172"/>
      <c r="J19" s="172"/>
      <c r="K19" s="172"/>
      <c r="L19" s="172"/>
      <c r="M19" s="316"/>
      <c r="N19" s="110"/>
      <c r="O19" s="161"/>
      <c r="P19" s="161"/>
      <c r="Q19" s="161"/>
      <c r="R19" s="161"/>
      <c r="S19" s="161"/>
      <c r="T19" s="3"/>
      <c r="U19" s="124"/>
    </row>
    <row r="20" spans="1:21" ht="19.5" hidden="1" customHeight="1">
      <c r="A20" s="313"/>
      <c r="B20" s="16"/>
      <c r="C20" s="16"/>
      <c r="D20" s="296"/>
      <c r="E20" s="81"/>
      <c r="F20" s="53"/>
      <c r="G20" s="308"/>
      <c r="H20" s="152"/>
      <c r="I20" s="173"/>
      <c r="J20" s="173"/>
      <c r="K20" s="173"/>
      <c r="L20" s="173"/>
      <c r="M20" s="317"/>
      <c r="N20" s="110"/>
      <c r="O20" s="59"/>
      <c r="P20" s="59"/>
      <c r="Q20" s="59"/>
      <c r="R20" s="59"/>
      <c r="S20" s="59"/>
      <c r="T20" s="3"/>
      <c r="U20" s="124"/>
    </row>
    <row r="21" spans="1:21" ht="19.5" customHeight="1">
      <c r="A21" s="313"/>
      <c r="B21" s="340" t="s">
        <v>196</v>
      </c>
      <c r="C21" s="16">
        <v>1100</v>
      </c>
      <c r="D21" s="296"/>
      <c r="E21" s="81">
        <v>60000</v>
      </c>
      <c r="F21" s="53" t="s">
        <v>147</v>
      </c>
      <c r="G21" s="308"/>
      <c r="H21" s="152"/>
      <c r="I21" s="318">
        <v>2</v>
      </c>
      <c r="J21" s="173">
        <v>3</v>
      </c>
      <c r="K21" s="173">
        <v>3</v>
      </c>
      <c r="L21" s="173">
        <v>3</v>
      </c>
      <c r="M21" s="317">
        <v>3</v>
      </c>
      <c r="N21" s="110"/>
      <c r="O21" s="59">
        <f t="shared" ref="O21:P30" si="15">I21*$E21</f>
        <v>120000</v>
      </c>
      <c r="P21" s="59">
        <f t="shared" si="15"/>
        <v>180000</v>
      </c>
      <c r="Q21" s="59">
        <f t="shared" ref="Q21:S21" si="16">K21*$E21*P$6</f>
        <v>184499.99999999997</v>
      </c>
      <c r="R21" s="59">
        <f t="shared" si="16"/>
        <v>189112.5</v>
      </c>
      <c r="S21" s="59">
        <f t="shared" si="16"/>
        <v>193840.31249999997</v>
      </c>
      <c r="T21" s="3"/>
      <c r="U21" s="124"/>
    </row>
    <row r="22" spans="1:21" ht="19.5" customHeight="1">
      <c r="A22" s="313"/>
      <c r="B22" s="340" t="s">
        <v>169</v>
      </c>
      <c r="C22" s="16">
        <v>1100</v>
      </c>
      <c r="D22" s="296"/>
      <c r="E22" s="81">
        <v>60000</v>
      </c>
      <c r="F22" s="53" t="s">
        <v>147</v>
      </c>
      <c r="G22" s="308"/>
      <c r="H22" s="152"/>
      <c r="I22" s="318">
        <v>1</v>
      </c>
      <c r="J22" s="173">
        <v>2</v>
      </c>
      <c r="K22" s="173">
        <v>2</v>
      </c>
      <c r="L22" s="173">
        <v>3</v>
      </c>
      <c r="M22" s="317">
        <v>3</v>
      </c>
      <c r="N22" s="110"/>
      <c r="O22" s="59">
        <f t="shared" si="15"/>
        <v>60000</v>
      </c>
      <c r="P22" s="59">
        <f t="shared" si="15"/>
        <v>120000</v>
      </c>
      <c r="Q22" s="59">
        <f t="shared" ref="Q22:S22" si="17">K22*$E22*P$6</f>
        <v>122999.99999999999</v>
      </c>
      <c r="R22" s="59">
        <f t="shared" si="17"/>
        <v>189112.5</v>
      </c>
      <c r="S22" s="59">
        <f t="shared" si="17"/>
        <v>193840.31249999997</v>
      </c>
      <c r="T22" s="3"/>
      <c r="U22" s="124"/>
    </row>
    <row r="23" spans="1:21" ht="19.5" customHeight="1">
      <c r="A23" s="313"/>
      <c r="B23" s="340" t="s">
        <v>197</v>
      </c>
      <c r="C23" s="16">
        <v>1100</v>
      </c>
      <c r="D23" s="296"/>
      <c r="E23" s="81">
        <v>60000</v>
      </c>
      <c r="F23" s="53" t="s">
        <v>147</v>
      </c>
      <c r="G23" s="308"/>
      <c r="H23" s="152"/>
      <c r="I23" s="318">
        <v>1</v>
      </c>
      <c r="J23" s="173">
        <v>2</v>
      </c>
      <c r="K23" s="173">
        <v>2</v>
      </c>
      <c r="L23" s="173">
        <v>3</v>
      </c>
      <c r="M23" s="317">
        <v>3</v>
      </c>
      <c r="N23" s="110"/>
      <c r="O23" s="59">
        <f t="shared" si="15"/>
        <v>60000</v>
      </c>
      <c r="P23" s="59">
        <f t="shared" ref="P23:P30" si="18">J23*$E23</f>
        <v>120000</v>
      </c>
      <c r="Q23" s="59">
        <f t="shared" ref="Q23:Q30" si="19">K23*$E23*P$6</f>
        <v>122999.99999999999</v>
      </c>
      <c r="R23" s="59">
        <f t="shared" ref="R23:R30" si="20">L23*$E23*Q$6</f>
        <v>189112.5</v>
      </c>
      <c r="S23" s="59">
        <f t="shared" ref="S23:S30" si="21">M23*$E23*R$6</f>
        <v>193840.31249999997</v>
      </c>
      <c r="T23" s="3"/>
      <c r="U23" s="124"/>
    </row>
    <row r="24" spans="1:21" ht="19.5" customHeight="1">
      <c r="A24" s="313"/>
      <c r="B24" s="340" t="s">
        <v>171</v>
      </c>
      <c r="C24" s="16">
        <v>1100</v>
      </c>
      <c r="D24" s="296"/>
      <c r="E24" s="81">
        <v>60000</v>
      </c>
      <c r="F24" s="53" t="s">
        <v>147</v>
      </c>
      <c r="G24" s="308"/>
      <c r="H24" s="152"/>
      <c r="I24" s="318">
        <v>1</v>
      </c>
      <c r="J24" s="173">
        <v>2</v>
      </c>
      <c r="K24" s="173">
        <v>2</v>
      </c>
      <c r="L24" s="173">
        <v>3</v>
      </c>
      <c r="M24" s="317">
        <v>3</v>
      </c>
      <c r="N24" s="110"/>
      <c r="O24" s="59">
        <f t="shared" si="15"/>
        <v>60000</v>
      </c>
      <c r="P24" s="59">
        <f t="shared" si="18"/>
        <v>120000</v>
      </c>
      <c r="Q24" s="59">
        <f t="shared" si="19"/>
        <v>122999.99999999999</v>
      </c>
      <c r="R24" s="59">
        <f t="shared" si="20"/>
        <v>189112.5</v>
      </c>
      <c r="S24" s="59">
        <f t="shared" si="21"/>
        <v>193840.31249999997</v>
      </c>
      <c r="T24" s="3"/>
      <c r="U24" s="124"/>
    </row>
    <row r="25" spans="1:21" ht="19.5" customHeight="1">
      <c r="A25" s="313"/>
      <c r="B25" s="340" t="s">
        <v>172</v>
      </c>
      <c r="C25" s="16">
        <v>1100</v>
      </c>
      <c r="D25" s="296"/>
      <c r="E25" s="81">
        <v>60000</v>
      </c>
      <c r="F25" s="53" t="s">
        <v>147</v>
      </c>
      <c r="G25" s="308"/>
      <c r="H25" s="152"/>
      <c r="I25" s="318">
        <v>1</v>
      </c>
      <c r="J25" s="173">
        <v>2</v>
      </c>
      <c r="K25" s="173">
        <v>2</v>
      </c>
      <c r="L25" s="173">
        <v>3</v>
      </c>
      <c r="M25" s="317">
        <v>3</v>
      </c>
      <c r="N25" s="110"/>
      <c r="O25" s="59">
        <f t="shared" si="15"/>
        <v>60000</v>
      </c>
      <c r="P25" s="59">
        <f t="shared" si="18"/>
        <v>120000</v>
      </c>
      <c r="Q25" s="59">
        <f t="shared" si="19"/>
        <v>122999.99999999999</v>
      </c>
      <c r="R25" s="59">
        <f t="shared" si="20"/>
        <v>189112.5</v>
      </c>
      <c r="S25" s="59">
        <f t="shared" si="21"/>
        <v>193840.31249999997</v>
      </c>
      <c r="T25" s="3"/>
      <c r="U25" s="124"/>
    </row>
    <row r="26" spans="1:21" ht="19.5" customHeight="1">
      <c r="A26" s="313"/>
      <c r="B26" s="340" t="s">
        <v>268</v>
      </c>
      <c r="C26" s="16">
        <v>1100</v>
      </c>
      <c r="D26" s="296"/>
      <c r="E26" s="81">
        <v>60000</v>
      </c>
      <c r="F26" s="53" t="s">
        <v>147</v>
      </c>
      <c r="G26" s="308"/>
      <c r="H26" s="152"/>
      <c r="I26" s="318">
        <v>1</v>
      </c>
      <c r="J26" s="173">
        <v>2</v>
      </c>
      <c r="K26" s="173">
        <v>2</v>
      </c>
      <c r="L26" s="173">
        <v>3</v>
      </c>
      <c r="M26" s="317">
        <v>4</v>
      </c>
      <c r="N26" s="110"/>
      <c r="O26" s="59">
        <f t="shared" si="15"/>
        <v>60000</v>
      </c>
      <c r="P26" s="59">
        <f t="shared" si="18"/>
        <v>120000</v>
      </c>
      <c r="Q26" s="59">
        <f t="shared" si="19"/>
        <v>122999.99999999999</v>
      </c>
      <c r="R26" s="59">
        <f t="shared" si="20"/>
        <v>189112.5</v>
      </c>
      <c r="S26" s="59">
        <f t="shared" si="21"/>
        <v>258453.74999999997</v>
      </c>
      <c r="T26" s="3"/>
      <c r="U26" s="124"/>
    </row>
    <row r="27" spans="1:21" ht="19.5" customHeight="1">
      <c r="A27" s="313"/>
      <c r="B27" s="340" t="s">
        <v>266</v>
      </c>
      <c r="C27" s="16">
        <v>1100</v>
      </c>
      <c r="D27" s="296"/>
      <c r="E27" s="81">
        <v>65000</v>
      </c>
      <c r="F27" s="53" t="s">
        <v>147</v>
      </c>
      <c r="G27" s="308"/>
      <c r="H27" s="152"/>
      <c r="I27" s="318">
        <v>0</v>
      </c>
      <c r="J27" s="173">
        <v>0</v>
      </c>
      <c r="K27" s="173">
        <v>1</v>
      </c>
      <c r="L27" s="173">
        <v>2</v>
      </c>
      <c r="M27" s="317">
        <v>4</v>
      </c>
      <c r="N27" s="110"/>
      <c r="O27" s="59">
        <f t="shared" si="15"/>
        <v>0</v>
      </c>
      <c r="P27" s="59">
        <f t="shared" si="18"/>
        <v>0</v>
      </c>
      <c r="Q27" s="59">
        <f t="shared" si="19"/>
        <v>66625</v>
      </c>
      <c r="R27" s="59">
        <f t="shared" si="20"/>
        <v>136581.25</v>
      </c>
      <c r="S27" s="59">
        <f t="shared" si="21"/>
        <v>279991.56249999994</v>
      </c>
      <c r="T27" s="3"/>
      <c r="U27" s="124"/>
    </row>
    <row r="28" spans="1:21" ht="19.5" customHeight="1">
      <c r="A28" s="313"/>
      <c r="B28" s="340" t="s">
        <v>173</v>
      </c>
      <c r="C28" s="16">
        <v>1100</v>
      </c>
      <c r="D28" s="296"/>
      <c r="E28" s="81">
        <v>60000</v>
      </c>
      <c r="F28" s="53" t="s">
        <v>147</v>
      </c>
      <c r="G28" s="308"/>
      <c r="H28" s="152"/>
      <c r="I28" s="318">
        <v>1</v>
      </c>
      <c r="J28" s="173">
        <v>2</v>
      </c>
      <c r="K28" s="173">
        <v>2</v>
      </c>
      <c r="L28" s="173">
        <v>3</v>
      </c>
      <c r="M28" s="317">
        <v>4</v>
      </c>
      <c r="N28" s="110"/>
      <c r="O28" s="59">
        <f t="shared" si="15"/>
        <v>60000</v>
      </c>
      <c r="P28" s="59">
        <f t="shared" si="18"/>
        <v>120000</v>
      </c>
      <c r="Q28" s="59">
        <f t="shared" si="19"/>
        <v>122999.99999999999</v>
      </c>
      <c r="R28" s="59">
        <f t="shared" si="20"/>
        <v>189112.5</v>
      </c>
      <c r="S28" s="59">
        <f t="shared" si="21"/>
        <v>258453.74999999997</v>
      </c>
      <c r="T28" s="3"/>
      <c r="U28" s="124"/>
    </row>
    <row r="29" spans="1:21" ht="19.5" customHeight="1">
      <c r="A29" s="313"/>
      <c r="B29" s="340" t="s">
        <v>269</v>
      </c>
      <c r="C29" s="16">
        <v>1100</v>
      </c>
      <c r="D29" s="296"/>
      <c r="E29" s="81">
        <v>60000</v>
      </c>
      <c r="F29" s="53" t="s">
        <v>147</v>
      </c>
      <c r="G29" s="308"/>
      <c r="H29" s="152"/>
      <c r="I29" s="318">
        <v>3</v>
      </c>
      <c r="J29" s="173">
        <v>3</v>
      </c>
      <c r="K29" s="173">
        <v>4</v>
      </c>
      <c r="L29" s="173">
        <v>6</v>
      </c>
      <c r="M29" s="317">
        <v>7</v>
      </c>
      <c r="N29" s="110"/>
      <c r="O29" s="59">
        <f t="shared" si="15"/>
        <v>180000</v>
      </c>
      <c r="P29" s="59">
        <f t="shared" si="18"/>
        <v>180000</v>
      </c>
      <c r="Q29" s="59">
        <f t="shared" si="19"/>
        <v>245999.99999999997</v>
      </c>
      <c r="R29" s="59">
        <f t="shared" si="20"/>
        <v>378225</v>
      </c>
      <c r="S29" s="59">
        <f t="shared" si="21"/>
        <v>452294.06249999994</v>
      </c>
      <c r="T29" s="3"/>
      <c r="U29" s="124"/>
    </row>
    <row r="30" spans="1:21" ht="19.5" customHeight="1">
      <c r="A30" s="313"/>
      <c r="B30" s="340" t="s">
        <v>175</v>
      </c>
      <c r="C30" s="16">
        <v>1200</v>
      </c>
      <c r="D30" s="296"/>
      <c r="E30" s="81">
        <v>60000</v>
      </c>
      <c r="F30" s="53" t="s">
        <v>147</v>
      </c>
      <c r="G30" s="308"/>
      <c r="H30" s="152"/>
      <c r="I30" s="318">
        <v>2</v>
      </c>
      <c r="J30" s="173">
        <v>3</v>
      </c>
      <c r="K30" s="173">
        <v>4</v>
      </c>
      <c r="L30" s="173">
        <v>7</v>
      </c>
      <c r="M30" s="317">
        <v>8</v>
      </c>
      <c r="N30" s="110"/>
      <c r="O30" s="59">
        <f t="shared" si="15"/>
        <v>120000</v>
      </c>
      <c r="P30" s="59">
        <f t="shared" si="18"/>
        <v>180000</v>
      </c>
      <c r="Q30" s="59">
        <f t="shared" si="19"/>
        <v>245999.99999999997</v>
      </c>
      <c r="R30" s="59">
        <f t="shared" si="20"/>
        <v>441262.49999999994</v>
      </c>
      <c r="S30" s="59">
        <f t="shared" si="21"/>
        <v>516907.49999999994</v>
      </c>
      <c r="T30" s="3"/>
      <c r="U30" s="124"/>
    </row>
    <row r="31" spans="1:21" ht="19.5" customHeight="1">
      <c r="A31" s="313"/>
      <c r="B31" s="167" t="str">
        <f>A19&amp;" - total"</f>
        <v>Instruction - total</v>
      </c>
      <c r="C31" s="60"/>
      <c r="D31" s="296"/>
      <c r="E31" s="65"/>
      <c r="F31" s="65"/>
      <c r="G31" s="308"/>
      <c r="H31" s="168"/>
      <c r="I31" s="169">
        <f>SUM(I20:I30)</f>
        <v>13</v>
      </c>
      <c r="J31" s="169">
        <f t="shared" ref="J31:M31" si="22">SUM(J20:J30)</f>
        <v>21</v>
      </c>
      <c r="K31" s="169">
        <f t="shared" si="22"/>
        <v>24</v>
      </c>
      <c r="L31" s="169">
        <f t="shared" si="22"/>
        <v>36</v>
      </c>
      <c r="M31" s="312">
        <f t="shared" si="22"/>
        <v>42</v>
      </c>
      <c r="N31" s="110"/>
      <c r="O31" s="75">
        <f>SUM(O20:O30)</f>
        <v>780000</v>
      </c>
      <c r="P31" s="75">
        <f>SUM(P20:P30)</f>
        <v>1260000</v>
      </c>
      <c r="Q31" s="75">
        <f>SUM(Q20:Q30)</f>
        <v>1481124.9999999998</v>
      </c>
      <c r="R31" s="75">
        <f>SUM(R20:R30)</f>
        <v>2279856.25</v>
      </c>
      <c r="S31" s="75">
        <f>SUM(S20:S30)</f>
        <v>2735302.1874999995</v>
      </c>
      <c r="T31" s="3"/>
      <c r="U31" s="124"/>
    </row>
    <row r="32" spans="1:21" ht="19.5" hidden="1" customHeight="1">
      <c r="A32" s="313"/>
      <c r="B32" s="165"/>
      <c r="C32" s="16"/>
      <c r="D32" s="296"/>
      <c r="E32" s="53"/>
      <c r="F32" s="53"/>
      <c r="G32" s="308"/>
      <c r="H32" s="152"/>
      <c r="I32" s="170"/>
      <c r="J32" s="170"/>
      <c r="K32" s="170"/>
      <c r="L32" s="170"/>
      <c r="M32" s="314"/>
      <c r="N32" s="110"/>
      <c r="O32" s="59"/>
      <c r="P32" s="59"/>
      <c r="Q32" s="59"/>
      <c r="R32" s="59"/>
      <c r="S32" s="59"/>
      <c r="T32" s="3"/>
      <c r="U32" s="124"/>
    </row>
    <row r="33" spans="1:21" ht="19.5" customHeight="1">
      <c r="A33" s="338" t="s">
        <v>248</v>
      </c>
      <c r="B33" s="171"/>
      <c r="C33" s="171"/>
      <c r="D33" s="296"/>
      <c r="E33" s="161"/>
      <c r="F33" s="161"/>
      <c r="G33" s="308"/>
      <c r="H33" s="163"/>
      <c r="I33" s="163"/>
      <c r="J33" s="163"/>
      <c r="K33" s="163"/>
      <c r="L33" s="163"/>
      <c r="M33" s="319"/>
      <c r="N33" s="110"/>
      <c r="O33" s="174"/>
      <c r="P33" s="174"/>
      <c r="Q33" s="174"/>
      <c r="R33" s="174"/>
      <c r="S33" s="174"/>
      <c r="T33" s="3"/>
      <c r="U33" s="124"/>
    </row>
    <row r="34" spans="1:21" ht="19.5" customHeight="1">
      <c r="A34" s="313"/>
      <c r="B34" s="340" t="s">
        <v>177</v>
      </c>
      <c r="C34" s="16">
        <v>2160</v>
      </c>
      <c r="D34" s="296"/>
      <c r="E34" s="81">
        <v>75000</v>
      </c>
      <c r="F34" s="53" t="s">
        <v>147</v>
      </c>
      <c r="G34" s="308"/>
      <c r="H34" s="152"/>
      <c r="I34" s="175">
        <v>1</v>
      </c>
      <c r="J34" s="175">
        <v>1</v>
      </c>
      <c r="K34" s="175">
        <v>2</v>
      </c>
      <c r="L34" s="175">
        <v>2</v>
      </c>
      <c r="M34" s="320">
        <v>2</v>
      </c>
      <c r="N34" s="110"/>
      <c r="O34" s="59">
        <f>I34*$E34</f>
        <v>75000</v>
      </c>
      <c r="P34" s="59">
        <f t="shared" ref="P34:S34" si="23">J34*$E34*O$6</f>
        <v>75000</v>
      </c>
      <c r="Q34" s="59">
        <f t="shared" si="23"/>
        <v>153750</v>
      </c>
      <c r="R34" s="59">
        <f t="shared" si="23"/>
        <v>157593.75</v>
      </c>
      <c r="S34" s="59">
        <f t="shared" si="23"/>
        <v>161533.59374999997</v>
      </c>
      <c r="T34" s="3"/>
      <c r="U34" s="124"/>
    </row>
    <row r="35" spans="1:21" ht="19.5" customHeight="1">
      <c r="A35" s="313"/>
      <c r="B35" s="340" t="s">
        <v>178</v>
      </c>
      <c r="C35" s="16">
        <v>2160</v>
      </c>
      <c r="D35" s="296"/>
      <c r="E35" s="81">
        <v>45000</v>
      </c>
      <c r="F35" s="53" t="s">
        <v>147</v>
      </c>
      <c r="G35" s="308"/>
      <c r="H35" s="152"/>
      <c r="I35" s="321">
        <v>1</v>
      </c>
      <c r="J35" s="175">
        <v>1</v>
      </c>
      <c r="K35" s="175">
        <v>2</v>
      </c>
      <c r="L35" s="175">
        <v>6</v>
      </c>
      <c r="M35" s="320">
        <v>8</v>
      </c>
      <c r="N35" s="110"/>
      <c r="P35" s="59">
        <f t="shared" ref="P35:P37" si="24">J35*$E35</f>
        <v>45000</v>
      </c>
      <c r="Q35" s="59">
        <f t="shared" ref="Q35:S35" si="25">K35*$E35*P$6</f>
        <v>92249.999999999985</v>
      </c>
      <c r="R35" s="59">
        <f t="shared" si="25"/>
        <v>283668.75</v>
      </c>
      <c r="S35" s="59">
        <f t="shared" si="25"/>
        <v>387680.62499999994</v>
      </c>
      <c r="T35" s="3"/>
      <c r="U35" s="124"/>
    </row>
    <row r="36" spans="1:21" s="238" customFormat="1" ht="19.5" hidden="1" customHeight="1">
      <c r="A36" s="322"/>
      <c r="B36" s="232" t="s">
        <v>207</v>
      </c>
      <c r="C36" s="232">
        <v>2400</v>
      </c>
      <c r="D36" s="323"/>
      <c r="E36" s="233">
        <v>55000</v>
      </c>
      <c r="F36" s="234" t="s">
        <v>147</v>
      </c>
      <c r="G36" s="324"/>
      <c r="H36" s="236"/>
      <c r="I36" s="325"/>
      <c r="J36" s="237">
        <v>1</v>
      </c>
      <c r="K36" s="237">
        <v>1</v>
      </c>
      <c r="L36" s="237">
        <v>1</v>
      </c>
      <c r="M36" s="326">
        <v>1</v>
      </c>
      <c r="N36" s="235"/>
      <c r="P36" s="239">
        <f t="shared" si="24"/>
        <v>55000</v>
      </c>
      <c r="Q36" s="239">
        <f t="shared" ref="Q36:S36" si="26">K36*$E36*P$6</f>
        <v>56374.999999999993</v>
      </c>
      <c r="R36" s="239">
        <f t="shared" si="26"/>
        <v>57784.374999999993</v>
      </c>
      <c r="S36" s="239">
        <f t="shared" si="26"/>
        <v>59228.984374999993</v>
      </c>
      <c r="T36" s="240"/>
      <c r="U36" s="241"/>
    </row>
    <row r="37" spans="1:21" s="238" customFormat="1" ht="19.5" hidden="1" customHeight="1">
      <c r="A37" s="322"/>
      <c r="B37" s="242" t="s">
        <v>208</v>
      </c>
      <c r="C37" s="242">
        <v>2160</v>
      </c>
      <c r="D37" s="323"/>
      <c r="E37" s="243">
        <v>60000</v>
      </c>
      <c r="F37" s="244" t="s">
        <v>148</v>
      </c>
      <c r="G37" s="324"/>
      <c r="H37" s="245"/>
      <c r="I37" s="325"/>
      <c r="J37" s="246">
        <v>1</v>
      </c>
      <c r="K37" s="246">
        <v>1</v>
      </c>
      <c r="L37" s="246">
        <v>1</v>
      </c>
      <c r="M37" s="327">
        <v>1</v>
      </c>
      <c r="N37" s="235"/>
      <c r="P37" s="247">
        <f t="shared" si="24"/>
        <v>60000</v>
      </c>
      <c r="Q37" s="239">
        <f t="shared" ref="Q37:S37" si="27">K37*$E37*P$6</f>
        <v>61499.999999999993</v>
      </c>
      <c r="R37" s="239">
        <f t="shared" si="27"/>
        <v>63037.499999999993</v>
      </c>
      <c r="S37" s="239">
        <f t="shared" si="27"/>
        <v>64613.437499999993</v>
      </c>
      <c r="T37" s="240"/>
      <c r="U37" s="241"/>
    </row>
    <row r="38" spans="1:21" ht="19.5" customHeight="1">
      <c r="A38" s="313"/>
      <c r="B38" s="167" t="str">
        <f>A33&amp;" - total"</f>
        <v>Student Support - total</v>
      </c>
      <c r="C38" s="60"/>
      <c r="D38" s="296"/>
      <c r="E38" s="65"/>
      <c r="F38" s="65"/>
      <c r="G38" s="308"/>
      <c r="H38" s="168"/>
      <c r="I38" s="168">
        <f>SUM(I34:I35)</f>
        <v>2</v>
      </c>
      <c r="J38" s="168">
        <f t="shared" ref="J38:M38" si="28">SUM(J34:J35)</f>
        <v>2</v>
      </c>
      <c r="K38" s="168">
        <f t="shared" si="28"/>
        <v>4</v>
      </c>
      <c r="L38" s="168">
        <f t="shared" si="28"/>
        <v>8</v>
      </c>
      <c r="M38" s="328">
        <f t="shared" si="28"/>
        <v>10</v>
      </c>
      <c r="N38" s="110"/>
      <c r="O38" s="75">
        <f>SUM(O34:O35)</f>
        <v>75000</v>
      </c>
      <c r="P38" s="75">
        <f t="shared" ref="P38:S38" si="29">SUM(P34:P35)</f>
        <v>120000</v>
      </c>
      <c r="Q38" s="75">
        <f t="shared" si="29"/>
        <v>246000</v>
      </c>
      <c r="R38" s="75">
        <f t="shared" si="29"/>
        <v>441262.5</v>
      </c>
      <c r="S38" s="75">
        <f t="shared" si="29"/>
        <v>549214.21874999988</v>
      </c>
      <c r="T38" s="3"/>
      <c r="U38" s="124"/>
    </row>
    <row r="39" spans="1:21" ht="19.5" hidden="1" customHeight="1">
      <c r="A39" s="313"/>
      <c r="B39" s="165"/>
      <c r="C39" s="16"/>
      <c r="D39" s="296"/>
      <c r="E39" s="53"/>
      <c r="F39" s="53"/>
      <c r="G39" s="308"/>
      <c r="H39" s="152"/>
      <c r="I39" s="152"/>
      <c r="J39" s="152"/>
      <c r="K39" s="152"/>
      <c r="L39" s="152"/>
      <c r="M39" s="329"/>
      <c r="N39" s="110"/>
      <c r="O39" s="59"/>
      <c r="P39" s="59"/>
      <c r="Q39" s="59"/>
      <c r="R39" s="59"/>
      <c r="S39" s="59"/>
      <c r="T39" s="3"/>
      <c r="U39" s="124"/>
    </row>
    <row r="40" spans="1:21" s="293" customFormat="1" ht="19.5" customHeight="1">
      <c r="A40" s="330" t="s">
        <v>202</v>
      </c>
      <c r="B40" s="331"/>
      <c r="C40" s="331"/>
      <c r="D40" s="332"/>
      <c r="E40" s="333"/>
      <c r="F40" s="333"/>
      <c r="G40" s="334"/>
      <c r="H40" s="335"/>
      <c r="I40" s="335">
        <f>I17+I31+I38</f>
        <v>21</v>
      </c>
      <c r="J40" s="335">
        <f>J17+J31+J38</f>
        <v>30</v>
      </c>
      <c r="K40" s="335">
        <f>K17+K31+K38</f>
        <v>35</v>
      </c>
      <c r="L40" s="335">
        <f>L17+L31+L38</f>
        <v>55</v>
      </c>
      <c r="M40" s="336">
        <f>M17+M31+M38</f>
        <v>64</v>
      </c>
      <c r="N40" s="291"/>
      <c r="O40" s="292">
        <f>O17+O31+O38</f>
        <v>1450000</v>
      </c>
      <c r="P40" s="292">
        <f>P17+P31+P38</f>
        <v>2046250</v>
      </c>
      <c r="Q40" s="292">
        <f>Q17+Q31+Q38</f>
        <v>2410031.25</v>
      </c>
      <c r="R40" s="292">
        <f>R17+R31+R38</f>
        <v>3754933.75</v>
      </c>
      <c r="S40" s="292">
        <f>S17+S31+S38</f>
        <v>4426962.7480468741</v>
      </c>
      <c r="T40" s="8"/>
      <c r="U40" s="179"/>
    </row>
    <row r="41" spans="1:21" ht="19.5" customHeight="1">
      <c r="A41" s="37"/>
      <c r="B41" s="3"/>
      <c r="C41" s="16"/>
      <c r="D41" s="296"/>
      <c r="E41" s="3"/>
      <c r="F41" s="3"/>
      <c r="G41" s="294"/>
      <c r="H41" s="3"/>
      <c r="I41" s="3"/>
      <c r="J41" s="3"/>
      <c r="K41" s="3"/>
      <c r="L41" s="3"/>
      <c r="M41" s="3"/>
      <c r="N41" s="149"/>
      <c r="O41" s="87"/>
      <c r="P41" s="87"/>
      <c r="Q41" s="87"/>
      <c r="R41" s="87"/>
      <c r="S41" s="87"/>
      <c r="T41" s="3"/>
      <c r="U41" s="124"/>
    </row>
    <row r="42" spans="1:21" ht="19.5" customHeight="1">
      <c r="A42" s="37"/>
      <c r="B42" s="3"/>
      <c r="C42" s="16"/>
      <c r="D42" s="160"/>
      <c r="E42" s="3"/>
      <c r="F42" s="3"/>
      <c r="G42" s="149"/>
      <c r="H42" s="3"/>
      <c r="I42" s="3"/>
      <c r="J42" s="3"/>
      <c r="K42" s="3"/>
      <c r="L42" s="3"/>
      <c r="M42" s="3"/>
      <c r="N42" s="149"/>
      <c r="O42" s="3"/>
      <c r="P42" s="3"/>
      <c r="Q42" s="3"/>
      <c r="R42" s="3"/>
      <c r="S42" s="3"/>
      <c r="T42" s="3"/>
      <c r="U42" s="124"/>
    </row>
    <row r="43" spans="1:21" ht="19.5" customHeight="1">
      <c r="A43" s="8" t="s">
        <v>149</v>
      </c>
      <c r="B43" s="8"/>
      <c r="C43" s="176"/>
      <c r="D43" s="177"/>
      <c r="E43" s="8"/>
      <c r="F43" s="8"/>
      <c r="G43" s="178"/>
      <c r="H43" s="8"/>
      <c r="I43" s="8">
        <f>Students!C13/Personnel!I40</f>
        <v>7.1428571428571432</v>
      </c>
      <c r="J43" s="8">
        <f>Students!D13/Personnel!J40</f>
        <v>7.5</v>
      </c>
      <c r="K43" s="8">
        <f>Students!E13/Personnel!K40</f>
        <v>8.5714285714285712</v>
      </c>
      <c r="L43" s="8">
        <f>Students!F13/Personnel!L40</f>
        <v>6.8181818181818183</v>
      </c>
      <c r="M43" s="8">
        <f>Students!G13/Personnel!M40</f>
        <v>7.03125</v>
      </c>
      <c r="N43" s="178"/>
      <c r="O43" s="8"/>
      <c r="P43" s="8"/>
      <c r="Q43" s="8"/>
      <c r="R43" s="8"/>
      <c r="S43" s="8"/>
      <c r="T43" s="8"/>
      <c r="U43" s="179"/>
    </row>
    <row r="44" spans="1:21" ht="19.5" customHeight="1">
      <c r="A44" s="37"/>
      <c r="B44" s="3"/>
      <c r="C44" s="16"/>
      <c r="D44" s="160"/>
      <c r="E44" s="3"/>
      <c r="F44" s="3"/>
      <c r="G44" s="149"/>
      <c r="H44" s="3"/>
      <c r="I44" s="3"/>
      <c r="J44" s="3"/>
      <c r="K44" s="3"/>
      <c r="L44" s="3"/>
      <c r="M44" s="3"/>
      <c r="N44" s="149"/>
      <c r="O44" s="3"/>
      <c r="P44" s="3"/>
      <c r="Q44" s="3"/>
      <c r="R44" s="3"/>
      <c r="S44" s="3"/>
      <c r="T44" s="3"/>
      <c r="U44" s="124"/>
    </row>
    <row r="45" spans="1:21" ht="19.5" customHeight="1">
      <c r="A45" s="90"/>
      <c r="B45" s="91"/>
      <c r="C45" s="95"/>
      <c r="D45" s="160"/>
      <c r="E45" s="91"/>
      <c r="F45" s="91"/>
      <c r="G45" s="149"/>
      <c r="H45" s="91"/>
      <c r="I45" s="91"/>
      <c r="J45" s="91"/>
      <c r="K45" s="91"/>
      <c r="L45" s="91"/>
      <c r="M45" s="91"/>
      <c r="N45" s="149"/>
      <c r="O45" s="91"/>
      <c r="P45" s="91"/>
      <c r="Q45" s="91"/>
      <c r="R45" s="91"/>
      <c r="S45" s="91"/>
      <c r="T45" s="91"/>
      <c r="U45" s="133"/>
    </row>
    <row r="46" spans="1:21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19.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19.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19.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19.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</sheetData>
  <sheetProtection algorithmName="SHA-512" hashValue="CQiL7RSJUHWug8GIKATDTViwj1vpFpwrp+Zxlhm88rD8WhPZM1ECGiTqVhdvHTBAyCgVQ1zfaxmucqvr3BdS6A==" saltValue="Q7I7ihKvr4PWsxQOb+iSBg==" spinCount="100000" sheet="1" objects="1" scenarios="1"/>
  <mergeCells count="3">
    <mergeCell ref="I4:M4"/>
    <mergeCell ref="O4:S4"/>
    <mergeCell ref="E5:F5"/>
  </mergeCells>
  <printOptions horizontalCentered="1"/>
  <pageMargins left="0.5" right="0.5" top="0.75" bottom="0.75" header="0" footer="0"/>
  <pageSetup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CCE71-762A-400E-AA89-310A96937CCF}">
  <sheetPr>
    <pageSetUpPr fitToPage="1"/>
  </sheetPr>
  <dimension ref="A1:Q980"/>
  <sheetViews>
    <sheetView showGridLines="0" workbookViewId="0">
      <selection activeCell="D8" sqref="D8"/>
    </sheetView>
  </sheetViews>
  <sheetFormatPr baseColWidth="10" defaultColWidth="12.6640625" defaultRowHeight="15" customHeight="1"/>
  <cols>
    <col min="1" max="1" width="3.6640625" customWidth="1"/>
    <col min="2" max="2" width="7.83203125" customWidth="1"/>
    <col min="3" max="3" width="16.83203125" customWidth="1"/>
    <col min="5" max="17" width="10.1640625" customWidth="1"/>
  </cols>
  <sheetData>
    <row r="1" spans="1:17" ht="19.5" customHeight="1">
      <c r="A1" s="14" t="s">
        <v>8</v>
      </c>
      <c r="B1" s="7" t="s">
        <v>205</v>
      </c>
      <c r="C1" s="15"/>
      <c r="D1" s="1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9.5" customHeight="1">
      <c r="A2" s="16"/>
      <c r="B2" s="16"/>
      <c r="C2" s="15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9.5" customHeight="1" thickBot="1">
      <c r="A3" s="191"/>
      <c r="B3" s="191"/>
      <c r="C3" s="192"/>
      <c r="D3" s="264" t="s">
        <v>223</v>
      </c>
      <c r="E3" s="289" t="s">
        <v>229</v>
      </c>
      <c r="F3" s="289" t="s">
        <v>230</v>
      </c>
      <c r="G3" s="289" t="s">
        <v>231</v>
      </c>
      <c r="H3" s="289" t="s">
        <v>232</v>
      </c>
      <c r="I3" s="289" t="s">
        <v>233</v>
      </c>
      <c r="J3" s="289" t="s">
        <v>234</v>
      </c>
      <c r="K3" s="289" t="s">
        <v>235</v>
      </c>
      <c r="L3" s="289" t="s">
        <v>236</v>
      </c>
      <c r="M3" s="289" t="s">
        <v>237</v>
      </c>
      <c r="N3" s="289" t="s">
        <v>238</v>
      </c>
      <c r="O3" s="289" t="s">
        <v>239</v>
      </c>
      <c r="P3" s="289" t="s">
        <v>240</v>
      </c>
      <c r="Q3" s="4"/>
    </row>
    <row r="4" spans="1:17" ht="19.5" customHeight="1">
      <c r="A4" s="16" t="s">
        <v>9</v>
      </c>
      <c r="B4" s="16"/>
      <c r="C4" s="17"/>
      <c r="D4" s="284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4"/>
    </row>
    <row r="5" spans="1:17" ht="19.5" customHeight="1">
      <c r="A5" s="16"/>
      <c r="B5" s="16" t="s">
        <v>241</v>
      </c>
      <c r="C5" s="17"/>
      <c r="D5" s="284">
        <f>SUM(E5:P6)</f>
        <v>500000</v>
      </c>
      <c r="E5" s="290"/>
      <c r="F5" s="290"/>
      <c r="G5" s="290">
        <v>50000</v>
      </c>
      <c r="H5" s="290">
        <v>50000</v>
      </c>
      <c r="I5" s="290">
        <v>50000</v>
      </c>
      <c r="J5" s="290">
        <v>50000</v>
      </c>
      <c r="K5" s="290">
        <v>50000</v>
      </c>
      <c r="L5" s="290">
        <v>50000</v>
      </c>
      <c r="M5" s="290">
        <v>50000</v>
      </c>
      <c r="N5" s="290">
        <v>50000</v>
      </c>
      <c r="O5" s="290">
        <v>50000</v>
      </c>
      <c r="P5" s="290">
        <v>50000</v>
      </c>
      <c r="Q5" s="4"/>
    </row>
    <row r="6" spans="1:17" ht="19.5" customHeight="1">
      <c r="A6" s="16"/>
      <c r="B6" s="16" t="s">
        <v>24</v>
      </c>
      <c r="C6" s="17"/>
      <c r="D6" s="284">
        <f t="shared" ref="D6:D8" si="0">SUM(E6:P7)</f>
        <v>0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4"/>
    </row>
    <row r="7" spans="1:17" ht="19.5" customHeight="1">
      <c r="A7" s="16"/>
      <c r="B7" s="16"/>
      <c r="C7" s="17"/>
      <c r="D7" s="284">
        <f t="shared" si="0"/>
        <v>500000</v>
      </c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4"/>
    </row>
    <row r="8" spans="1:17" ht="19.5" customHeight="1">
      <c r="A8" s="16"/>
      <c r="B8" s="16" t="s">
        <v>26</v>
      </c>
      <c r="C8" s="17"/>
      <c r="D8" s="284">
        <f t="shared" si="0"/>
        <v>500000</v>
      </c>
      <c r="E8" s="285">
        <f t="shared" ref="E8:P8" si="1">SUM(E5:E6)</f>
        <v>0</v>
      </c>
      <c r="F8" s="285">
        <f t="shared" si="1"/>
        <v>0</v>
      </c>
      <c r="G8" s="285">
        <f t="shared" si="1"/>
        <v>50000</v>
      </c>
      <c r="H8" s="285">
        <f t="shared" si="1"/>
        <v>50000</v>
      </c>
      <c r="I8" s="285">
        <f t="shared" si="1"/>
        <v>50000</v>
      </c>
      <c r="J8" s="285">
        <f t="shared" si="1"/>
        <v>50000</v>
      </c>
      <c r="K8" s="285">
        <f t="shared" si="1"/>
        <v>50000</v>
      </c>
      <c r="L8" s="285">
        <f t="shared" si="1"/>
        <v>50000</v>
      </c>
      <c r="M8" s="285">
        <f t="shared" si="1"/>
        <v>50000</v>
      </c>
      <c r="N8" s="285">
        <f t="shared" si="1"/>
        <v>50000</v>
      </c>
      <c r="O8" s="285">
        <f t="shared" si="1"/>
        <v>50000</v>
      </c>
      <c r="P8" s="285">
        <f t="shared" si="1"/>
        <v>50000</v>
      </c>
      <c r="Q8" s="4"/>
    </row>
    <row r="9" spans="1:17" ht="19.5" customHeight="1">
      <c r="A9" s="3"/>
      <c r="B9" s="3"/>
      <c r="C9" s="3"/>
      <c r="D9" s="28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4"/>
    </row>
    <row r="10" spans="1:17" ht="19.5" customHeight="1">
      <c r="A10" s="3" t="s">
        <v>27</v>
      </c>
      <c r="B10" s="3"/>
      <c r="C10" s="3"/>
      <c r="D10" s="28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4"/>
    </row>
    <row r="11" spans="1:17" ht="19.5" customHeight="1">
      <c r="A11" s="3"/>
      <c r="B11" s="16" t="s">
        <v>242</v>
      </c>
      <c r="C11" s="3"/>
      <c r="D11" s="284">
        <f>SUM(E11:P11)</f>
        <v>150000</v>
      </c>
      <c r="E11" s="290">
        <v>15000</v>
      </c>
      <c r="F11" s="290">
        <v>15000</v>
      </c>
      <c r="G11" s="290">
        <v>15000</v>
      </c>
      <c r="H11" s="290">
        <v>15000</v>
      </c>
      <c r="I11" s="290">
        <v>15000</v>
      </c>
      <c r="J11" s="290">
        <v>15000</v>
      </c>
      <c r="K11" s="290">
        <v>10000</v>
      </c>
      <c r="L11" s="290">
        <v>10000</v>
      </c>
      <c r="M11" s="290">
        <v>10000</v>
      </c>
      <c r="N11" s="290">
        <v>10000</v>
      </c>
      <c r="O11" s="290">
        <v>10000</v>
      </c>
      <c r="P11" s="290">
        <v>10000</v>
      </c>
      <c r="Q11" s="4"/>
    </row>
    <row r="12" spans="1:17" ht="19.5" customHeight="1">
      <c r="A12" s="3"/>
      <c r="B12" s="16" t="s">
        <v>243</v>
      </c>
      <c r="C12" s="3"/>
      <c r="D12" s="284">
        <f t="shared" ref="D12:D19" si="2">SUM(E12:P12)</f>
        <v>50000</v>
      </c>
      <c r="E12" s="290"/>
      <c r="F12" s="290"/>
      <c r="G12" s="290">
        <v>5000</v>
      </c>
      <c r="H12" s="290">
        <v>5000</v>
      </c>
      <c r="I12" s="290">
        <v>5000</v>
      </c>
      <c r="J12" s="290">
        <v>5000</v>
      </c>
      <c r="K12" s="290">
        <v>5000</v>
      </c>
      <c r="L12" s="290">
        <v>5000</v>
      </c>
      <c r="M12" s="290">
        <v>5000</v>
      </c>
      <c r="N12" s="290">
        <v>5000</v>
      </c>
      <c r="O12" s="290">
        <v>5000</v>
      </c>
      <c r="P12" s="290">
        <v>5000</v>
      </c>
      <c r="Q12" s="4"/>
    </row>
    <row r="13" spans="1:17" ht="19.5" customHeight="1">
      <c r="A13" s="3"/>
      <c r="B13" s="16" t="s">
        <v>227</v>
      </c>
      <c r="C13" s="3"/>
      <c r="D13" s="284">
        <f t="shared" si="2"/>
        <v>90000</v>
      </c>
      <c r="E13" s="290"/>
      <c r="F13" s="290"/>
      <c r="G13" s="290"/>
      <c r="H13" s="290"/>
      <c r="I13" s="290"/>
      <c r="J13" s="290"/>
      <c r="K13" s="290">
        <v>15000</v>
      </c>
      <c r="L13" s="290">
        <v>15000</v>
      </c>
      <c r="M13" s="290">
        <v>15000</v>
      </c>
      <c r="N13" s="290">
        <v>15000</v>
      </c>
      <c r="O13" s="290">
        <v>15000</v>
      </c>
      <c r="P13" s="290">
        <v>15000</v>
      </c>
      <c r="Q13" s="4"/>
    </row>
    <row r="14" spans="1:17" ht="19.5" customHeight="1">
      <c r="A14" s="3"/>
      <c r="B14" s="16" t="s">
        <v>146</v>
      </c>
      <c r="C14" s="3"/>
      <c r="D14" s="284">
        <f t="shared" si="2"/>
        <v>50000</v>
      </c>
      <c r="E14" s="290"/>
      <c r="F14" s="290"/>
      <c r="G14" s="290"/>
      <c r="H14" s="290"/>
      <c r="I14" s="290"/>
      <c r="J14" s="290"/>
      <c r="K14" s="290"/>
      <c r="L14" s="290"/>
      <c r="M14" s="290">
        <v>12500</v>
      </c>
      <c r="N14" s="290">
        <v>12500</v>
      </c>
      <c r="O14" s="290">
        <v>12500</v>
      </c>
      <c r="P14" s="290">
        <v>12500</v>
      </c>
      <c r="Q14" s="4"/>
    </row>
    <row r="15" spans="1:17" ht="19.5" customHeight="1">
      <c r="A15" s="3"/>
      <c r="B15" s="16" t="s">
        <v>244</v>
      </c>
      <c r="C15" s="3"/>
      <c r="D15" s="284">
        <f t="shared" si="2"/>
        <v>50000</v>
      </c>
      <c r="E15" s="290"/>
      <c r="F15" s="290"/>
      <c r="G15" s="290"/>
      <c r="H15" s="290"/>
      <c r="I15" s="290"/>
      <c r="J15" s="290"/>
      <c r="K15" s="290">
        <v>5000</v>
      </c>
      <c r="L15" s="290">
        <v>5000</v>
      </c>
      <c r="M15" s="290">
        <v>10000</v>
      </c>
      <c r="N15" s="290">
        <v>10000</v>
      </c>
      <c r="O15" s="290">
        <v>10000</v>
      </c>
      <c r="P15" s="290">
        <v>10000</v>
      </c>
      <c r="Q15" s="4"/>
    </row>
    <row r="16" spans="1:17" ht="19.5" customHeight="1">
      <c r="A16" s="3"/>
      <c r="B16" s="16" t="s">
        <v>36</v>
      </c>
      <c r="C16" s="3"/>
      <c r="D16" s="284">
        <f>SUM(E16:P16)</f>
        <v>100000</v>
      </c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>
        <v>25000</v>
      </c>
      <c r="P16" s="290">
        <v>75000</v>
      </c>
      <c r="Q16" s="4"/>
    </row>
    <row r="17" spans="1:17" ht="19.25" customHeight="1">
      <c r="A17" s="3"/>
      <c r="B17" s="16" t="s">
        <v>245</v>
      </c>
      <c r="C17" s="3"/>
      <c r="D17" s="284">
        <f t="shared" si="2"/>
        <v>0</v>
      </c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4"/>
    </row>
    <row r="18" spans="1:17" ht="19.5" customHeight="1">
      <c r="A18" s="3"/>
      <c r="B18" s="16" t="s">
        <v>245</v>
      </c>
      <c r="C18" s="3"/>
      <c r="D18" s="284">
        <f t="shared" si="2"/>
        <v>0</v>
      </c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4"/>
    </row>
    <row r="19" spans="1:17" ht="19.5" customHeight="1">
      <c r="A19" s="3"/>
      <c r="B19" s="16" t="s">
        <v>245</v>
      </c>
      <c r="C19" s="3"/>
      <c r="D19" s="284">
        <f t="shared" si="2"/>
        <v>0</v>
      </c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4"/>
    </row>
    <row r="20" spans="1:17" ht="19.5" customHeight="1">
      <c r="A20" s="3"/>
      <c r="B20" s="16"/>
      <c r="C20" s="3"/>
      <c r="D20" s="286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4"/>
    </row>
    <row r="21" spans="1:17" ht="19.5" customHeight="1">
      <c r="A21" s="3"/>
      <c r="B21" s="16" t="s">
        <v>37</v>
      </c>
      <c r="C21" s="17"/>
      <c r="D21" s="285">
        <f>SUM(D11:D19)</f>
        <v>490000</v>
      </c>
      <c r="E21" s="285">
        <f t="shared" ref="E21:P21" si="3">SUM(E11:E19)</f>
        <v>15000</v>
      </c>
      <c r="F21" s="285">
        <f t="shared" si="3"/>
        <v>15000</v>
      </c>
      <c r="G21" s="285">
        <f t="shared" si="3"/>
        <v>20000</v>
      </c>
      <c r="H21" s="285">
        <f t="shared" si="3"/>
        <v>20000</v>
      </c>
      <c r="I21" s="285">
        <f t="shared" si="3"/>
        <v>20000</v>
      </c>
      <c r="J21" s="285">
        <f t="shared" si="3"/>
        <v>20000</v>
      </c>
      <c r="K21" s="285">
        <f t="shared" si="3"/>
        <v>35000</v>
      </c>
      <c r="L21" s="285">
        <f t="shared" si="3"/>
        <v>35000</v>
      </c>
      <c r="M21" s="285">
        <f t="shared" si="3"/>
        <v>52500</v>
      </c>
      <c r="N21" s="285">
        <f t="shared" si="3"/>
        <v>52500</v>
      </c>
      <c r="O21" s="285">
        <f t="shared" si="3"/>
        <v>77500</v>
      </c>
      <c r="P21" s="285">
        <f t="shared" si="3"/>
        <v>127500</v>
      </c>
      <c r="Q21" s="4"/>
    </row>
    <row r="22" spans="1:17" ht="19.5" customHeight="1">
      <c r="A22" s="3"/>
      <c r="B22" s="3"/>
      <c r="C22" s="3"/>
      <c r="D22" s="280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4"/>
    </row>
    <row r="23" spans="1:17" ht="19.5" customHeight="1">
      <c r="A23" s="3"/>
      <c r="B23" s="16" t="s">
        <v>38</v>
      </c>
      <c r="C23" s="3"/>
      <c r="D23" s="287">
        <f>D8-D21</f>
        <v>10000</v>
      </c>
      <c r="E23" s="287">
        <f t="shared" ref="E23:P23" si="4">E8-E21</f>
        <v>-15000</v>
      </c>
      <c r="F23" s="287">
        <f t="shared" si="4"/>
        <v>-15000</v>
      </c>
      <c r="G23" s="287">
        <f t="shared" si="4"/>
        <v>30000</v>
      </c>
      <c r="H23" s="287">
        <f t="shared" si="4"/>
        <v>30000</v>
      </c>
      <c r="I23" s="287">
        <f t="shared" si="4"/>
        <v>30000</v>
      </c>
      <c r="J23" s="287">
        <f t="shared" si="4"/>
        <v>30000</v>
      </c>
      <c r="K23" s="287">
        <f t="shared" si="4"/>
        <v>15000</v>
      </c>
      <c r="L23" s="287">
        <f t="shared" si="4"/>
        <v>15000</v>
      </c>
      <c r="M23" s="287">
        <f t="shared" si="4"/>
        <v>-2500</v>
      </c>
      <c r="N23" s="287">
        <f t="shared" si="4"/>
        <v>-2500</v>
      </c>
      <c r="O23" s="287">
        <f t="shared" si="4"/>
        <v>-27500</v>
      </c>
      <c r="P23" s="287">
        <f t="shared" si="4"/>
        <v>-77500</v>
      </c>
      <c r="Q23" s="4"/>
    </row>
    <row r="24" spans="1:17" ht="19.5" customHeight="1">
      <c r="A24" s="3"/>
      <c r="B24" s="3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9.5" customHeight="1">
      <c r="A25" s="3"/>
      <c r="B25" s="16" t="s">
        <v>39</v>
      </c>
      <c r="C25" s="3"/>
      <c r="D25" s="25">
        <v>0</v>
      </c>
      <c r="E25" s="25">
        <v>0</v>
      </c>
      <c r="F25" s="25">
        <f t="shared" ref="F25:P25" si="5">E26</f>
        <v>-15000</v>
      </c>
      <c r="G25" s="25">
        <f t="shared" si="5"/>
        <v>-30000</v>
      </c>
      <c r="H25" s="25">
        <f t="shared" si="5"/>
        <v>0</v>
      </c>
      <c r="I25" s="25">
        <f t="shared" si="5"/>
        <v>30000</v>
      </c>
      <c r="J25" s="25">
        <f t="shared" si="5"/>
        <v>60000</v>
      </c>
      <c r="K25" s="25">
        <f t="shared" si="5"/>
        <v>90000</v>
      </c>
      <c r="L25" s="25">
        <f t="shared" si="5"/>
        <v>105000</v>
      </c>
      <c r="M25" s="25">
        <f t="shared" si="5"/>
        <v>120000</v>
      </c>
      <c r="N25" s="25">
        <f t="shared" si="5"/>
        <v>117500</v>
      </c>
      <c r="O25" s="25">
        <f t="shared" si="5"/>
        <v>115000</v>
      </c>
      <c r="P25" s="25">
        <f t="shared" si="5"/>
        <v>87500</v>
      </c>
      <c r="Q25" s="4"/>
    </row>
    <row r="26" spans="1:17" ht="19.5" customHeight="1">
      <c r="A26" s="3"/>
      <c r="B26" s="16" t="s">
        <v>40</v>
      </c>
      <c r="C26" s="3"/>
      <c r="D26" s="25">
        <f>P26</f>
        <v>10000</v>
      </c>
      <c r="E26" s="25">
        <f t="shared" ref="E26:P26" si="6">E25+E23</f>
        <v>-15000</v>
      </c>
      <c r="F26" s="25">
        <f t="shared" si="6"/>
        <v>-30000</v>
      </c>
      <c r="G26" s="25">
        <f t="shared" si="6"/>
        <v>0</v>
      </c>
      <c r="H26" s="25">
        <f t="shared" si="6"/>
        <v>30000</v>
      </c>
      <c r="I26" s="25">
        <f t="shared" si="6"/>
        <v>60000</v>
      </c>
      <c r="J26" s="25">
        <f t="shared" si="6"/>
        <v>90000</v>
      </c>
      <c r="K26" s="25">
        <f t="shared" si="6"/>
        <v>105000</v>
      </c>
      <c r="L26" s="25">
        <f t="shared" si="6"/>
        <v>120000</v>
      </c>
      <c r="M26" s="25">
        <f t="shared" si="6"/>
        <v>117500</v>
      </c>
      <c r="N26" s="25">
        <f t="shared" si="6"/>
        <v>115000</v>
      </c>
      <c r="O26" s="25">
        <f t="shared" si="6"/>
        <v>87500</v>
      </c>
      <c r="P26" s="25">
        <f t="shared" si="6"/>
        <v>10000</v>
      </c>
      <c r="Q26" s="4"/>
    </row>
    <row r="27" spans="1:1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9.5" customHeight="1">
      <c r="A32" s="4"/>
      <c r="B32" s="4" t="s">
        <v>211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9.5" customHeight="1" thickBot="1">
      <c r="A33" s="191"/>
      <c r="B33" s="171"/>
      <c r="C33" s="266"/>
      <c r="D33" s="264" t="s">
        <v>223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9.5" customHeight="1">
      <c r="A34" s="4"/>
      <c r="B34" s="267" t="s">
        <v>26</v>
      </c>
      <c r="C34" s="268"/>
      <c r="D34" s="265">
        <f>D8</f>
        <v>500000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9.5" customHeight="1">
      <c r="A35" s="4"/>
      <c r="B35" s="267" t="s">
        <v>37</v>
      </c>
      <c r="C35" s="268"/>
      <c r="D35" s="265">
        <f>D21</f>
        <v>490000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9.5" customHeight="1">
      <c r="A36" s="4"/>
      <c r="B36" s="267" t="s">
        <v>217</v>
      </c>
      <c r="C36" s="269"/>
      <c r="D36" s="265">
        <f>D34-D35</f>
        <v>10000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9.5" customHeight="1">
      <c r="A37" s="4"/>
      <c r="B37" s="267" t="s">
        <v>218</v>
      </c>
      <c r="C37" s="269"/>
      <c r="D37" s="265">
        <f>D36</f>
        <v>10000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17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7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17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17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</row>
    <row r="202" spans="1:17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 spans="1:17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7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</row>
    <row r="206" spans="1:17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 spans="1:1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7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</row>
    <row r="212" spans="1:17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 spans="1:17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17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1:17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1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17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 spans="1:17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17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spans="1:17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</row>
    <row r="234" spans="1:17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7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7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</row>
    <row r="242" spans="1:17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 spans="1:17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</row>
    <row r="244" spans="1:17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 spans="1:17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</row>
    <row r="248" spans="1:17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 spans="1:17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spans="1:17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 spans="1:17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1:17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</row>
    <row r="257" spans="1:1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</row>
    <row r="258" spans="1:17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 spans="1:17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</row>
    <row r="260" spans="1:17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7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 spans="1:17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</row>
    <row r="264" spans="1:17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 spans="1:17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</row>
    <row r="266" spans="1:17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7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 spans="1:17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</row>
    <row r="270" spans="1:17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 spans="1:17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</row>
    <row r="274" spans="1:17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 spans="1:17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spans="1:17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 spans="1:1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</row>
    <row r="278" spans="1:17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 spans="1:17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</row>
    <row r="280" spans="1:17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 spans="1:17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</row>
    <row r="282" spans="1:17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 spans="1:17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</row>
    <row r="284" spans="1:17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 spans="1:17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</row>
    <row r="286" spans="1:17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 spans="1:1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</row>
    <row r="288" spans="1:17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 spans="1:17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</row>
    <row r="290" spans="1:17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 spans="1:17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</row>
    <row r="296" spans="1:17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 spans="1:1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</row>
    <row r="298" spans="1:17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 spans="1:17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</row>
    <row r="300" spans="1:17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 spans="1:17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</row>
    <row r="302" spans="1:17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 spans="1:17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7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 spans="1:1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</row>
    <row r="310" spans="1:17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 spans="1:17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</row>
    <row r="312" spans="1:17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 spans="1:17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7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</row>
    <row r="316" spans="1:17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 spans="1: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</row>
    <row r="318" spans="1:17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pans="1:17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</row>
    <row r="320" spans="1:17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 spans="1:17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</row>
    <row r="322" spans="1:17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 spans="1:17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</row>
    <row r="324" spans="1:17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 spans="1:17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</row>
    <row r="326" spans="1:17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 spans="1:1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</row>
    <row r="328" spans="1:17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 spans="1:17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</row>
    <row r="330" spans="1:17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 spans="1:17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</row>
    <row r="332" spans="1:17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 spans="1:17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</row>
    <row r="334" spans="1:17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 spans="1:17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</row>
    <row r="336" spans="1:17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 spans="1:17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1:17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 spans="1:17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</row>
    <row r="344" spans="1:17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 spans="1:17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</row>
    <row r="346" spans="1:17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 spans="1:1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</row>
    <row r="348" spans="1:17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 spans="1:17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</row>
    <row r="350" spans="1:17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</row>
    <row r="351" spans="1:17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</row>
    <row r="352" spans="1:17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</row>
    <row r="353" spans="1:17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</row>
    <row r="354" spans="1:17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</row>
    <row r="355" spans="1:17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</row>
    <row r="356" spans="1:17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1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17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</row>
    <row r="359" spans="1:17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</row>
    <row r="360" spans="1:17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</row>
    <row r="361" spans="1:17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</row>
    <row r="362" spans="1:17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</row>
    <row r="363" spans="1:17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</row>
    <row r="364" spans="1:17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</row>
    <row r="365" spans="1:17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</row>
    <row r="366" spans="1:17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</row>
    <row r="367" spans="1:1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</row>
    <row r="368" spans="1:17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</row>
    <row r="369" spans="1:17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</row>
    <row r="370" spans="1:17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</row>
    <row r="371" spans="1:17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</row>
    <row r="372" spans="1:17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</row>
    <row r="373" spans="1:17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spans="1:17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</row>
    <row r="375" spans="1:17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</row>
    <row r="376" spans="1:17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</row>
    <row r="381" spans="1:17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</row>
    <row r="382" spans="1:17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</row>
    <row r="383" spans="1:17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</row>
    <row r="384" spans="1:17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</row>
    <row r="385" spans="1:17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</row>
    <row r="386" spans="1:17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</row>
    <row r="387" spans="1:1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</row>
    <row r="388" spans="1:17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</row>
    <row r="389" spans="1:17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</row>
    <row r="403" spans="1:17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</row>
    <row r="404" spans="1:17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</row>
    <row r="405" spans="1:17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</row>
    <row r="413" spans="1:17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</row>
    <row r="415" spans="1:17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</row>
    <row r="416" spans="1:17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</row>
    <row r="417" spans="1: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</row>
    <row r="418" spans="1:17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</row>
    <row r="419" spans="1:17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</row>
    <row r="420" spans="1:17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</row>
    <row r="421" spans="1:17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</row>
    <row r="422" spans="1:17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</row>
    <row r="423" spans="1:17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</row>
    <row r="424" spans="1:17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</row>
    <row r="425" spans="1:17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</row>
    <row r="426" spans="1:17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</row>
    <row r="427" spans="1:1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</row>
    <row r="428" spans="1:17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spans="1:17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</row>
    <row r="430" spans="1:17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</row>
    <row r="431" spans="1:17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</row>
    <row r="432" spans="1:17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</row>
    <row r="433" spans="1:17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</row>
    <row r="434" spans="1:17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</row>
    <row r="435" spans="1:17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</row>
    <row r="436" spans="1:17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</row>
    <row r="437" spans="1:1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</row>
    <row r="438" spans="1:17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</row>
    <row r="440" spans="1:17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</row>
    <row r="441" spans="1:17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</row>
    <row r="442" spans="1:17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</row>
    <row r="443" spans="1:17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</row>
    <row r="444" spans="1:17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</row>
    <row r="445" spans="1:17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</row>
    <row r="446" spans="1:17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spans="1:1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</row>
    <row r="448" spans="1:17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</row>
    <row r="449" spans="1:17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</row>
    <row r="450" spans="1:17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</row>
    <row r="451" spans="1:17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</row>
    <row r="452" spans="1:17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</row>
    <row r="453" spans="1:17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</row>
    <row r="454" spans="1:17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</row>
    <row r="455" spans="1:17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</row>
    <row r="456" spans="1:17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</row>
    <row r="457" spans="1:1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</row>
    <row r="458" spans="1:17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</row>
    <row r="459" spans="1:17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</row>
    <row r="460" spans="1:17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</row>
    <row r="461" spans="1:17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</row>
    <row r="462" spans="1:17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</row>
    <row r="463" spans="1:17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</row>
    <row r="464" spans="1:17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</row>
    <row r="465" spans="1:17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</row>
    <row r="466" spans="1:17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</row>
    <row r="467" spans="1:1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</row>
    <row r="468" spans="1:17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</row>
    <row r="469" spans="1:17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</row>
    <row r="470" spans="1:17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</row>
    <row r="471" spans="1:17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</row>
    <row r="472" spans="1:17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</row>
    <row r="473" spans="1:17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</row>
    <row r="474" spans="1:17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</row>
    <row r="475" spans="1:17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</row>
    <row r="476" spans="1:17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</row>
    <row r="477" spans="1:1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</row>
    <row r="478" spans="1:17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</row>
    <row r="479" spans="1:17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</row>
    <row r="480" spans="1:17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</row>
    <row r="481" spans="1:17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</row>
    <row r="482" spans="1:17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</row>
    <row r="483" spans="1:17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</row>
    <row r="484" spans="1:17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</row>
    <row r="485" spans="1:17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</row>
    <row r="486" spans="1:17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</row>
    <row r="487" spans="1:1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</row>
    <row r="488" spans="1:17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</row>
    <row r="489" spans="1:17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</row>
    <row r="490" spans="1:17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</row>
    <row r="491" spans="1:17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</row>
    <row r="492" spans="1:17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</row>
    <row r="493" spans="1:17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</row>
    <row r="494" spans="1:17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</row>
    <row r="495" spans="1:17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</row>
    <row r="496" spans="1:17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</row>
    <row r="497" spans="1:1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</row>
    <row r="498" spans="1:17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</row>
    <row r="499" spans="1:17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</row>
    <row r="500" spans="1:17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</row>
    <row r="501" spans="1:17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</row>
    <row r="502" spans="1:17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</row>
    <row r="503" spans="1:17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</row>
    <row r="504" spans="1:17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</row>
    <row r="505" spans="1:17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</row>
    <row r="506" spans="1:17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</row>
    <row r="507" spans="1:1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</row>
    <row r="508" spans="1:17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</row>
    <row r="509" spans="1:17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</row>
    <row r="510" spans="1:17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</row>
    <row r="511" spans="1:17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</row>
    <row r="512" spans="1:17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</row>
    <row r="513" spans="1:17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</row>
    <row r="514" spans="1:17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</row>
    <row r="515" spans="1:17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</row>
    <row r="516" spans="1:17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</row>
    <row r="517" spans="1: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</row>
    <row r="518" spans="1:17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</row>
    <row r="519" spans="1:17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</row>
    <row r="520" spans="1:17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</row>
    <row r="521" spans="1:17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</row>
    <row r="522" spans="1:17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</row>
    <row r="523" spans="1:17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</row>
    <row r="524" spans="1:17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</row>
    <row r="525" spans="1:17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</row>
    <row r="526" spans="1:17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</row>
    <row r="527" spans="1:1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</row>
    <row r="528" spans="1:17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</row>
    <row r="529" spans="1:17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</row>
    <row r="530" spans="1:17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</row>
    <row r="531" spans="1:17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</row>
    <row r="532" spans="1:17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</row>
    <row r="533" spans="1:17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</row>
    <row r="534" spans="1:17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</row>
    <row r="535" spans="1:17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</row>
    <row r="536" spans="1:17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</row>
    <row r="537" spans="1:1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</row>
    <row r="538" spans="1:17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</row>
    <row r="539" spans="1:17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</row>
    <row r="540" spans="1:17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</row>
    <row r="541" spans="1:17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</row>
    <row r="542" spans="1:17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</row>
    <row r="543" spans="1:17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</row>
    <row r="544" spans="1:17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</row>
    <row r="545" spans="1:17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</row>
    <row r="546" spans="1:17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</row>
    <row r="547" spans="1:1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</row>
    <row r="548" spans="1:17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</row>
    <row r="549" spans="1:17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</row>
    <row r="550" spans="1:17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</row>
    <row r="551" spans="1:17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</row>
    <row r="552" spans="1:17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</row>
    <row r="553" spans="1:17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</row>
    <row r="554" spans="1:17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</row>
    <row r="555" spans="1:17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</row>
    <row r="556" spans="1:17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</row>
    <row r="557" spans="1:1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</row>
    <row r="558" spans="1:17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</row>
    <row r="559" spans="1:17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</row>
    <row r="560" spans="1:17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</row>
    <row r="561" spans="1:17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</row>
    <row r="562" spans="1:17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</row>
    <row r="563" spans="1:17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</row>
    <row r="564" spans="1:17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</row>
    <row r="565" spans="1:17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</row>
    <row r="566" spans="1:17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</row>
    <row r="567" spans="1:1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</row>
    <row r="568" spans="1:17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</row>
    <row r="569" spans="1:17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</row>
    <row r="570" spans="1:17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</row>
    <row r="571" spans="1:17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</row>
    <row r="572" spans="1:17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</row>
    <row r="573" spans="1:17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</row>
    <row r="574" spans="1:17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</row>
    <row r="575" spans="1:17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</row>
    <row r="576" spans="1:17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</row>
    <row r="577" spans="1:1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</row>
    <row r="578" spans="1:17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</row>
    <row r="579" spans="1:17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</row>
    <row r="580" spans="1:17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</row>
    <row r="581" spans="1:17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</row>
    <row r="582" spans="1:17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</row>
    <row r="583" spans="1:17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</row>
    <row r="584" spans="1:17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</row>
    <row r="585" spans="1:17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</row>
    <row r="586" spans="1:17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</row>
    <row r="587" spans="1:1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</row>
    <row r="588" spans="1:17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</row>
    <row r="589" spans="1:17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</row>
    <row r="590" spans="1:17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</row>
    <row r="591" spans="1:17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</row>
    <row r="592" spans="1:17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</row>
    <row r="593" spans="1:17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</row>
    <row r="594" spans="1:17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spans="1:17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</row>
    <row r="596" spans="1:17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</row>
    <row r="597" spans="1:1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</row>
    <row r="598" spans="1:17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</row>
    <row r="599" spans="1:17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</row>
    <row r="600" spans="1:17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</row>
    <row r="601" spans="1:17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</row>
    <row r="602" spans="1:17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</row>
    <row r="603" spans="1:17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</row>
    <row r="604" spans="1:17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</row>
    <row r="605" spans="1:17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</row>
    <row r="606" spans="1:17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</row>
    <row r="607" spans="1:1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</row>
    <row r="608" spans="1:17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</row>
    <row r="609" spans="1:17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</row>
    <row r="610" spans="1:17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</row>
    <row r="611" spans="1:17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</row>
    <row r="612" spans="1:17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</row>
    <row r="613" spans="1:17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</row>
    <row r="614" spans="1:17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</row>
    <row r="615" spans="1:17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</row>
    <row r="616" spans="1:17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</row>
    <row r="617" spans="1: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</row>
    <row r="618" spans="1:17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</row>
    <row r="619" spans="1:17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</row>
    <row r="620" spans="1:17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</row>
    <row r="621" spans="1:17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</row>
    <row r="622" spans="1:17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</row>
    <row r="623" spans="1:17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</row>
    <row r="624" spans="1:17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</row>
    <row r="625" spans="1:17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</row>
    <row r="626" spans="1:17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</row>
    <row r="627" spans="1:1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</row>
    <row r="628" spans="1:17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</row>
    <row r="629" spans="1:17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</row>
    <row r="630" spans="1:17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</row>
    <row r="631" spans="1:17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</row>
    <row r="632" spans="1:17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</row>
    <row r="633" spans="1:17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</row>
    <row r="634" spans="1:17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</row>
    <row r="635" spans="1:17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</row>
    <row r="636" spans="1:17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</row>
    <row r="637" spans="1:1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</row>
    <row r="638" spans="1:17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</row>
    <row r="639" spans="1:17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</row>
    <row r="640" spans="1:17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</row>
    <row r="641" spans="1:17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</row>
    <row r="642" spans="1:17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</row>
    <row r="643" spans="1:17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</row>
    <row r="644" spans="1:17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</row>
    <row r="645" spans="1:17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</row>
    <row r="646" spans="1:17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</row>
    <row r="647" spans="1:1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</row>
    <row r="648" spans="1:17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</row>
    <row r="649" spans="1:17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</row>
    <row r="650" spans="1:17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</row>
    <row r="651" spans="1:17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</row>
    <row r="652" spans="1:17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</row>
    <row r="653" spans="1:17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</row>
    <row r="654" spans="1:17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</row>
    <row r="655" spans="1:17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</row>
    <row r="656" spans="1:17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</row>
    <row r="657" spans="1:1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</row>
    <row r="658" spans="1:17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</row>
    <row r="659" spans="1:17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</row>
    <row r="660" spans="1:17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</row>
    <row r="661" spans="1:17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</row>
    <row r="662" spans="1:17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</row>
    <row r="663" spans="1:17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</row>
    <row r="664" spans="1:17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</row>
    <row r="665" spans="1:17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</row>
    <row r="666" spans="1:17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</row>
    <row r="667" spans="1:1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</row>
    <row r="668" spans="1:17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</row>
    <row r="669" spans="1:17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</row>
    <row r="670" spans="1:17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</row>
    <row r="671" spans="1:17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</row>
    <row r="672" spans="1:17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</row>
    <row r="673" spans="1:17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</row>
    <row r="674" spans="1:17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</row>
    <row r="675" spans="1:17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</row>
    <row r="676" spans="1:17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</row>
    <row r="677" spans="1:1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</row>
    <row r="678" spans="1:17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</row>
    <row r="679" spans="1:17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</row>
    <row r="680" spans="1:17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</row>
    <row r="681" spans="1:17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</row>
    <row r="682" spans="1:17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</row>
    <row r="683" spans="1:17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</row>
    <row r="684" spans="1:17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</row>
    <row r="685" spans="1:17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</row>
    <row r="686" spans="1:17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</row>
    <row r="687" spans="1:1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</row>
    <row r="688" spans="1:17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</row>
    <row r="689" spans="1:17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</row>
    <row r="690" spans="1:17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</row>
    <row r="691" spans="1:17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</row>
    <row r="692" spans="1:17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</row>
    <row r="693" spans="1:17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</row>
    <row r="694" spans="1:17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</row>
    <row r="695" spans="1:17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</row>
    <row r="696" spans="1:17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</row>
    <row r="697" spans="1:1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</row>
    <row r="698" spans="1:17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</row>
    <row r="699" spans="1:17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</row>
    <row r="700" spans="1:17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</row>
    <row r="701" spans="1:17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</row>
    <row r="702" spans="1:17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</row>
    <row r="703" spans="1:17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</row>
    <row r="704" spans="1:17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</row>
    <row r="705" spans="1:17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</row>
    <row r="706" spans="1:17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</row>
    <row r="707" spans="1:1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</row>
    <row r="708" spans="1:17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</row>
    <row r="709" spans="1:17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</row>
    <row r="710" spans="1:17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</row>
    <row r="711" spans="1:17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</row>
    <row r="712" spans="1:17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</row>
    <row r="713" spans="1:17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</row>
    <row r="714" spans="1:17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</row>
    <row r="715" spans="1:17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</row>
    <row r="716" spans="1:17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</row>
    <row r="717" spans="1: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</row>
    <row r="718" spans="1:17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</row>
    <row r="719" spans="1:17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</row>
    <row r="720" spans="1:17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</row>
    <row r="721" spans="1:17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</row>
    <row r="722" spans="1:17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</row>
    <row r="723" spans="1:17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</row>
    <row r="724" spans="1:17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</row>
    <row r="725" spans="1:17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</row>
    <row r="726" spans="1:17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</row>
    <row r="727" spans="1:1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</row>
    <row r="728" spans="1:17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</row>
    <row r="729" spans="1:17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</row>
    <row r="730" spans="1:17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</row>
    <row r="731" spans="1:17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</row>
    <row r="732" spans="1:17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</row>
    <row r="733" spans="1:17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</row>
    <row r="734" spans="1:17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</row>
    <row r="735" spans="1:17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</row>
    <row r="736" spans="1:17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</row>
    <row r="737" spans="1:1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</row>
    <row r="738" spans="1:17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</row>
    <row r="739" spans="1:17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</row>
    <row r="740" spans="1:17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</row>
    <row r="741" spans="1:17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</row>
    <row r="742" spans="1:17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</row>
    <row r="743" spans="1:17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</row>
    <row r="744" spans="1:17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</row>
    <row r="745" spans="1:17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</row>
    <row r="746" spans="1:17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</row>
    <row r="747" spans="1:1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</row>
    <row r="748" spans="1:17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</row>
    <row r="749" spans="1:17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</row>
    <row r="750" spans="1:17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</row>
    <row r="751" spans="1:17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</row>
    <row r="752" spans="1:17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</row>
    <row r="753" spans="1:17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</row>
    <row r="754" spans="1:17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</row>
    <row r="755" spans="1:17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</row>
    <row r="756" spans="1:17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</row>
    <row r="757" spans="1:1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</row>
    <row r="758" spans="1:17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</row>
    <row r="759" spans="1:17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</row>
    <row r="760" spans="1:17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</row>
    <row r="761" spans="1:17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</row>
    <row r="762" spans="1:17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</row>
    <row r="763" spans="1:17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</row>
    <row r="764" spans="1:17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</row>
    <row r="765" spans="1:17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</row>
    <row r="766" spans="1:17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</row>
    <row r="767" spans="1:1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</row>
    <row r="768" spans="1:17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</row>
    <row r="769" spans="1:17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</row>
    <row r="770" spans="1:17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</row>
    <row r="771" spans="1:17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</row>
    <row r="772" spans="1:17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</row>
    <row r="773" spans="1:17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</row>
    <row r="774" spans="1:17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</row>
    <row r="775" spans="1:17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</row>
    <row r="776" spans="1:17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</row>
    <row r="777" spans="1:1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</row>
    <row r="778" spans="1:17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</row>
    <row r="779" spans="1:17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</row>
    <row r="780" spans="1:17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</row>
    <row r="781" spans="1:17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</row>
    <row r="782" spans="1:17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</row>
    <row r="783" spans="1:17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</row>
    <row r="784" spans="1:17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</row>
    <row r="785" spans="1:17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</row>
    <row r="786" spans="1:17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</row>
    <row r="787" spans="1:1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</row>
    <row r="788" spans="1:17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</row>
    <row r="789" spans="1:17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</row>
    <row r="790" spans="1:17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</row>
    <row r="791" spans="1:17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</row>
    <row r="792" spans="1:17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</row>
    <row r="793" spans="1:17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</row>
    <row r="794" spans="1:17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</row>
    <row r="795" spans="1:17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</row>
    <row r="796" spans="1:17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</row>
    <row r="797" spans="1:1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</row>
    <row r="798" spans="1:17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</row>
    <row r="799" spans="1:17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</row>
    <row r="800" spans="1:17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</row>
    <row r="801" spans="1:17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</row>
    <row r="802" spans="1:17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</row>
    <row r="803" spans="1:17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</row>
    <row r="804" spans="1:17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</row>
    <row r="805" spans="1:17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</row>
    <row r="806" spans="1:17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</row>
    <row r="807" spans="1:1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</row>
    <row r="808" spans="1:17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</row>
    <row r="809" spans="1:17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</row>
    <row r="810" spans="1:17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</row>
    <row r="811" spans="1:17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</row>
    <row r="812" spans="1:17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</row>
    <row r="813" spans="1:17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</row>
    <row r="814" spans="1:17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</row>
    <row r="815" spans="1:17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</row>
    <row r="816" spans="1:17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</row>
    <row r="817" spans="1: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</row>
    <row r="818" spans="1:17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</row>
    <row r="819" spans="1:17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</row>
    <row r="820" spans="1:17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</row>
    <row r="821" spans="1:17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</row>
    <row r="822" spans="1:17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</row>
    <row r="823" spans="1:17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</row>
    <row r="824" spans="1:17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</row>
    <row r="825" spans="1:17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</row>
    <row r="826" spans="1:17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</row>
    <row r="827" spans="1:1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</row>
    <row r="828" spans="1:17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</row>
    <row r="829" spans="1:17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</row>
    <row r="830" spans="1:17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</row>
    <row r="831" spans="1:17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</row>
    <row r="832" spans="1:17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</row>
    <row r="833" spans="1:17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</row>
    <row r="834" spans="1:17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</row>
    <row r="835" spans="1:17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</row>
    <row r="836" spans="1:17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</row>
    <row r="837" spans="1:1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</row>
    <row r="838" spans="1:17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</row>
    <row r="839" spans="1:17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</row>
    <row r="840" spans="1:17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</row>
    <row r="841" spans="1:17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</row>
    <row r="842" spans="1:17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</row>
    <row r="843" spans="1:17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</row>
    <row r="844" spans="1:17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</row>
    <row r="845" spans="1:17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</row>
    <row r="846" spans="1:17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</row>
    <row r="847" spans="1:1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</row>
    <row r="848" spans="1:17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</row>
    <row r="849" spans="1:17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</row>
    <row r="850" spans="1:17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</row>
    <row r="851" spans="1:17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</row>
    <row r="852" spans="1:17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</row>
    <row r="853" spans="1:17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</row>
    <row r="854" spans="1:17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</row>
    <row r="855" spans="1:17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</row>
    <row r="856" spans="1:17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</row>
    <row r="857" spans="1:1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</row>
    <row r="858" spans="1:17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</row>
    <row r="859" spans="1:17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</row>
    <row r="860" spans="1:17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</row>
    <row r="861" spans="1:17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</row>
    <row r="862" spans="1:17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</row>
    <row r="863" spans="1:17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</row>
    <row r="864" spans="1:17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</row>
    <row r="865" spans="1:17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</row>
    <row r="866" spans="1:17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</row>
    <row r="867" spans="1:1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</row>
    <row r="868" spans="1:17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</row>
    <row r="869" spans="1:17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</row>
    <row r="870" spans="1:17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</row>
    <row r="871" spans="1:17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</row>
    <row r="872" spans="1:17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</row>
    <row r="873" spans="1:17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</row>
    <row r="874" spans="1:17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</row>
    <row r="875" spans="1:17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</row>
    <row r="876" spans="1:17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</row>
    <row r="877" spans="1:1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</row>
    <row r="878" spans="1:17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</row>
    <row r="879" spans="1:17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</row>
    <row r="880" spans="1:17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</row>
    <row r="881" spans="1:17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</row>
    <row r="882" spans="1:17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</row>
    <row r="883" spans="1:17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</row>
    <row r="884" spans="1:17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</row>
    <row r="885" spans="1:17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</row>
    <row r="886" spans="1:17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</row>
    <row r="887" spans="1:1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</row>
    <row r="888" spans="1:17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</row>
    <row r="889" spans="1:17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</row>
    <row r="890" spans="1:17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</row>
    <row r="891" spans="1:17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</row>
    <row r="892" spans="1:17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</row>
    <row r="893" spans="1:17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</row>
    <row r="894" spans="1:17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</row>
    <row r="895" spans="1:17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</row>
    <row r="896" spans="1:17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</row>
    <row r="897" spans="1:1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</row>
    <row r="898" spans="1:17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</row>
    <row r="899" spans="1:17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</row>
    <row r="900" spans="1:17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</row>
    <row r="901" spans="1:17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</row>
    <row r="902" spans="1:17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</row>
    <row r="903" spans="1:17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</row>
    <row r="904" spans="1:17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</row>
    <row r="905" spans="1:17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</row>
    <row r="906" spans="1:17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</row>
    <row r="907" spans="1:1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</row>
    <row r="908" spans="1:17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</row>
    <row r="909" spans="1:17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</row>
    <row r="910" spans="1:17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</row>
    <row r="911" spans="1:17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</row>
    <row r="912" spans="1:17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</row>
    <row r="913" spans="1:17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</row>
    <row r="914" spans="1:17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</row>
    <row r="915" spans="1:17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</row>
    <row r="916" spans="1:17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</row>
    <row r="917" spans="1: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</row>
    <row r="918" spans="1:17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</row>
    <row r="919" spans="1:17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</row>
    <row r="920" spans="1:17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</row>
    <row r="921" spans="1:17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</row>
    <row r="922" spans="1:17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</row>
    <row r="923" spans="1:17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</row>
    <row r="924" spans="1:17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</row>
    <row r="925" spans="1:17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</row>
    <row r="926" spans="1:17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</row>
    <row r="927" spans="1:1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</row>
    <row r="928" spans="1:17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</row>
    <row r="929" spans="1:17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</row>
    <row r="930" spans="1:17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</row>
    <row r="931" spans="1:17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</row>
    <row r="932" spans="1:17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</row>
    <row r="933" spans="1:17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</row>
    <row r="934" spans="1:17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</row>
    <row r="935" spans="1:17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</row>
    <row r="936" spans="1:17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</row>
    <row r="937" spans="1:1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</row>
    <row r="938" spans="1:17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</row>
    <row r="939" spans="1:17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</row>
    <row r="940" spans="1:17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</row>
    <row r="941" spans="1:17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</row>
    <row r="942" spans="1:17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</row>
    <row r="943" spans="1:17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</row>
    <row r="944" spans="1:17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</row>
    <row r="945" spans="1:17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</row>
    <row r="946" spans="1:17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</row>
    <row r="947" spans="1:1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</row>
    <row r="948" spans="1:17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</row>
    <row r="949" spans="1:17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</row>
    <row r="950" spans="1:17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</row>
    <row r="951" spans="1:17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</row>
    <row r="952" spans="1:17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</row>
    <row r="953" spans="1:17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</row>
    <row r="954" spans="1:17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</row>
    <row r="955" spans="1:17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</row>
    <row r="956" spans="1:17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</row>
    <row r="957" spans="1:1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</row>
    <row r="958" spans="1:17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</row>
    <row r="959" spans="1:17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</row>
    <row r="960" spans="1:17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</row>
    <row r="961" spans="1:17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</row>
    <row r="962" spans="1:17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</row>
    <row r="963" spans="1:17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</row>
    <row r="964" spans="1:17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</row>
    <row r="965" spans="1:17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</row>
    <row r="966" spans="1:17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</row>
    <row r="967" spans="1:1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</row>
    <row r="968" spans="1:17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</row>
    <row r="969" spans="1:17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</row>
    <row r="970" spans="1:17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</row>
    <row r="971" spans="1:17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</row>
    <row r="972" spans="1:17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</row>
    <row r="973" spans="1:17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</row>
    <row r="974" spans="1:17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</row>
    <row r="975" spans="1:17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</row>
    <row r="976" spans="1:17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</row>
    <row r="977" spans="1:1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</row>
    <row r="978" spans="1:17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</row>
    <row r="979" spans="1:17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</row>
    <row r="980" spans="1:17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</row>
  </sheetData>
  <sheetProtection algorithmName="SHA-512" hashValue="IsGZFfoy7M5BNYeW8GnCrcEiJ5UBlUjJNU4Lu6BG4k1/UIwTj4O1IujjEnn2j1QeFfaCLlGTxIlYtsTLIHg3Og==" saltValue="wAKdX3Q5+EGAeBckDdlhuQ==" spinCount="100000" sheet="1" objects="1" scenarios="1"/>
  <phoneticPr fontId="21" type="noConversion"/>
  <conditionalFormatting sqref="B21:C21 B23 B25:B26">
    <cfRule type="cellIs" dxfId="1" priority="2" stopIfTrue="1" operator="lessThan">
      <formula>0</formula>
    </cfRule>
  </conditionalFormatting>
  <conditionalFormatting sqref="D5:D23 E8:P8 E21:P21 E23:P23">
    <cfRule type="cellIs" dxfId="0" priority="1" stopIfTrue="1" operator="equal">
      <formula>0</formula>
    </cfRule>
  </conditionalFormatting>
  <printOptions horizontalCentered="1"/>
  <pageMargins left="0.5" right="0.5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D36B-DF63-4961-9EBD-02BD287089E6}">
  <dimension ref="A1:O30"/>
  <sheetViews>
    <sheetView topLeftCell="A18" workbookViewId="0">
      <selection activeCell="D25" sqref="D25"/>
    </sheetView>
  </sheetViews>
  <sheetFormatPr baseColWidth="10" defaultColWidth="8.83203125" defaultRowHeight="13"/>
  <cols>
    <col min="1" max="1" width="25.6640625" style="253" customWidth="1"/>
    <col min="2" max="2" width="19.6640625" style="256" customWidth="1"/>
    <col min="3" max="3" width="20.83203125" style="256" bestFit="1" customWidth="1"/>
    <col min="4" max="5" width="20.1640625" style="256" customWidth="1"/>
    <col min="6" max="6" width="8.83203125" style="256" customWidth="1"/>
    <col min="7" max="7" width="16.83203125" style="256" customWidth="1"/>
    <col min="8" max="8" width="21.1640625" style="253" customWidth="1"/>
    <col min="9" max="9" width="14.33203125" style="253" bestFit="1" customWidth="1"/>
    <col min="10" max="14" width="8.83203125" style="253"/>
    <col min="15" max="15" width="11.1640625" style="253" customWidth="1"/>
    <col min="16" max="16384" width="8.83203125" style="253"/>
  </cols>
  <sheetData>
    <row r="1" spans="1:15">
      <c r="B1" s="254" t="s">
        <v>252</v>
      </c>
      <c r="C1" s="254"/>
      <c r="D1" s="346" t="s">
        <v>253</v>
      </c>
      <c r="E1" s="254"/>
      <c r="F1" s="255"/>
      <c r="G1" s="255"/>
      <c r="J1" s="255" t="s">
        <v>201</v>
      </c>
      <c r="K1" s="255"/>
      <c r="L1" s="255"/>
      <c r="M1" s="255"/>
      <c r="N1" s="255"/>
      <c r="O1" s="255"/>
    </row>
    <row r="2" spans="1:15">
      <c r="A2" s="253" t="s">
        <v>181</v>
      </c>
      <c r="B2" s="256" t="s">
        <v>182</v>
      </c>
      <c r="C2" s="256" t="s">
        <v>183</v>
      </c>
      <c r="D2" s="256" t="s">
        <v>184</v>
      </c>
      <c r="E2" s="256" t="s">
        <v>185</v>
      </c>
      <c r="F2" s="256" t="s">
        <v>186</v>
      </c>
      <c r="G2" s="256" t="s">
        <v>187</v>
      </c>
      <c r="J2" s="256" t="s">
        <v>182</v>
      </c>
      <c r="K2" s="256" t="s">
        <v>183</v>
      </c>
      <c r="L2" s="256" t="s">
        <v>184</v>
      </c>
      <c r="M2" s="256" t="s">
        <v>185</v>
      </c>
      <c r="N2" s="256" t="s">
        <v>186</v>
      </c>
      <c r="O2" s="256" t="s">
        <v>187</v>
      </c>
    </row>
    <row r="3" spans="1:15">
      <c r="A3" s="253" t="s">
        <v>188</v>
      </c>
      <c r="B3" s="257">
        <v>33.75</v>
      </c>
      <c r="C3" s="257">
        <v>3.75</v>
      </c>
      <c r="D3" s="261">
        <v>22261.360000000001</v>
      </c>
      <c r="E3" s="261">
        <v>50275.51</v>
      </c>
      <c r="F3" s="258">
        <v>0.25</v>
      </c>
      <c r="G3" s="263">
        <f t="shared" ref="G3:G12" si="0">(D3*F3)+(E3*0.1*F3)</f>
        <v>6822.22775</v>
      </c>
      <c r="J3" s="257">
        <f>J13*N$3</f>
        <v>33.75</v>
      </c>
      <c r="K3" s="257">
        <f t="shared" ref="K3:K12" si="1">$K$13*N3</f>
        <v>3.75</v>
      </c>
      <c r="L3" s="261">
        <v>22261.360000000001</v>
      </c>
      <c r="M3" s="261">
        <v>50275.51</v>
      </c>
      <c r="N3" s="258">
        <v>0.25</v>
      </c>
      <c r="O3" s="263">
        <f>(L3*N3)+(M3*0.1*N3)</f>
        <v>6822.22775</v>
      </c>
    </row>
    <row r="4" spans="1:15">
      <c r="A4" s="253" t="s">
        <v>195</v>
      </c>
      <c r="B4" s="257">
        <v>6.75</v>
      </c>
      <c r="C4" s="257">
        <v>0.75</v>
      </c>
      <c r="D4" s="261">
        <v>16967.080000000002</v>
      </c>
      <c r="E4" s="261">
        <v>43724.05</v>
      </c>
      <c r="F4" s="258">
        <v>0.1</v>
      </c>
      <c r="G4" s="263">
        <f t="shared" si="0"/>
        <v>2133.9485000000004</v>
      </c>
      <c r="H4" s="253" t="s">
        <v>219</v>
      </c>
      <c r="J4" s="257">
        <f>J13*N4</f>
        <v>6.75</v>
      </c>
      <c r="K4" s="257">
        <f t="shared" si="1"/>
        <v>0.75</v>
      </c>
      <c r="L4" s="261">
        <v>24326.73</v>
      </c>
      <c r="M4" s="261">
        <v>64701.54</v>
      </c>
      <c r="N4" s="258">
        <v>0.05</v>
      </c>
      <c r="O4" s="263">
        <f t="shared" ref="O4:O12" si="2">(L4*N4)+(M4*0.1*N4)</f>
        <v>1539.8442000000002</v>
      </c>
    </row>
    <row r="5" spans="1:15">
      <c r="A5" s="253" t="s">
        <v>190</v>
      </c>
      <c r="B5" s="257">
        <v>6.75</v>
      </c>
      <c r="C5" s="257">
        <v>0.75</v>
      </c>
      <c r="D5" s="261">
        <v>24326.73</v>
      </c>
      <c r="E5" s="261">
        <v>64701.54</v>
      </c>
      <c r="F5" s="258">
        <v>0.05</v>
      </c>
      <c r="G5" s="263">
        <f t="shared" si="0"/>
        <v>1539.8442000000002</v>
      </c>
      <c r="H5" s="253" t="s">
        <v>219</v>
      </c>
      <c r="J5" s="257">
        <f>J13*N5</f>
        <v>13.5</v>
      </c>
      <c r="K5" s="257">
        <f t="shared" si="1"/>
        <v>1.5</v>
      </c>
      <c r="L5" s="261">
        <v>15851.31</v>
      </c>
      <c r="M5" s="261">
        <v>38563.019999999997</v>
      </c>
      <c r="N5" s="258">
        <v>0.1</v>
      </c>
      <c r="O5" s="263">
        <f t="shared" si="2"/>
        <v>1970.7612000000001</v>
      </c>
    </row>
    <row r="6" spans="1:15">
      <c r="A6" s="253" t="s">
        <v>191</v>
      </c>
      <c r="B6" s="257">
        <v>6.75</v>
      </c>
      <c r="C6" s="257">
        <v>0.75</v>
      </c>
      <c r="D6" s="261">
        <v>16341.13</v>
      </c>
      <c r="E6" s="261">
        <v>49341.63</v>
      </c>
      <c r="F6" s="258">
        <v>0.05</v>
      </c>
      <c r="G6" s="263">
        <f t="shared" si="0"/>
        <v>1063.7646500000001</v>
      </c>
      <c r="H6" s="253" t="s">
        <v>219</v>
      </c>
      <c r="J6" s="257">
        <f>J13*N6</f>
        <v>6.75</v>
      </c>
      <c r="K6" s="257">
        <f t="shared" si="1"/>
        <v>0.75</v>
      </c>
      <c r="L6" s="261">
        <v>16967.080000000002</v>
      </c>
      <c r="M6" s="261">
        <v>43724.05</v>
      </c>
      <c r="N6" s="258">
        <v>0.05</v>
      </c>
      <c r="O6" s="263">
        <f t="shared" si="2"/>
        <v>1066.9742500000002</v>
      </c>
    </row>
    <row r="7" spans="1:15">
      <c r="A7" s="253" t="s">
        <v>220</v>
      </c>
      <c r="B7" s="257">
        <v>13.5</v>
      </c>
      <c r="C7" s="257">
        <v>1.5</v>
      </c>
      <c r="D7" s="261">
        <v>15851.31</v>
      </c>
      <c r="E7" s="261">
        <v>38563.019999999997</v>
      </c>
      <c r="F7" s="258">
        <v>0.05</v>
      </c>
      <c r="G7" s="263">
        <f t="shared" si="0"/>
        <v>985.38060000000007</v>
      </c>
      <c r="H7" s="253" t="s">
        <v>219</v>
      </c>
      <c r="J7" s="257">
        <f>J13*N7</f>
        <v>6.75</v>
      </c>
      <c r="K7" s="257">
        <f t="shared" si="1"/>
        <v>0.75</v>
      </c>
      <c r="L7" s="261">
        <v>16341.13</v>
      </c>
      <c r="M7" s="261">
        <v>49341.63</v>
      </c>
      <c r="N7" s="258">
        <v>0.05</v>
      </c>
      <c r="O7" s="263">
        <f t="shared" si="2"/>
        <v>1063.7646500000001</v>
      </c>
    </row>
    <row r="8" spans="1:15">
      <c r="A8" s="253" t="s">
        <v>193</v>
      </c>
      <c r="B8" s="257">
        <v>20.25</v>
      </c>
      <c r="C8" s="257">
        <v>2.25</v>
      </c>
      <c r="D8" s="261">
        <v>15000</v>
      </c>
      <c r="E8" s="261">
        <v>40000</v>
      </c>
      <c r="F8" s="258">
        <v>0.15</v>
      </c>
      <c r="G8" s="263">
        <f t="shared" si="0"/>
        <v>2850</v>
      </c>
      <c r="J8" s="257">
        <f>J13*N8</f>
        <v>13.5</v>
      </c>
      <c r="K8" s="257">
        <f t="shared" si="1"/>
        <v>1.5</v>
      </c>
      <c r="L8" s="261">
        <v>11353.06</v>
      </c>
      <c r="M8" s="261">
        <v>32993.550000000003</v>
      </c>
      <c r="N8" s="259">
        <v>0.1</v>
      </c>
      <c r="O8" s="263">
        <f t="shared" si="2"/>
        <v>1465.2415000000001</v>
      </c>
    </row>
    <row r="9" spans="1:15">
      <c r="A9" s="253" t="s">
        <v>194</v>
      </c>
      <c r="B9" s="257">
        <v>13.5</v>
      </c>
      <c r="C9" s="257">
        <v>1.5</v>
      </c>
      <c r="D9" s="261">
        <v>19878.27</v>
      </c>
      <c r="E9" s="261">
        <v>45609.11</v>
      </c>
      <c r="F9" s="258">
        <v>0.1</v>
      </c>
      <c r="G9" s="263">
        <f t="shared" si="0"/>
        <v>2443.9181000000003</v>
      </c>
      <c r="J9" s="257">
        <f>J13*N9</f>
        <v>13.5</v>
      </c>
      <c r="K9" s="257">
        <f t="shared" si="1"/>
        <v>1.5</v>
      </c>
      <c r="L9" s="261">
        <v>13345.35</v>
      </c>
      <c r="M9" s="261">
        <v>32908.089999999997</v>
      </c>
      <c r="N9" s="259">
        <v>0.1</v>
      </c>
      <c r="O9" s="263">
        <f t="shared" si="2"/>
        <v>1663.6159</v>
      </c>
    </row>
    <row r="10" spans="1:15">
      <c r="A10" s="253" t="s">
        <v>204</v>
      </c>
      <c r="B10" s="257">
        <v>13.5</v>
      </c>
      <c r="C10" s="257">
        <v>1.5</v>
      </c>
      <c r="D10" s="261">
        <v>13345.35</v>
      </c>
      <c r="E10" s="261">
        <v>32908.089999999997</v>
      </c>
      <c r="F10" s="258">
        <v>0.1</v>
      </c>
      <c r="G10" s="263">
        <f t="shared" si="0"/>
        <v>1663.6159</v>
      </c>
      <c r="J10" s="257">
        <f>J13*N10</f>
        <v>6.75</v>
      </c>
      <c r="K10" s="257">
        <f t="shared" si="1"/>
        <v>0.75</v>
      </c>
      <c r="L10" s="261">
        <v>14517.62</v>
      </c>
      <c r="M10" s="261">
        <v>38271.61</v>
      </c>
      <c r="N10" s="258">
        <v>0.05</v>
      </c>
      <c r="O10" s="263">
        <f t="shared" si="2"/>
        <v>917.23905000000013</v>
      </c>
    </row>
    <row r="11" spans="1:15">
      <c r="A11" s="253" t="s">
        <v>189</v>
      </c>
      <c r="B11" s="257">
        <v>13.5</v>
      </c>
      <c r="C11" s="257">
        <v>1.5</v>
      </c>
      <c r="D11" s="261">
        <v>11353.06</v>
      </c>
      <c r="E11" s="261">
        <v>32993.550000000003</v>
      </c>
      <c r="F11" s="258">
        <v>0.1</v>
      </c>
      <c r="G11" s="263">
        <f t="shared" si="0"/>
        <v>1465.2415000000001</v>
      </c>
      <c r="J11" s="257">
        <f>J13*N11</f>
        <v>20.25</v>
      </c>
      <c r="K11" s="257">
        <f t="shared" si="1"/>
        <v>2.25</v>
      </c>
      <c r="L11" s="261">
        <v>15000</v>
      </c>
      <c r="M11" s="261">
        <v>40000</v>
      </c>
      <c r="N11" s="258">
        <v>0.15</v>
      </c>
      <c r="O11" s="263">
        <f t="shared" si="2"/>
        <v>2850</v>
      </c>
    </row>
    <row r="12" spans="1:15">
      <c r="A12" s="253" t="s">
        <v>192</v>
      </c>
      <c r="B12" s="257">
        <v>6.75</v>
      </c>
      <c r="C12" s="257">
        <v>0.75</v>
      </c>
      <c r="D12" s="261">
        <v>14517.62</v>
      </c>
      <c r="E12" s="261">
        <v>38271.61</v>
      </c>
      <c r="F12" s="258">
        <v>0.05</v>
      </c>
      <c r="G12" s="263">
        <f t="shared" si="0"/>
        <v>917.23905000000013</v>
      </c>
      <c r="J12" s="257">
        <f>J13*N12</f>
        <v>13.5</v>
      </c>
      <c r="K12" s="257">
        <f t="shared" si="1"/>
        <v>1.5</v>
      </c>
      <c r="L12" s="261">
        <v>19878.27</v>
      </c>
      <c r="M12" s="261">
        <v>45609.11</v>
      </c>
      <c r="N12" s="258">
        <v>0.1</v>
      </c>
      <c r="O12" s="263">
        <f t="shared" si="2"/>
        <v>2443.9181000000003</v>
      </c>
    </row>
    <row r="13" spans="1:15">
      <c r="A13" s="253" t="s">
        <v>202</v>
      </c>
      <c r="B13" s="257">
        <f>SUM(B3:B12)</f>
        <v>135</v>
      </c>
      <c r="C13" s="257">
        <f>SUM(C3:C12)</f>
        <v>15</v>
      </c>
      <c r="D13" s="262">
        <f>MEDIAN(D3:D12)</f>
        <v>16096.22</v>
      </c>
      <c r="E13" s="262">
        <f>MEDIAN(E3:E12)</f>
        <v>41862.025000000001</v>
      </c>
      <c r="F13" s="260">
        <f>SUM(F3:F12)</f>
        <v>0.99999999999999989</v>
      </c>
      <c r="G13" s="263">
        <f>SUM(G3:G12)</f>
        <v>21885.180250000001</v>
      </c>
      <c r="J13" s="256">
        <v>135</v>
      </c>
      <c r="K13" s="256">
        <v>15</v>
      </c>
      <c r="L13" s="262">
        <f>MEDIAN(L3:L12)</f>
        <v>16096.22</v>
      </c>
      <c r="M13" s="262">
        <f>MEDIAN(M3:M12)</f>
        <v>41862.025000000001</v>
      </c>
      <c r="N13" s="260">
        <f>SUM(N3:N12)</f>
        <v>1</v>
      </c>
      <c r="O13" s="263">
        <f>SUM(O3:O12)</f>
        <v>21803.586600000002</v>
      </c>
    </row>
    <row r="14" spans="1:15">
      <c r="J14" s="256">
        <f>SUM(J3:J12)</f>
        <v>135</v>
      </c>
      <c r="K14" s="256">
        <f>SUM(K3:K12)</f>
        <v>15</v>
      </c>
      <c r="L14" s="256"/>
      <c r="M14" s="256"/>
      <c r="N14" s="256"/>
      <c r="O14" s="256"/>
    </row>
    <row r="16" spans="1:15" ht="30" customHeight="1">
      <c r="B16" s="254" t="s">
        <v>180</v>
      </c>
      <c r="C16" s="254"/>
      <c r="D16" s="254"/>
      <c r="E16" s="254"/>
      <c r="F16" s="254"/>
      <c r="G16" s="253"/>
    </row>
    <row r="17" spans="1:9" s="278" customFormat="1" ht="27.5" customHeight="1">
      <c r="A17" s="400" t="s">
        <v>255</v>
      </c>
      <c r="B17" s="401"/>
      <c r="C17" s="401"/>
      <c r="D17" s="402"/>
    </row>
    <row r="18" spans="1:9" s="278" customFormat="1" ht="43.75" customHeight="1">
      <c r="A18" s="278" t="s">
        <v>181</v>
      </c>
      <c r="B18" s="277" t="s">
        <v>184</v>
      </c>
      <c r="C18" s="277" t="s">
        <v>185</v>
      </c>
      <c r="D18" s="279" t="s">
        <v>221</v>
      </c>
    </row>
    <row r="19" spans="1:9" s="270" customFormat="1" ht="25.25" customHeight="1">
      <c r="A19" s="270" t="s">
        <v>188</v>
      </c>
      <c r="B19" s="271">
        <v>22261.360000000001</v>
      </c>
      <c r="C19" s="271">
        <v>50275.51</v>
      </c>
      <c r="D19" s="272">
        <v>0.25</v>
      </c>
    </row>
    <row r="20" spans="1:9" s="270" customFormat="1" ht="25.25" customHeight="1">
      <c r="A20" s="273" t="s">
        <v>195</v>
      </c>
      <c r="B20" s="380">
        <v>18662.52</v>
      </c>
      <c r="C20" s="380">
        <v>49500.58</v>
      </c>
      <c r="D20" s="272">
        <v>0.15</v>
      </c>
      <c r="G20" s="379">
        <v>18662.52</v>
      </c>
      <c r="H20" s="379">
        <v>49500.58</v>
      </c>
    </row>
    <row r="21" spans="1:9" s="270" customFormat="1" ht="25.25" customHeight="1">
      <c r="A21" s="273" t="s">
        <v>190</v>
      </c>
      <c r="B21" s="274">
        <v>24326.73</v>
      </c>
      <c r="C21" s="274">
        <v>64701.54</v>
      </c>
      <c r="D21" s="272">
        <v>0.05</v>
      </c>
      <c r="G21" s="274">
        <v>16967.080000000002</v>
      </c>
      <c r="H21" s="274">
        <v>43724.05</v>
      </c>
    </row>
    <row r="22" spans="1:9" s="270" customFormat="1" ht="25.25" customHeight="1">
      <c r="A22" s="273" t="s">
        <v>191</v>
      </c>
      <c r="B22" s="274">
        <v>16341.13</v>
      </c>
      <c r="C22" s="274">
        <v>49341.63</v>
      </c>
      <c r="D22" s="272">
        <v>0.05</v>
      </c>
    </row>
    <row r="23" spans="1:9" s="270" customFormat="1" ht="25.25" customHeight="1">
      <c r="A23" s="273" t="s">
        <v>220</v>
      </c>
      <c r="B23" s="274">
        <v>15851.31</v>
      </c>
      <c r="C23" s="274">
        <v>38563.019999999997</v>
      </c>
      <c r="D23" s="272">
        <v>0.05</v>
      </c>
    </row>
    <row r="24" spans="1:9" s="270" customFormat="1" ht="25.25" customHeight="1">
      <c r="A24" s="275" t="s">
        <v>193</v>
      </c>
      <c r="B24" s="381">
        <v>14949.26</v>
      </c>
      <c r="C24" s="381">
        <v>45572.959999999999</v>
      </c>
      <c r="D24" s="272">
        <v>0.15</v>
      </c>
      <c r="G24" s="276">
        <v>15000</v>
      </c>
      <c r="H24" s="276">
        <v>40000</v>
      </c>
    </row>
    <row r="25" spans="1:9" s="270" customFormat="1" ht="25.25" customHeight="1">
      <c r="A25" s="275" t="s">
        <v>194</v>
      </c>
      <c r="B25" s="276">
        <v>19878.27</v>
      </c>
      <c r="C25" s="276">
        <v>45609.11</v>
      </c>
      <c r="D25" s="272">
        <v>0.1</v>
      </c>
    </row>
    <row r="26" spans="1:9" s="270" customFormat="1" ht="25.25" customHeight="1">
      <c r="A26" s="275" t="s">
        <v>204</v>
      </c>
      <c r="B26" s="276">
        <v>13345.35</v>
      </c>
      <c r="C26" s="276">
        <v>32908.089999999997</v>
      </c>
      <c r="D26" s="272">
        <v>0.1</v>
      </c>
    </row>
    <row r="27" spans="1:9" s="270" customFormat="1" ht="25.25" customHeight="1">
      <c r="A27" s="275" t="s">
        <v>189</v>
      </c>
      <c r="B27" s="276">
        <v>11353.06</v>
      </c>
      <c r="C27" s="276">
        <v>32993.550000000003</v>
      </c>
      <c r="D27" s="272">
        <v>0.05</v>
      </c>
    </row>
    <row r="28" spans="1:9" s="270" customFormat="1" ht="25.25" customHeight="1">
      <c r="A28" s="275" t="s">
        <v>192</v>
      </c>
      <c r="B28" s="276">
        <v>14517.62</v>
      </c>
      <c r="C28" s="276">
        <v>38271.61</v>
      </c>
      <c r="D28" s="272">
        <v>0.05</v>
      </c>
    </row>
    <row r="29" spans="1:9" s="342" customFormat="1" ht="19.25" customHeight="1">
      <c r="A29" s="342" t="s">
        <v>256</v>
      </c>
      <c r="B29" s="343">
        <f>MEDIAN(B19:B28)</f>
        <v>16096.22</v>
      </c>
      <c r="C29" s="343">
        <f>MEDIAN(C19:C28)</f>
        <v>45591.035000000003</v>
      </c>
      <c r="D29" s="344">
        <f>SUM(D19:D28)</f>
        <v>1</v>
      </c>
    </row>
    <row r="30" spans="1:9">
      <c r="I30" s="283" t="e">
        <f>#REF!*0.16</f>
        <v>#REF!</v>
      </c>
    </row>
  </sheetData>
  <sheetProtection algorithmName="SHA-512" hashValue="Y3Oeez562Wk8rnitW3NypDLZ5xJRdF10eostrWX4esfYGgyUFvkPQSDBdGY+uni7QV8yORiHmImPmgXshr3HSw==" saltValue="6IfnlChAaElkDAf5BGYjZg==" spinCount="100000" sheet="1" objects="1" scenarios="1"/>
  <sortState xmlns:xlrd2="http://schemas.microsoft.com/office/spreadsheetml/2017/richdata2" ref="A8:G12">
    <sortCondition descending="1" ref="F8:F12"/>
    <sortCondition ref="A8:A12"/>
  </sortState>
  <mergeCells count="1">
    <mergeCell ref="A17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8C9996929954CA072735731FCAC44" ma:contentTypeVersion="21" ma:contentTypeDescription="Create a new document." ma:contentTypeScope="" ma:versionID="73311b6374b20a1f6b595dd2360a17a9">
  <xsd:schema xmlns:xsd="http://www.w3.org/2001/XMLSchema" xmlns:xs="http://www.w3.org/2001/XMLSchema" xmlns:p="http://schemas.microsoft.com/office/2006/metadata/properties" xmlns:ns1="http://schemas.microsoft.com/sharepoint/v3" xmlns:ns2="386926b9-2741-4cc4-bca1-df5bd771240a" xmlns:ns3="7581595d-0f70-41b0-954e-44496eecd64e" xmlns:ns4="fa33b3b0-b2ca-468c-87b2-f766c271e15a" targetNamespace="http://schemas.microsoft.com/office/2006/metadata/properties" ma:root="true" ma:fieldsID="74946a29aa956d60b89d0410c3a2cd96" ns1:_="" ns2:_="" ns3:_="" ns4:_="">
    <xsd:import namespace="http://schemas.microsoft.com/sharepoint/v3"/>
    <xsd:import namespace="386926b9-2741-4cc4-bca1-df5bd771240a"/>
    <xsd:import namespace="7581595d-0f70-41b0-954e-44496eecd64e"/>
    <xsd:import namespace="fa33b3b0-b2ca-468c-87b2-f766c271e1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926b9-2741-4cc4-bca1-df5bd7712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9e5119c-7625-415c-aac6-b73c57922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1595d-0f70-41b0-954e-44496eecd6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3b3b0-b2ca-468c-87b2-f766c271e15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82160f1-896f-4414-9760-87820230b777}" ma:internalName="TaxCatchAll" ma:showField="CatchAllData" ma:web="fa33b3b0-b2ca-468c-87b2-f766c271e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33b3b0-b2ca-468c-87b2-f766c271e15a" xsi:nil="true"/>
    <lcf76f155ced4ddcb4097134ff3c332f xmlns="386926b9-2741-4cc4-bca1-df5bd771240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SharedWithUsers xmlns="7581595d-0f70-41b0-954e-44496eecd64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D671E4A-114A-496C-9FE3-02C5BF135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86926b9-2741-4cc4-bca1-df5bd771240a"/>
    <ds:schemaRef ds:uri="7581595d-0f70-41b0-954e-44496eecd64e"/>
    <ds:schemaRef ds:uri="fa33b3b0-b2ca-468c-87b2-f766c271e1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5EBEB1-6801-42DE-9706-B857BE532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8B5F0-1C95-467E-8214-6C7BF8F6654D}">
  <ds:schemaRefs>
    <ds:schemaRef ds:uri="http://schemas.microsoft.com/office/2006/metadata/properties"/>
    <ds:schemaRef ds:uri="http://schemas.microsoft.com/office/infopath/2007/PartnerControls"/>
    <ds:schemaRef ds:uri="a82cf199-375e-420b-9f89-1e8772490064"/>
    <ds:schemaRef ds:uri="21b7e325-8c7f-4364-a840-3b391dd18a10"/>
    <ds:schemaRef ds:uri="fa33b3b0-b2ca-468c-87b2-f766c271e15a"/>
    <ds:schemaRef ds:uri="386926b9-2741-4cc4-bca1-df5bd771240a"/>
    <ds:schemaRef ds:uri="http://schemas.microsoft.com/sharepoint/v3"/>
    <ds:schemaRef ds:uri="7581595d-0f70-41b0-954e-44496eecd6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5 YR PRO FORMA</vt:lpstr>
      <vt:lpstr>REVENUES</vt:lpstr>
      <vt:lpstr>EXPENSES</vt:lpstr>
      <vt:lpstr>Enrollment and Staffing</vt:lpstr>
      <vt:lpstr>Students</vt:lpstr>
      <vt:lpstr>Personnel</vt:lpstr>
      <vt:lpstr>Planning Year Budget</vt:lpstr>
      <vt:lpstr>District Funding</vt:lpstr>
      <vt:lpstr>Students by District</vt:lpstr>
      <vt:lpstr>Loan Amortization</vt:lpstr>
      <vt:lpstr>Facilities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justin@charterchoices.com</dc:creator>
  <cp:keywords/>
  <dc:description/>
  <cp:lastModifiedBy>DeVecchis, Megan</cp:lastModifiedBy>
  <cp:revision/>
  <dcterms:created xsi:type="dcterms:W3CDTF">2011-09-22T12:20:21Z</dcterms:created>
  <dcterms:modified xsi:type="dcterms:W3CDTF">2025-11-25T20:07:44Z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0x0101009E58C9996929954CA072735731FCAC44</vt:lpwstr>
  </property>
  <property fmtid="{D5CDD505-2E9C-101B-9397-08002B2CF9AE}" pid="3" name="Order">
    <vt:r8>4700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