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baca\Documents\BUDGET - FY26\"/>
    </mc:Choice>
  </mc:AlternateContent>
  <xr:revisionPtr revIDLastSave="0" documentId="13_ncr:1_{0047016F-B3A5-4C93-BDB4-A9CA4536A8F3}" xr6:coauthVersionLast="36" xr6:coauthVersionMax="47" xr10:uidLastSave="{00000000-0000-0000-0000-000000000000}"/>
  <workbookProtection workbookAlgorithmName="SHA-512" workbookHashValue="HXJyPVtNkn4ZiaaayAlf9Z1JQ57DfX6uJuGpahzosEFARTTFtXat8gA425+9P7pWl6XxNgI9UHFX4blRboYgKQ==" workbookSaltValue="TVqf/98ezvIbQweIH0BTpQ==" workbookSpinCount="100000" lockStructure="1"/>
  <bookViews>
    <workbookView xWindow="0" yWindow="0" windowWidth="38400" windowHeight="11625" xr2:uid="{00000000-000D-0000-FFFF-FFFF00000000}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Notice!$A$1:$L$136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</workbook>
</file>

<file path=xl/calcChain.xml><?xml version="1.0" encoding="utf-8"?>
<calcChain xmlns="http://schemas.openxmlformats.org/spreadsheetml/2006/main">
  <c r="F80" i="2" l="1"/>
  <c r="D80" i="2"/>
  <c r="F78" i="2"/>
  <c r="D78" i="2"/>
  <c r="F77" i="2"/>
  <c r="D77" i="2"/>
  <c r="F76" i="2"/>
  <c r="D76" i="2"/>
  <c r="F75" i="2"/>
  <c r="D75" i="2"/>
  <c r="F73" i="2"/>
  <c r="D73" i="2"/>
  <c r="F72" i="2"/>
  <c r="D72" i="2"/>
  <c r="F71" i="2"/>
  <c r="D71" i="2"/>
  <c r="F70" i="2"/>
  <c r="D70" i="2"/>
  <c r="F69" i="2"/>
  <c r="D69" i="2"/>
  <c r="F67" i="2"/>
  <c r="D67" i="2"/>
  <c r="F65" i="2"/>
  <c r="D65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4" i="2"/>
  <c r="D54" i="2"/>
  <c r="F52" i="2"/>
  <c r="D52" i="2"/>
  <c r="I136" i="2"/>
  <c r="F136" i="2"/>
  <c r="E136" i="2"/>
  <c r="D136" i="2"/>
  <c r="I135" i="2"/>
  <c r="F135" i="2"/>
  <c r="E135" i="2"/>
  <c r="D135" i="2"/>
  <c r="I132" i="2"/>
  <c r="F132" i="2"/>
  <c r="E132" i="2"/>
  <c r="D132" i="2"/>
  <c r="I131" i="2"/>
  <c r="F131" i="2"/>
  <c r="E131" i="2"/>
  <c r="D131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6" i="2"/>
  <c r="F126" i="2"/>
  <c r="E126" i="2"/>
  <c r="D126" i="2"/>
  <c r="I125" i="2"/>
  <c r="F125" i="2"/>
  <c r="E125" i="2"/>
  <c r="D125" i="2"/>
  <c r="I124" i="2"/>
  <c r="F124" i="2"/>
  <c r="E124" i="2"/>
  <c r="D124" i="2"/>
  <c r="I123" i="2"/>
  <c r="F123" i="2"/>
  <c r="E123" i="2"/>
  <c r="D123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H80" i="2"/>
  <c r="E80" i="2"/>
  <c r="H78" i="2"/>
  <c r="E78" i="2"/>
  <c r="H77" i="2"/>
  <c r="E77" i="2"/>
  <c r="H76" i="2"/>
  <c r="E76" i="2"/>
  <c r="H75" i="2"/>
  <c r="E75" i="2"/>
  <c r="H73" i="2"/>
  <c r="E73" i="2"/>
  <c r="H72" i="2"/>
  <c r="E72" i="2"/>
  <c r="H71" i="2"/>
  <c r="E71" i="2"/>
  <c r="H70" i="2"/>
  <c r="E70" i="2"/>
  <c r="H69" i="2"/>
  <c r="E69" i="2"/>
  <c r="H67" i="2"/>
  <c r="E67" i="2"/>
  <c r="H65" i="2"/>
  <c r="E65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4" i="2"/>
  <c r="E54" i="2"/>
  <c r="H52" i="2"/>
  <c r="E52" i="2"/>
  <c r="E44" i="2"/>
  <c r="C44" i="2"/>
  <c r="E43" i="2"/>
  <c r="C43" i="2"/>
  <c r="E42" i="2"/>
  <c r="C42" i="2"/>
  <c r="E37" i="2"/>
  <c r="D37" i="2"/>
  <c r="F35" i="2"/>
  <c r="E34" i="2"/>
  <c r="D34" i="2"/>
  <c r="E32" i="2"/>
  <c r="D32" i="2"/>
  <c r="C32" i="2"/>
  <c r="K33" i="2"/>
  <c r="K32" i="2"/>
  <c r="K31" i="2"/>
  <c r="K30" i="2"/>
  <c r="K22" i="2"/>
  <c r="J1" i="2"/>
  <c r="C1" i="2"/>
  <c r="J82" i="2"/>
  <c r="E105" i="2" l="1"/>
  <c r="E97" i="2"/>
  <c r="J57" i="2"/>
  <c r="I54" i="2"/>
  <c r="D44" i="2" a="1"/>
  <c r="D44" i="2" s="1"/>
  <c r="D43" i="2" a="1"/>
  <c r="D43" i="2" s="1"/>
  <c r="D42" i="2" a="1"/>
  <c r="D42" i="2" s="1"/>
  <c r="D24" i="2"/>
  <c r="K21" i="2"/>
  <c r="I59" i="2" l="1"/>
  <c r="A3" i="2"/>
  <c r="I61" i="2"/>
  <c r="J54" i="2"/>
  <c r="K54" i="2" s="1"/>
  <c r="E93" i="2"/>
  <c r="E94" i="2"/>
  <c r="E104" i="2"/>
  <c r="I60" i="2"/>
  <c r="I72" i="2"/>
  <c r="I75" i="2"/>
  <c r="I77" i="2"/>
  <c r="I80" i="2"/>
  <c r="H74" i="2"/>
  <c r="J75" i="2"/>
  <c r="J77" i="2"/>
  <c r="J80" i="2"/>
  <c r="I58" i="2"/>
  <c r="E91" i="2"/>
  <c r="F91" i="2" s="1"/>
  <c r="E95" i="2"/>
  <c r="I69" i="2"/>
  <c r="I78" i="2"/>
  <c r="F100" i="2"/>
  <c r="J70" i="2"/>
  <c r="E92" i="2"/>
  <c r="F97" i="2"/>
  <c r="E101" i="2"/>
  <c r="F101" i="2" s="1"/>
  <c r="D74" i="2"/>
  <c r="J63" i="2"/>
  <c r="I73" i="2"/>
  <c r="J56" i="2"/>
  <c r="J60" i="2"/>
  <c r="I62" i="2"/>
  <c r="I65" i="2"/>
  <c r="I71" i="2"/>
  <c r="J71" i="2"/>
  <c r="J76" i="2"/>
  <c r="J78" i="2"/>
  <c r="F99" i="2"/>
  <c r="I57" i="2"/>
  <c r="K57" i="2" s="1"/>
  <c r="J61" i="2"/>
  <c r="J69" i="2"/>
  <c r="E96" i="2"/>
  <c r="F96" i="2" s="1"/>
  <c r="E99" i="2"/>
  <c r="E106" i="2"/>
  <c r="F106" i="2" s="1"/>
  <c r="E64" i="2"/>
  <c r="I56" i="2"/>
  <c r="K56" i="2" s="1"/>
  <c r="J67" i="2"/>
  <c r="I70" i="2"/>
  <c r="J73" i="2"/>
  <c r="I76" i="2"/>
  <c r="F93" i="2"/>
  <c r="E100" i="2"/>
  <c r="E103" i="2"/>
  <c r="F103" i="2" s="1"/>
  <c r="J59" i="2"/>
  <c r="I63" i="2"/>
  <c r="F64" i="2"/>
  <c r="F94" i="2"/>
  <c r="F104" i="2"/>
  <c r="D64" i="2"/>
  <c r="H64" i="2"/>
  <c r="J62" i="2"/>
  <c r="I52" i="2"/>
  <c r="J58" i="2"/>
  <c r="J65" i="2"/>
  <c r="J72" i="2"/>
  <c r="F92" i="2"/>
  <c r="F95" i="2"/>
  <c r="F105" i="2"/>
  <c r="F74" i="2"/>
  <c r="A21" i="2"/>
  <c r="J52" i="2"/>
  <c r="A24" i="2"/>
  <c r="I67" i="2"/>
  <c r="E74" i="2"/>
  <c r="E98" i="2"/>
  <c r="F98" i="2" s="1"/>
  <c r="E102" i="2"/>
  <c r="F102" i="2" s="1"/>
  <c r="K61" i="2" l="1"/>
  <c r="E81" i="2"/>
  <c r="E83" i="2" s="1"/>
  <c r="K59" i="2"/>
  <c r="K67" i="2"/>
  <c r="K60" i="2"/>
  <c r="K75" i="2"/>
  <c r="K78" i="2"/>
  <c r="K76" i="2"/>
  <c r="K80" i="2"/>
  <c r="K77" i="2"/>
  <c r="K58" i="2"/>
  <c r="K70" i="2"/>
  <c r="K69" i="2"/>
  <c r="K62" i="2"/>
  <c r="K71" i="2"/>
  <c r="H81" i="2"/>
  <c r="H83" i="2" s="1"/>
  <c r="K65" i="2"/>
  <c r="D81" i="2"/>
  <c r="D83" i="2" s="1"/>
  <c r="F81" i="2"/>
  <c r="F83" i="2" s="1"/>
  <c r="K63" i="2"/>
  <c r="K73" i="2"/>
  <c r="J74" i="2"/>
  <c r="I64" i="2"/>
  <c r="J64" i="2"/>
  <c r="K72" i="2"/>
  <c r="I74" i="2"/>
  <c r="K52" i="2"/>
  <c r="K74" i="2" l="1"/>
  <c r="J81" i="2"/>
  <c r="J83" i="2" s="1"/>
  <c r="K64" i="2"/>
  <c r="I81" i="2"/>
  <c r="K81" i="2" l="1"/>
  <c r="I83" i="2"/>
  <c r="K83" i="2" s="1"/>
</calcChain>
</file>

<file path=xl/sharedStrings.xml><?xml version="1.0" encoding="utf-8"?>
<sst xmlns="http://schemas.openxmlformats.org/spreadsheetml/2006/main" count="193" uniqueCount="154">
  <si>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</si>
  <si>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</si>
  <si>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</si>
  <si>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</si>
  <si>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</si>
  <si>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</si>
  <si>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</si>
  <si>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</si>
  <si>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</si>
  <si>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</si>
  <si>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</si>
  <si>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</si>
  <si>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</si>
  <si>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</si>
  <si>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</si>
  <si>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</si>
  <si>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</si>
  <si>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</si>
  <si>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</si>
  <si>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</si>
  <si>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</si>
  <si>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</si>
  <si>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</si>
  <si>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</si>
  <si>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</si>
  <si>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</si>
  <si>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</si>
  <si>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</si>
  <si>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</si>
  <si>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</si>
  <si>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</si>
  <si>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</si>
  <si>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</si>
  <si>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</si>
  <si>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</si>
  <si>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</si>
  <si>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</si>
  <si>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</si>
  <si>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</si>
  <si>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</si>
  <si>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</si>
  <si>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</si>
  <si>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</si>
  <si>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</si>
  <si>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</si>
  <si>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</si>
  <si>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</si>
  <si>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</si>
  <si>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</si>
  <si>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</si>
  <si>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</si>
  <si>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</si>
  <si>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</si>
  <si>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</si>
  <si>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</si>
  <si>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</si>
  <si>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</si>
  <si>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</si>
  <si>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</si>
  <si>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</si>
  <si>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</si>
  <si>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</si>
  <si>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</si>
  <si>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</si>
  <si>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</si>
  <si>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</si>
  <si>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</si>
  <si>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</si>
  <si>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</si>
  <si>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</si>
  <si>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</si>
  <si>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</si>
  <si>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</si>
  <si>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</si>
  <si>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</si>
  <si>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</si>
  <si>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</si>
  <si>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</si>
  <si>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</si>
  <si>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</si>
  <si>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</si>
  <si>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</si>
  <si>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</si>
  <si>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</si>
  <si>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</si>
  <si>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</si>
  <si>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</si>
  <si>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</si>
  <si>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</si>
  <si>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</si>
  <si>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</si>
  <si>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</si>
  <si>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</si>
  <si>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</si>
  <si>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</si>
  <si>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</si>
  <si>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</si>
  <si>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</si>
  <si>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</si>
  <si>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</si>
  <si>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</si>
  <si>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</si>
  <si>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</si>
  <si>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</si>
  <si>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</si>
  <si>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</si>
  <si>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</si>
  <si>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</si>
  <si>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</si>
  <si>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</si>
  <si>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</si>
  <si>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</si>
  <si>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</si>
  <si>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</si>
  <si>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</si>
  <si>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</si>
  <si>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</si>
  <si>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</si>
  <si>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</si>
  <si>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</si>
  <si>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</si>
  <si>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</si>
  <si>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</si>
  <si>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</si>
  <si>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</si>
  <si>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</si>
  <si>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</si>
  <si>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</si>
  <si>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</si>
  <si>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</si>
  <si>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t>2024 ADM</t>
  </si>
  <si>
    <t>2025 ADM</t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</si>
  <si>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revise</t>
    </r>
    <r>
      <rPr>
        <sz val="10"/>
        <color theme="0"/>
        <rFont val="Arial"/>
        <family val="2"/>
      </rPr>
      <t xml:space="preserve"> its Fiscal Year 2026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</si>
  <si>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theme="0"/>
        <rFont val="Arial"/>
        <family val="2"/>
      </rPr>
      <t>adopt</t>
    </r>
    <r>
      <rPr>
        <sz val="10"/>
        <color theme="0"/>
        <rFont val="Arial"/>
        <family val="2"/>
      </rPr>
      <t xml:space="preserve"> its Fiscal Year 2026 Expenditure Budget.</t>
    </r>
  </si>
  <si>
    <t>County for fiscal year 2026 was officially</t>
  </si>
  <si>
    <t>, 2025, and that the complete Revised Expenditure Budget may be reviewed by contacting</t>
  </si>
  <si>
    <t>, 2025, and that the complete Proposed Expenditure Budget may be reviewed by contacting</t>
  </si>
  <si>
    <t>2026 ADM</t>
  </si>
  <si>
    <t>1. Average salary of all teachers employed in FY 2026 (budget year)</t>
  </si>
  <si>
    <t>2. Average salary of all teachers employed in FY 2025 (prior year)</t>
  </si>
  <si>
    <t>Carryforward</t>
  </si>
  <si>
    <t>Maintained for spending after FY 2026 (Planned carryforward)</t>
  </si>
  <si>
    <t>TOTAL BUDGET LIMIT EXPENDITURES</t>
  </si>
  <si>
    <t>I40 &amp; Hwy 191</t>
  </si>
  <si>
    <t>Administration</t>
  </si>
  <si>
    <t>Sanders</t>
  </si>
  <si>
    <t>Barbara Baca</t>
  </si>
  <si>
    <t>barbarabaca@sandersusd.net</t>
  </si>
  <si>
    <t xml:space="preserve">(855) 678-7873 </t>
  </si>
  <si>
    <t>Preliminary Budget which will be revised after the Governor approves a State Budget for School Districts.</t>
  </si>
  <si>
    <t>Sanders Unified</t>
  </si>
  <si>
    <t>Apache</t>
  </si>
  <si>
    <t>June 20</t>
  </si>
  <si>
    <t>(855) 678-7873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</si>
</sst>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2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b/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</borders>
  <cellStyleXfs count="11">
    <xf numFmtId="0" fontId="0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1" fillId="0" borderId="0"/>
    <xf numFmtId="0" fontId="9" fillId="2" borderId="0"/>
    <xf numFmtId="0" fontId="3" fillId="2" borderId="0"/>
    <xf numFmtId="0" fontId="3" fillId="2" borderId="0"/>
  </cellStyleXfs>
  <cellXfs count="328">
    <xf numFmtId="0" fontId="0" fillId="0" borderId="0" xfId="0"/>
    <xf numFmtId="37" fontId="4" fillId="0" borderId="27" xfId="10" applyNumberFormat="1" applyFont="1" applyFill="1" applyBorder="1" applyAlignment="1">
      <alignment horizontal="center"/>
    </xf>
    <xf numFmtId="0" fontId="21" fillId="0" borderId="0" xfId="7" applyAlignment="1">
      <alignment horizontal="left"/>
    </xf>
    <xf numFmtId="0" fontId="21" fillId="0" borderId="0" xfId="7" applyAlignment="1">
      <alignment vertical="top" wrapText="1"/>
    </xf>
    <xf numFmtId="0" fontId="6" fillId="0" borderId="0" xfId="7" applyFont="1"/>
    <xf numFmtId="0" fontId="21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1" fillId="0" borderId="0" xfId="7" applyAlignment="1">
      <alignment horizontal="right"/>
    </xf>
    <xf numFmtId="49" fontId="21" fillId="0" borderId="2" xfId="7" applyNumberFormat="1" applyBorder="1"/>
    <xf numFmtId="0" fontId="21" fillId="0" borderId="0" xfId="7"/>
    <xf numFmtId="49" fontId="0" fillId="2" borderId="3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4" fillId="0" borderId="0" xfId="7" applyFont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1" fillId="0" borderId="0" xfId="7" applyAlignment="1">
      <alignment horizontal="center"/>
    </xf>
    <xf numFmtId="0" fontId="2" fillId="0" borderId="0" xfId="7" applyFont="1"/>
    <xf numFmtId="164" fontId="21" fillId="0" borderId="0" xfId="7" applyNumberFormat="1" applyAlignment="1">
      <alignment horizontal="center"/>
    </xf>
    <xf numFmtId="0" fontId="21" fillId="0" borderId="1" xfId="7" applyBorder="1" applyAlignment="1">
      <alignment horizontal="center"/>
    </xf>
    <xf numFmtId="0" fontId="16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1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5" fillId="2" borderId="0" xfId="9" applyFont="1"/>
    <xf numFmtId="37" fontId="7" fillId="2" borderId="0" xfId="9" applyNumberFormat="1" applyFont="1"/>
    <xf numFmtId="0" fontId="17" fillId="0" borderId="0" xfId="7" applyFont="1"/>
    <xf numFmtId="37" fontId="4" fillId="2" borderId="0" xfId="9" applyNumberFormat="1" applyFont="1"/>
    <xf numFmtId="0" fontId="3" fillId="0" borderId="6" xfId="9" applyFill="1" applyBorder="1"/>
    <xf numFmtId="37" fontId="4" fillId="0" borderId="6" xfId="9" applyNumberFormat="1" applyFont="1" applyFill="1" applyBorder="1" applyAlignment="1">
      <alignment horizontal="center" vertical="center"/>
    </xf>
    <xf numFmtId="37" fontId="4" fillId="0" borderId="4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37" fontId="18" fillId="0" borderId="7" xfId="9" applyNumberFormat="1" applyFont="1" applyFill="1" applyBorder="1" applyAlignment="1">
      <alignment vertical="top" wrapText="1"/>
    </xf>
    <xf numFmtId="37" fontId="4" fillId="2" borderId="8" xfId="9" applyNumberFormat="1" applyFont="1" applyBorder="1"/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9" xfId="9" applyNumberFormat="1" applyFont="1" applyBorder="1" applyAlignment="1">
      <alignment horizontal="center" vertical="center"/>
    </xf>
    <xf numFmtId="165" fontId="7" fillId="0" borderId="10" xfId="9" applyNumberFormat="1" applyFont="1" applyFill="1" applyBorder="1"/>
    <xf numFmtId="0" fontId="5" fillId="2" borderId="11" xfId="9" applyFont="1" applyBorder="1"/>
    <xf numFmtId="37" fontId="4" fillId="2" borderId="12" xfId="9" applyNumberFormat="1" applyFont="1" applyBorder="1" applyAlignment="1">
      <alignment horizontal="center" vertical="center"/>
    </xf>
    <xf numFmtId="165" fontId="5" fillId="0" borderId="13" xfId="7" applyNumberFormat="1" applyFont="1" applyBorder="1"/>
    <xf numFmtId="165" fontId="5" fillId="0" borderId="14" xfId="7" applyNumberFormat="1" applyFont="1" applyBorder="1"/>
    <xf numFmtId="37" fontId="7" fillId="0" borderId="8" xfId="9" applyNumberFormat="1" applyFont="1" applyFill="1" applyBorder="1" applyAlignment="1">
      <alignment horizontal="left"/>
    </xf>
    <xf numFmtId="37" fontId="4" fillId="2" borderId="11" xfId="9" applyNumberFormat="1" applyFont="1" applyBorder="1"/>
    <xf numFmtId="37" fontId="4" fillId="2" borderId="6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9" xfId="7" applyFont="1" applyBorder="1"/>
    <xf numFmtId="37" fontId="19" fillId="0" borderId="0" xfId="9" applyNumberFormat="1" applyFont="1" applyFill="1" applyAlignment="1">
      <alignment vertical="top" wrapText="1"/>
    </xf>
    <xf numFmtId="37" fontId="15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11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6" xfId="9" applyFont="1" applyBorder="1" applyAlignment="1">
      <alignment horizontal="center"/>
    </xf>
    <xf numFmtId="0" fontId="6" fillId="2" borderId="15" xfId="9" applyFont="1" applyBorder="1" applyAlignment="1">
      <alignment horizontal="center"/>
    </xf>
    <xf numFmtId="9" fontId="5" fillId="0" borderId="0" xfId="1" applyFont="1" applyFill="1" applyBorder="1" applyProtection="1"/>
    <xf numFmtId="0" fontId="21" fillId="0" borderId="8" xfId="7" applyBorder="1"/>
    <xf numFmtId="0" fontId="6" fillId="2" borderId="16" xfId="9" applyFont="1" applyBorder="1" applyAlignment="1">
      <alignment horizontal="center"/>
    </xf>
    <xf numFmtId="37" fontId="4" fillId="2" borderId="8" xfId="9" applyNumberFormat="1" applyFont="1" applyBorder="1" applyAlignment="1">
      <alignment horizontal="left"/>
    </xf>
    <xf numFmtId="37" fontId="7" fillId="2" borderId="11" xfId="9" applyNumberFormat="1" applyFont="1" applyBorder="1"/>
    <xf numFmtId="37" fontId="7" fillId="2" borderId="17" xfId="9" applyNumberFormat="1" applyFont="1" applyBorder="1"/>
    <xf numFmtId="37" fontId="5" fillId="2" borderId="18" xfId="10" applyNumberFormat="1" applyFont="1" applyBorder="1"/>
    <xf numFmtId="37" fontId="7" fillId="2" borderId="19" xfId="9" applyNumberFormat="1" applyFont="1" applyBorder="1"/>
    <xf numFmtId="37" fontId="4" fillId="2" borderId="20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1" fillId="0" borderId="2" xfId="7" applyBorder="1"/>
    <xf numFmtId="37" fontId="7" fillId="2" borderId="21" xfId="9" applyNumberFormat="1" applyFont="1" applyBorder="1"/>
    <xf numFmtId="37" fontId="7" fillId="2" borderId="22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4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23" xfId="9" applyNumberFormat="1" applyFont="1" applyBorder="1" applyAlignment="1">
      <alignment horizontal="centerContinuous"/>
    </xf>
    <xf numFmtId="37" fontId="4" fillId="2" borderId="24" xfId="9" applyNumberFormat="1" applyFont="1" applyBorder="1" applyAlignment="1">
      <alignment horizontal="centerContinuous"/>
    </xf>
    <xf numFmtId="37" fontId="4" fillId="2" borderId="25" xfId="9" applyNumberFormat="1" applyFont="1" applyBorder="1"/>
    <xf numFmtId="37" fontId="4" fillId="2" borderId="9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Continuous"/>
    </xf>
    <xf numFmtId="37" fontId="4" fillId="2" borderId="11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Continuous"/>
    </xf>
    <xf numFmtId="37" fontId="4" fillId="2" borderId="12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26" xfId="9" applyNumberFormat="1" applyFont="1" applyBorder="1" applyAlignment="1">
      <alignment horizontal="center"/>
    </xf>
    <xf numFmtId="37" fontId="4" fillId="2" borderId="13" xfId="9" applyNumberFormat="1" applyFont="1" applyBorder="1"/>
    <xf numFmtId="37" fontId="4" fillId="2" borderId="14" xfId="9" applyNumberFormat="1" applyFont="1" applyBorder="1"/>
    <xf numFmtId="37" fontId="4" fillId="2" borderId="14" xfId="9" applyNumberFormat="1" applyFont="1" applyBorder="1" applyAlignment="1">
      <alignment horizontal="center"/>
    </xf>
    <xf numFmtId="0" fontId="6" fillId="2" borderId="25" xfId="8" applyFont="1" applyBorder="1"/>
    <xf numFmtId="0" fontId="6" fillId="2" borderId="0" xfId="8" applyFont="1"/>
    <xf numFmtId="0" fontId="6" fillId="0" borderId="25" xfId="8" applyFont="1" applyFill="1" applyBorder="1"/>
    <xf numFmtId="0" fontId="6" fillId="0" borderId="0" xfId="8" applyFont="1" applyFill="1"/>
    <xf numFmtId="37" fontId="7" fillId="2" borderId="27" xfId="9" applyNumberFormat="1" applyFont="1" applyBorder="1"/>
    <xf numFmtId="37" fontId="7" fillId="2" borderId="13" xfId="9" applyNumberFormat="1" applyFont="1" applyBorder="1"/>
    <xf numFmtId="37" fontId="7" fillId="2" borderId="28" xfId="9" applyNumberFormat="1" applyFont="1" applyBorder="1"/>
    <xf numFmtId="37" fontId="4" fillId="0" borderId="0" xfId="9" applyNumberFormat="1" applyFont="1" applyFill="1"/>
    <xf numFmtId="37" fontId="7" fillId="0" borderId="13" xfId="9" applyNumberFormat="1" applyFont="1" applyFill="1" applyBorder="1"/>
    <xf numFmtId="37" fontId="7" fillId="0" borderId="28" xfId="9" applyNumberFormat="1" applyFont="1" applyFill="1" applyBorder="1"/>
    <xf numFmtId="37" fontId="7" fillId="0" borderId="27" xfId="9" applyNumberFormat="1" applyFont="1" applyFill="1" applyBorder="1"/>
    <xf numFmtId="0" fontId="6" fillId="2" borderId="25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7" xfId="9" applyNumberFormat="1" applyFont="1" applyBorder="1"/>
    <xf numFmtId="0" fontId="6" fillId="2" borderId="25" xfId="9" applyFont="1" applyBorder="1"/>
    <xf numFmtId="0" fontId="6" fillId="2" borderId="0" xfId="9" applyFont="1"/>
    <xf numFmtId="0" fontId="6" fillId="0" borderId="25" xfId="9" applyFont="1" applyFill="1" applyBorder="1"/>
    <xf numFmtId="37" fontId="5" fillId="0" borderId="27" xfId="9" applyNumberFormat="1" applyFont="1" applyFill="1" applyBorder="1"/>
    <xf numFmtId="0" fontId="21" fillId="0" borderId="9" xfId="7" applyBorder="1"/>
    <xf numFmtId="37" fontId="5" fillId="0" borderId="13" xfId="9" applyNumberFormat="1" applyFont="1" applyFill="1" applyBorder="1"/>
    <xf numFmtId="37" fontId="4" fillId="2" borderId="29" xfId="9" applyNumberFormat="1" applyFont="1" applyBorder="1" applyAlignment="1">
      <alignment horizontal="left"/>
    </xf>
    <xf numFmtId="0" fontId="5" fillId="2" borderId="30" xfId="9" applyFont="1" applyBorder="1"/>
    <xf numFmtId="37" fontId="5" fillId="2" borderId="0" xfId="9" applyNumberFormat="1" applyFont="1"/>
    <xf numFmtId="37" fontId="7" fillId="2" borderId="0" xfId="10" applyNumberFormat="1" applyFont="1" applyAlignment="1">
      <alignment horizontal="centerContinuous"/>
    </xf>
    <xf numFmtId="37" fontId="4" fillId="2" borderId="9" xfId="10" applyNumberFormat="1" applyFont="1" applyBorder="1" applyAlignment="1">
      <alignment horizontal="center"/>
    </xf>
    <xf numFmtId="0" fontId="13" fillId="0" borderId="0" xfId="10" applyFont="1" applyFill="1" applyAlignment="1">
      <alignment horizontal="center" vertical="center" wrapText="1"/>
    </xf>
    <xf numFmtId="37" fontId="4" fillId="2" borderId="25" xfId="10" applyNumberFormat="1" applyFont="1" applyBorder="1"/>
    <xf numFmtId="37" fontId="4" fillId="2" borderId="3" xfId="10" applyNumberFormat="1" applyFont="1" applyBorder="1"/>
    <xf numFmtId="37" fontId="4" fillId="2" borderId="13" xfId="10" applyNumberFormat="1" applyFont="1" applyBorder="1" applyAlignment="1">
      <alignment horizontal="center"/>
    </xf>
    <xf numFmtId="37" fontId="7" fillId="0" borderId="11" xfId="10" applyNumberFormat="1" applyFont="1" applyFill="1" applyBorder="1"/>
    <xf numFmtId="37" fontId="7" fillId="0" borderId="7" xfId="10" applyNumberFormat="1" applyFont="1" applyFill="1" applyBorder="1"/>
    <xf numFmtId="37" fontId="7" fillId="0" borderId="26" xfId="10" applyNumberFormat="1" applyFont="1" applyFill="1" applyBorder="1"/>
    <xf numFmtId="37" fontId="7" fillId="0" borderId="25" xfId="10" applyNumberFormat="1" applyFont="1" applyFill="1" applyBorder="1"/>
    <xf numFmtId="37" fontId="7" fillId="0" borderId="0" xfId="10" applyNumberFormat="1" applyFont="1" applyFill="1"/>
    <xf numFmtId="37" fontId="7" fillId="0" borderId="22" xfId="10" applyNumberFormat="1" applyFont="1" applyFill="1" applyBorder="1"/>
    <xf numFmtId="37" fontId="7" fillId="2" borderId="31" xfId="10" applyNumberFormat="1" applyFont="1" applyBorder="1"/>
    <xf numFmtId="0" fontId="5" fillId="0" borderId="25" xfId="7" applyFont="1" applyBorder="1"/>
    <xf numFmtId="0" fontId="5" fillId="0" borderId="32" xfId="7" applyFont="1" applyBorder="1"/>
    <xf numFmtId="37" fontId="5" fillId="2" borderId="22" xfId="10" applyNumberFormat="1" applyFont="1" applyBorder="1"/>
    <xf numFmtId="37" fontId="7" fillId="2" borderId="8" xfId="10" applyNumberFormat="1" applyFont="1" applyBorder="1"/>
    <xf numFmtId="37" fontId="7" fillId="2" borderId="9" xfId="10" applyNumberFormat="1" applyFont="1" applyBorder="1"/>
    <xf numFmtId="37" fontId="7" fillId="2" borderId="14" xfId="10" applyNumberFormat="1" applyFont="1" applyBorder="1"/>
    <xf numFmtId="38" fontId="7" fillId="2" borderId="8" xfId="10" applyNumberFormat="1" applyFont="1" applyBorder="1"/>
    <xf numFmtId="38" fontId="7" fillId="2" borderId="9" xfId="10" applyNumberFormat="1" applyFont="1" applyBorder="1"/>
    <xf numFmtId="0" fontId="5" fillId="0" borderId="8" xfId="7" applyFont="1" applyBorder="1"/>
    <xf numFmtId="37" fontId="7" fillId="0" borderId="14" xfId="10" applyNumberFormat="1" applyFont="1" applyFill="1" applyBorder="1"/>
    <xf numFmtId="37" fontId="7" fillId="0" borderId="12" xfId="10" applyNumberFormat="1" applyFont="1" applyFill="1" applyBorder="1"/>
    <xf numFmtId="37" fontId="7" fillId="0" borderId="6" xfId="10" applyNumberFormat="1" applyFont="1" applyFill="1" applyBorder="1" applyAlignment="1">
      <alignment horizontal="left"/>
    </xf>
    <xf numFmtId="0" fontId="21" fillId="0" borderId="7" xfId="7" applyBorder="1"/>
    <xf numFmtId="37" fontId="7" fillId="0" borderId="33" xfId="10" applyNumberFormat="1" applyFont="1" applyFill="1" applyBorder="1"/>
    <xf numFmtId="37" fontId="7" fillId="2" borderId="0" xfId="10" applyNumberFormat="1" applyFont="1"/>
    <xf numFmtId="37" fontId="7" fillId="0" borderId="8" xfId="10" applyNumberFormat="1" applyFont="1" applyFill="1" applyBorder="1"/>
    <xf numFmtId="37" fontId="7" fillId="0" borderId="34" xfId="10" applyNumberFormat="1" applyFont="1" applyFill="1" applyBorder="1"/>
    <xf numFmtId="37" fontId="7" fillId="2" borderId="14" xfId="10" applyNumberFormat="1" applyFont="1" applyBorder="1" applyAlignment="1">
      <alignment horizontal="left"/>
    </xf>
    <xf numFmtId="37" fontId="7" fillId="2" borderId="3" xfId="10" applyNumberFormat="1" applyFont="1" applyBorder="1" applyAlignment="1">
      <alignment horizontal="left"/>
    </xf>
    <xf numFmtId="0" fontId="21" fillId="0" borderId="12" xfId="7" applyBorder="1"/>
    <xf numFmtId="37" fontId="7" fillId="0" borderId="35" xfId="10" applyNumberFormat="1" applyFont="1" applyFill="1" applyBorder="1"/>
    <xf numFmtId="37" fontId="4" fillId="0" borderId="27" xfId="10" applyNumberFormat="1" applyFont="1" applyFill="1" applyBorder="1" applyAlignment="1">
      <alignment horizontal="center" wrapText="1"/>
    </xf>
    <xf numFmtId="37" fontId="7" fillId="2" borderId="3" xfId="10" applyNumberFormat="1" applyFont="1" applyBorder="1"/>
    <xf numFmtId="37" fontId="7" fillId="2" borderId="12" xfId="10" applyNumberFormat="1" applyFont="1" applyBorder="1"/>
    <xf numFmtId="0" fontId="5" fillId="0" borderId="27" xfId="7" applyFont="1" applyBorder="1"/>
    <xf numFmtId="37" fontId="7" fillId="2" borderId="28" xfId="10" applyNumberFormat="1" applyFont="1" applyBorder="1" applyAlignment="1">
      <alignment horizontal="right"/>
    </xf>
    <xf numFmtId="168" fontId="7" fillId="0" borderId="12" xfId="10" applyNumberFormat="1" applyFont="1" applyFill="1" applyBorder="1" applyAlignment="1">
      <alignment horizontal="center"/>
    </xf>
    <xf numFmtId="37" fontId="7" fillId="2" borderId="3" xfId="10" applyNumberFormat="1" applyFont="1" applyBorder="1" applyAlignment="1">
      <alignment horizontal="right"/>
    </xf>
    <xf numFmtId="37" fontId="7" fillId="2" borderId="8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36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9" xfId="10" applyFont="1" applyBorder="1" applyAlignment="1">
      <alignment horizontal="center"/>
    </xf>
    <xf numFmtId="0" fontId="5" fillId="2" borderId="12" xfId="10" applyFont="1" applyBorder="1" applyAlignment="1">
      <alignment horizontal="center"/>
    </xf>
    <xf numFmtId="0" fontId="5" fillId="0" borderId="22" xfId="7" applyFont="1" applyBorder="1"/>
    <xf numFmtId="0" fontId="5" fillId="2" borderId="18" xfId="10" applyFont="1" applyBorder="1" applyAlignment="1">
      <alignment horizontal="right"/>
    </xf>
    <xf numFmtId="168" fontId="7" fillId="2" borderId="37" xfId="10" applyNumberFormat="1" applyFont="1" applyBorder="1" applyAlignment="1">
      <alignment horizontal="center"/>
    </xf>
    <xf numFmtId="37" fontId="7" fillId="2" borderId="20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30" xfId="10" applyNumberFormat="1" applyFont="1" applyBorder="1" applyAlignment="1">
      <alignment horizontal="center"/>
    </xf>
    <xf numFmtId="0" fontId="6" fillId="0" borderId="0" xfId="9" applyFont="1" applyFill="1" applyAlignment="1">
      <alignment horizontal="center" vertical="top"/>
    </xf>
    <xf numFmtId="37" fontId="5" fillId="0" borderId="25" xfId="9" applyNumberFormat="1" applyFont="1" applyFill="1" applyBorder="1" applyAlignment="1">
      <alignment horizontal="left"/>
    </xf>
    <xf numFmtId="37" fontId="7" fillId="2" borderId="26" xfId="9" applyNumberFormat="1" applyFont="1" applyBorder="1"/>
    <xf numFmtId="37" fontId="5" fillId="2" borderId="26" xfId="9" applyNumberFormat="1" applyFont="1" applyBorder="1"/>
    <xf numFmtId="37" fontId="5" fillId="2" borderId="38" xfId="9" applyNumberFormat="1" applyFont="1" applyBorder="1"/>
    <xf numFmtId="37" fontId="5" fillId="2" borderId="20" xfId="9" applyNumberFormat="1" applyFont="1" applyBorder="1"/>
    <xf numFmtId="37" fontId="5" fillId="2" borderId="22" xfId="9" applyNumberFormat="1" applyFont="1" applyBorder="1"/>
    <xf numFmtId="37" fontId="12" fillId="3" borderId="22" xfId="0" applyNumberFormat="1" applyFont="1" applyFill="1" applyBorder="1"/>
    <xf numFmtId="167" fontId="7" fillId="2" borderId="0" xfId="9" applyNumberFormat="1" applyFont="1" applyAlignment="1">
      <alignment horizontal="right"/>
    </xf>
    <xf numFmtId="0" fontId="6" fillId="4" borderId="6" xfId="9" applyFont="1" applyFill="1" applyBorder="1" applyAlignment="1">
      <alignment horizontal="center"/>
    </xf>
    <xf numFmtId="0" fontId="6" fillId="4" borderId="0" xfId="9" applyFont="1" applyFill="1" applyAlignment="1">
      <alignment horizontal="center"/>
    </xf>
    <xf numFmtId="37" fontId="4" fillId="4" borderId="0" xfId="9" applyNumberFormat="1" applyFont="1" applyFill="1" applyAlignment="1">
      <alignment horizontal="left"/>
    </xf>
    <xf numFmtId="0" fontId="5" fillId="4" borderId="0" xfId="9" applyFont="1" applyFill="1"/>
    <xf numFmtId="0" fontId="8" fillId="0" borderId="5" xfId="6" applyNumberFormat="1" applyFont="1" applyFill="1" applyBorder="1" applyProtection="1"/>
    <xf numFmtId="37" fontId="4" fillId="2" borderId="8" xfId="9" applyNumberFormat="1" applyFont="1" applyBorder="1" applyAlignment="1">
      <alignment horizontal="center" vertical="center"/>
    </xf>
    <xf numFmtId="37" fontId="4" fillId="2" borderId="14" xfId="9" applyNumberFormat="1" applyFont="1" applyBorder="1" applyAlignment="1">
      <alignment horizontal="center" vertical="center"/>
    </xf>
    <xf numFmtId="0" fontId="21" fillId="0" borderId="0" xfId="7" applyAlignment="1">
      <alignment horizontal="left" vertical="center" wrapText="1"/>
    </xf>
    <xf numFmtId="0" fontId="0" fillId="0" borderId="2" xfId="7" applyFont="1" applyBorder="1" applyAlignment="1" applyProtection="1">
      <alignment horizontal="center"/>
      <protection locked="0"/>
    </xf>
    <xf numFmtId="0" fontId="21" fillId="0" borderId="2" xfId="7" applyBorder="1" applyAlignment="1" applyProtection="1">
      <alignment horizontal="center"/>
      <protection locked="0"/>
    </xf>
    <xf numFmtId="49" fontId="6" fillId="2" borderId="2" xfId="9" applyNumberFormat="1" applyFont="1" applyBorder="1" applyAlignment="1" applyProtection="1">
      <alignment horizontal="center"/>
      <protection locked="0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3" xfId="0" applyNumberFormat="1" applyFont="1" applyBorder="1"/>
    <xf numFmtId="38" fontId="5" fillId="0" borderId="12" xfId="0" applyNumberFormat="1" applyFont="1" applyBorder="1"/>
    <xf numFmtId="38" fontId="5" fillId="0" borderId="36" xfId="0" applyNumberFormat="1" applyFont="1" applyBorder="1"/>
    <xf numFmtId="38" fontId="5" fillId="0" borderId="37" xfId="0" applyNumberFormat="1" applyFont="1" applyBorder="1"/>
    <xf numFmtId="37" fontId="5" fillId="0" borderId="36" xfId="0" applyNumberFormat="1" applyFont="1" applyBorder="1"/>
    <xf numFmtId="37" fontId="5" fillId="0" borderId="37" xfId="0" applyNumberFormat="1" applyFont="1" applyBorder="1"/>
    <xf numFmtId="0" fontId="0" fillId="0" borderId="1" xfId="7" applyFont="1" applyBorder="1" applyAlignment="1" applyProtection="1">
      <alignment horizontal="center"/>
      <protection locked="0"/>
    </xf>
    <xf numFmtId="0" fontId="21" fillId="0" borderId="1" xfId="7" applyBorder="1" applyAlignment="1" applyProtection="1">
      <alignment horizontal="center"/>
      <protection locked="0"/>
    </xf>
    <xf numFmtId="0" fontId="21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1" fillId="0" borderId="0" xfId="7" applyAlignment="1">
      <alignment vertical="top" wrapText="1"/>
    </xf>
    <xf numFmtId="0" fontId="21" fillId="0" borderId="0" xfId="7" applyAlignment="1">
      <alignment horizontal="left"/>
    </xf>
    <xf numFmtId="0" fontId="0" fillId="0" borderId="18" xfId="7" applyFont="1" applyBorder="1" applyAlignment="1" applyProtection="1">
      <alignment horizontal="left" vertical="top" wrapText="1"/>
      <protection locked="0"/>
    </xf>
    <xf numFmtId="0" fontId="21" fillId="0" borderId="1" xfId="7" applyBorder="1" applyAlignment="1" applyProtection="1">
      <alignment horizontal="left" vertical="top" wrapText="1"/>
      <protection locked="0"/>
    </xf>
    <xf numFmtId="0" fontId="21" fillId="0" borderId="39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0" fillId="0" borderId="2" xfId="7" applyFont="1" applyBorder="1" applyAlignment="1" applyProtection="1">
      <alignment horizontal="left"/>
      <protection locked="0"/>
    </xf>
    <xf numFmtId="0" fontId="21" fillId="0" borderId="2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21" fillId="0" borderId="1" xfId="7" applyBorder="1" applyAlignment="1" applyProtection="1">
      <alignment horizontal="left"/>
      <protection locked="0"/>
    </xf>
    <xf numFmtId="14" fontId="21" fillId="0" borderId="2" xfId="7" applyNumberFormat="1" applyBorder="1" applyAlignment="1" applyProtection="1">
      <alignment horizontal="center"/>
      <protection locked="0"/>
    </xf>
    <xf numFmtId="164" fontId="21" fillId="0" borderId="2" xfId="7" applyNumberFormat="1" applyBorder="1" applyAlignment="1" applyProtection="1">
      <alignment horizontal="center"/>
      <protection locked="0"/>
    </xf>
    <xf numFmtId="0" fontId="21" fillId="0" borderId="0" xfId="7" applyAlignment="1">
      <alignment horizontal="center"/>
    </xf>
    <xf numFmtId="0" fontId="6" fillId="0" borderId="2" xfId="9" applyFont="1" applyFill="1" applyBorder="1" applyAlignment="1" applyProtection="1">
      <alignment horizontal="center"/>
      <protection locked="0"/>
    </xf>
    <xf numFmtId="37" fontId="7" fillId="2" borderId="26" xfId="9" applyNumberFormat="1" applyFont="1" applyBorder="1"/>
    <xf numFmtId="0" fontId="10" fillId="2" borderId="13" xfId="7" applyFont="1" applyFill="1" applyBorder="1"/>
    <xf numFmtId="37" fontId="7" fillId="0" borderId="26" xfId="9" applyNumberFormat="1" applyFont="1" applyFill="1" applyBorder="1"/>
    <xf numFmtId="0" fontId="21" fillId="0" borderId="13" xfId="7" applyBorder="1"/>
    <xf numFmtId="37" fontId="7" fillId="2" borderId="28" xfId="9" applyNumberFormat="1" applyFont="1" applyBorder="1"/>
    <xf numFmtId="37" fontId="7" fillId="2" borderId="37" xfId="9" applyNumberFormat="1" applyFont="1" applyBorder="1"/>
    <xf numFmtId="37" fontId="7" fillId="2" borderId="11" xfId="9" applyNumberFormat="1" applyFont="1" applyBorder="1"/>
    <xf numFmtId="37" fontId="7" fillId="2" borderId="7" xfId="9" applyNumberFormat="1" applyFont="1" applyBorder="1"/>
    <xf numFmtId="37" fontId="7" fillId="2" borderId="14" xfId="9" applyNumberFormat="1" applyFont="1" applyBorder="1"/>
    <xf numFmtId="37" fontId="7" fillId="2" borderId="12" xfId="9" applyNumberFormat="1" applyFont="1" applyBorder="1"/>
    <xf numFmtId="166" fontId="7" fillId="2" borderId="40" xfId="9" applyNumberFormat="1" applyFont="1" applyBorder="1"/>
    <xf numFmtId="166" fontId="7" fillId="2" borderId="41" xfId="9" applyNumberFormat="1" applyFont="1" applyBorder="1"/>
    <xf numFmtId="166" fontId="7" fillId="2" borderId="42" xfId="9" applyNumberFormat="1" applyFont="1" applyBorder="1"/>
    <xf numFmtId="37" fontId="7" fillId="2" borderId="13" xfId="9" applyNumberFormat="1" applyFont="1" applyBorder="1"/>
    <xf numFmtId="0" fontId="6" fillId="2" borderId="28" xfId="10" applyFont="1" applyBorder="1" applyAlignment="1">
      <alignment horizontal="center"/>
    </xf>
    <xf numFmtId="0" fontId="6" fillId="2" borderId="36" xfId="10" applyFont="1" applyBorder="1" applyAlignment="1">
      <alignment horizontal="center"/>
    </xf>
    <xf numFmtId="0" fontId="6" fillId="2" borderId="37" xfId="10" applyFont="1" applyBorder="1" applyAlignment="1">
      <alignment horizontal="center"/>
    </xf>
    <xf numFmtId="37" fontId="4" fillId="2" borderId="11" xfId="9" applyNumberFormat="1" applyFont="1" applyBorder="1" applyAlignment="1">
      <alignment horizontal="center"/>
    </xf>
    <xf numFmtId="37" fontId="4" fillId="2" borderId="7" xfId="9" applyNumberFormat="1" applyFont="1" applyBorder="1" applyAlignment="1">
      <alignment horizontal="center"/>
    </xf>
    <xf numFmtId="167" fontId="7" fillId="0" borderId="28" xfId="10" applyNumberFormat="1" applyFont="1" applyFill="1" applyBorder="1"/>
    <xf numFmtId="167" fontId="7" fillId="0" borderId="37" xfId="10" applyNumberFormat="1" applyFont="1" applyFill="1" applyBorder="1"/>
    <xf numFmtId="37" fontId="11" fillId="2" borderId="0" xfId="9" applyNumberFormat="1" applyFont="1" applyAlignment="1">
      <alignment horizontal="left" vertical="center"/>
    </xf>
    <xf numFmtId="0" fontId="21" fillId="0" borderId="0" xfId="7"/>
    <xf numFmtId="37" fontId="11" fillId="2" borderId="2" xfId="9" applyNumberFormat="1" applyFont="1" applyBorder="1" applyAlignment="1">
      <alignment horizontal="left" vertical="center"/>
    </xf>
    <xf numFmtId="0" fontId="21" fillId="0" borderId="2" xfId="7" applyBorder="1"/>
    <xf numFmtId="37" fontId="5" fillId="0" borderId="26" xfId="9" applyNumberFormat="1" applyFont="1" applyFill="1" applyBorder="1"/>
    <xf numFmtId="37" fontId="5" fillId="0" borderId="13" xfId="9" applyNumberFormat="1" applyFont="1" applyFill="1" applyBorder="1"/>
    <xf numFmtId="37" fontId="4" fillId="2" borderId="25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9" xfId="9" applyNumberFormat="1" applyFont="1" applyBorder="1" applyAlignment="1">
      <alignment horizontal="left" vertical="center" wrapText="1"/>
    </xf>
    <xf numFmtId="166" fontId="7" fillId="2" borderId="17" xfId="9" applyNumberFormat="1" applyFont="1" applyBorder="1"/>
    <xf numFmtId="166" fontId="7" fillId="2" borderId="43" xfId="9" applyNumberFormat="1" applyFont="1" applyBorder="1"/>
    <xf numFmtId="166" fontId="7" fillId="2" borderId="44" xfId="9" applyNumberFormat="1" applyFont="1" applyBorder="1"/>
    <xf numFmtId="166" fontId="7" fillId="2" borderId="45" xfId="9" applyNumberFormat="1" applyFont="1" applyBorder="1"/>
    <xf numFmtId="166" fontId="7" fillId="2" borderId="19" xfId="9" applyNumberFormat="1" applyFont="1" applyBorder="1"/>
    <xf numFmtId="166" fontId="7" fillId="2" borderId="46" xfId="9" applyNumberFormat="1" applyFont="1" applyBorder="1"/>
    <xf numFmtId="0" fontId="5" fillId="2" borderId="8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9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3" xfId="9" applyFont="1" applyBorder="1" applyAlignment="1">
      <alignment horizontal="left" wrapText="1"/>
    </xf>
    <xf numFmtId="0" fontId="5" fillId="2" borderId="12" xfId="9" applyFont="1" applyBorder="1" applyAlignment="1">
      <alignment horizontal="left" wrapText="1"/>
    </xf>
    <xf numFmtId="0" fontId="5" fillId="0" borderId="4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15" xfId="7" applyFont="1" applyBorder="1" applyAlignment="1">
      <alignment horizontal="left" vertical="top" wrapText="1"/>
    </xf>
    <xf numFmtId="0" fontId="5" fillId="0" borderId="25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32" xfId="7" applyFont="1" applyBorder="1" applyAlignment="1">
      <alignment horizontal="left" vertical="top" wrapText="1"/>
    </xf>
    <xf numFmtId="0" fontId="5" fillId="0" borderId="29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16" xfId="7" applyFont="1" applyBorder="1" applyAlignment="1">
      <alignment horizontal="left" vertical="top" wrapText="1"/>
    </xf>
    <xf numFmtId="167" fontId="7" fillId="2" borderId="28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167" fontId="7" fillId="2" borderId="11" xfId="9" applyNumberFormat="1" applyFont="1" applyBorder="1" applyAlignment="1">
      <alignment horizontal="right"/>
    </xf>
    <xf numFmtId="167" fontId="7" fillId="2" borderId="48" xfId="9" applyNumberFormat="1" applyFont="1" applyBorder="1" applyAlignment="1">
      <alignment horizontal="right"/>
    </xf>
    <xf numFmtId="167" fontId="7" fillId="2" borderId="14" xfId="9" applyNumberFormat="1" applyFont="1" applyBorder="1" applyAlignment="1">
      <alignment horizontal="right"/>
    </xf>
    <xf numFmtId="167" fontId="7" fillId="2" borderId="49" xfId="9" applyNumberFormat="1" applyFont="1" applyBorder="1" applyAlignment="1">
      <alignment horizontal="right"/>
    </xf>
    <xf numFmtId="37" fontId="7" fillId="0" borderId="28" xfId="9" applyNumberFormat="1" applyFont="1" applyFill="1" applyBorder="1"/>
    <xf numFmtId="37" fontId="7" fillId="0" borderId="37" xfId="9" applyNumberFormat="1" applyFont="1" applyFill="1" applyBorder="1"/>
    <xf numFmtId="167" fontId="7" fillId="2" borderId="28" xfId="10" applyNumberFormat="1" applyFont="1" applyBorder="1"/>
    <xf numFmtId="167" fontId="7" fillId="2" borderId="37" xfId="10" applyNumberFormat="1" applyFont="1" applyBorder="1"/>
    <xf numFmtId="9" fontId="5" fillId="0" borderId="36" xfId="1" applyFont="1" applyFill="1" applyBorder="1" applyProtection="1"/>
    <xf numFmtId="9" fontId="5" fillId="0" borderId="37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37" xfId="9" applyNumberFormat="1" applyFont="1" applyBorder="1" applyAlignment="1">
      <alignment horizontal="right"/>
    </xf>
    <xf numFmtId="37" fontId="4" fillId="2" borderId="48" xfId="9" applyNumberFormat="1" applyFont="1" applyBorder="1" applyAlignment="1">
      <alignment horizontal="center"/>
    </xf>
    <xf numFmtId="37" fontId="4" fillId="2" borderId="8" xfId="9" applyNumberFormat="1" applyFont="1" applyBorder="1" applyAlignment="1">
      <alignment horizontal="center"/>
    </xf>
    <xf numFmtId="37" fontId="4" fillId="2" borderId="32" xfId="9" applyNumberFormat="1" applyFont="1" applyBorder="1" applyAlignment="1">
      <alignment horizontal="center"/>
    </xf>
    <xf numFmtId="37" fontId="4" fillId="2" borderId="14" xfId="9" applyNumberFormat="1" applyFont="1" applyBorder="1" applyAlignment="1">
      <alignment horizontal="center"/>
    </xf>
    <xf numFmtId="37" fontId="4" fillId="2" borderId="49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2" xfId="9" applyNumberFormat="1" applyFont="1" applyBorder="1" applyAlignment="1">
      <alignment horizontal="right"/>
    </xf>
    <xf numFmtId="37" fontId="4" fillId="2" borderId="14" xfId="9" applyNumberFormat="1" applyFont="1" applyBorder="1"/>
    <xf numFmtId="37" fontId="4" fillId="2" borderId="12" xfId="9" applyNumberFormat="1" applyFont="1" applyBorder="1"/>
    <xf numFmtId="37" fontId="5" fillId="2" borderId="28" xfId="9" applyNumberFormat="1" applyFont="1" applyBorder="1"/>
    <xf numFmtId="37" fontId="5" fillId="2" borderId="37" xfId="9" applyNumberFormat="1" applyFont="1" applyBorder="1"/>
    <xf numFmtId="37" fontId="4" fillId="2" borderId="9" xfId="10" applyNumberFormat="1" applyFont="1" applyBorder="1" applyAlignment="1">
      <alignment horizontal="center"/>
    </xf>
    <xf numFmtId="167" fontId="7" fillId="0" borderId="28" xfId="9" applyNumberFormat="1" applyFont="1" applyFill="1" applyBorder="1" applyAlignment="1">
      <alignment horizontal="right"/>
    </xf>
    <xf numFmtId="167" fontId="7" fillId="0" borderId="47" xfId="9" applyNumberFormat="1" applyFont="1" applyFill="1" applyBorder="1" applyAlignment="1">
      <alignment horizontal="right"/>
    </xf>
    <xf numFmtId="37" fontId="4" fillId="2" borderId="12" xfId="10" applyNumberFormat="1" applyFont="1" applyBorder="1" applyAlignment="1">
      <alignment horizontal="center"/>
    </xf>
    <xf numFmtId="37" fontId="5" fillId="2" borderId="11" xfId="9" applyNumberFormat="1" applyFont="1" applyBorder="1"/>
    <xf numFmtId="37" fontId="5" fillId="2" borderId="7" xfId="9" applyNumberFormat="1" applyFont="1" applyBorder="1"/>
    <xf numFmtId="37" fontId="5" fillId="2" borderId="20" xfId="9" applyNumberFormat="1" applyFont="1" applyBorder="1"/>
    <xf numFmtId="37" fontId="5" fillId="2" borderId="30" xfId="9" applyNumberFormat="1" applyFont="1" applyBorder="1"/>
    <xf numFmtId="167" fontId="7" fillId="2" borderId="22" xfId="9" applyNumberFormat="1" applyFont="1" applyBorder="1" applyAlignment="1">
      <alignment horizontal="right"/>
    </xf>
    <xf numFmtId="37" fontId="12" fillId="3" borderId="22" xfId="0" applyNumberFormat="1" applyFont="1" applyFill="1" applyBorder="1" applyAlignment="1">
      <alignment horizontal="center"/>
    </xf>
    <xf numFmtId="0" fontId="0" fillId="0" borderId="0" xfId="0"/>
    <xf numFmtId="37" fontId="7" fillId="2" borderId="22" xfId="10" applyNumberFormat="1" applyFont="1" applyBorder="1" applyAlignment="1">
      <alignment horizontal="right"/>
    </xf>
    <xf numFmtId="37" fontId="7" fillId="2" borderId="27" xfId="10" applyNumberFormat="1" applyFont="1" applyBorder="1" applyAlignment="1">
      <alignment horizontal="right"/>
    </xf>
    <xf numFmtId="37" fontId="4" fillId="2" borderId="28" xfId="10" applyNumberFormat="1" applyFont="1" applyBorder="1" applyAlignment="1">
      <alignment horizontal="center"/>
    </xf>
    <xf numFmtId="37" fontId="4" fillId="2" borderId="36" xfId="10" applyNumberFormat="1" applyFont="1" applyBorder="1" applyAlignment="1">
      <alignment horizontal="center"/>
    </xf>
    <xf numFmtId="37" fontId="4" fillId="2" borderId="37" xfId="10" applyNumberFormat="1" applyFont="1" applyBorder="1" applyAlignment="1">
      <alignment horizontal="center"/>
    </xf>
    <xf numFmtId="37" fontId="4" fillId="0" borderId="27" xfId="10" applyNumberFormat="1" applyFont="1" applyFill="1" applyBorder="1" applyAlignment="1">
      <alignment horizontal="center"/>
    </xf>
    <xf numFmtId="37" fontId="4" fillId="2" borderId="27" xfId="10" applyNumberFormat="1" applyFont="1" applyBorder="1" applyAlignment="1">
      <alignment horizontal="center"/>
    </xf>
    <xf numFmtId="37" fontId="4" fillId="2" borderId="50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51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98-99Smry" xfId="8" xr:uid="{00000000-0005-0000-0000-000008000000}"/>
    <cellStyle name="Normal_Summary Page 1" xfId="9" xr:uid="{00000000-0005-0000-0000-000009000000}"/>
    <cellStyle name="Normal_Summary Page 2" xfId="10" xr:uid="{00000000-0005-0000-0000-00000A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6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Fund balances"/>
      <sheetName val="Data Entry"/>
      <sheetName val="Calculations"/>
      <sheetName val="BSA55"/>
      <sheetName val="Instructions"/>
      <sheetName val="2026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B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6"/>
      <definedName name="F001Carryforward" refersTo="='Page 1'!$L$43"/>
      <definedName name="F001P100F1000OthBudgFY" refersTo="='Summary Page 1'!$F$33"/>
      <definedName name="F001P100F1000SBBudgFY" refersTo="='Summary Page 1'!$D$33"/>
      <definedName name="F001P100F2100OthBudgFY" refersTo="='Summary Page 1'!$F$35"/>
      <definedName name="F001P100F2100SBBudgFY" refersTo="='Summary Page 1'!$D$35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6"/>
      <definedName name="F001P200F1000SBBudgFY" refersTo="='Summary Page 1'!$D$46"/>
      <definedName name="F001P200F2100OthBudgFY" refersTo="='Summary Page 1'!$F$48"/>
      <definedName name="F001P200F2100SBBudgFY" refersTo="='Summary Page 1'!$D$48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9"/>
      <definedName name="F001P540SBBudgFY" refersTo="='Summary Page 1'!$D$59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B$22"/>
      <definedName name="F010Carryforward" refersTo="='Page 3'!$K$15"/>
      <definedName name="F610Carryforward" refersTo="='Page 4'!$L$20"/>
      <definedName name="GBLBudgFYSumm" refersTo="='Summary Page 1'!$D$22"/>
      <definedName name="PercentageIncreaseSumm" refersTo="='Summary Page 1'!$I$13"/>
      <definedName name="PrimTaxRatePYSumm" refersTo="='Summary Page 1'!$C$16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9"/>
      <definedName name="SecTaxRatePYSumm" refersTo="='Summary Page 1'!$C$19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B$24"/>
    </definedNames>
    <sheetDataSet>
      <sheetData sheetId="0">
        <row r="1">
          <cell r="C1" t="str">
            <v>Sanders Unified School District No. 18</v>
          </cell>
          <cell r="S1" t="str">
            <v>010218000</v>
          </cell>
        </row>
        <row r="8">
          <cell r="C8" t="str">
            <v>Proposed</v>
          </cell>
        </row>
      </sheetData>
      <sheetData sheetId="1">
        <row r="43">
          <cell r="L43">
            <v>728400</v>
          </cell>
        </row>
      </sheetData>
      <sheetData sheetId="2">
        <row r="11">
          <cell r="F11">
            <v>0</v>
          </cell>
        </row>
      </sheetData>
      <sheetData sheetId="3">
        <row r="15">
          <cell r="K15">
            <v>825000</v>
          </cell>
        </row>
      </sheetData>
      <sheetData sheetId="4">
        <row r="20">
          <cell r="L20"/>
        </row>
      </sheetData>
      <sheetData sheetId="5"/>
      <sheetData sheetId="6"/>
      <sheetData sheetId="7"/>
      <sheetData sheetId="8"/>
      <sheetData sheetId="9"/>
      <sheetData sheetId="10">
        <row r="10">
          <cell r="I10">
            <v>65348</v>
          </cell>
        </row>
        <row r="11">
          <cell r="I11">
            <v>62970</v>
          </cell>
        </row>
        <row r="12">
          <cell r="B12">
            <v>599.64290000000005</v>
          </cell>
          <cell r="C12">
            <v>595.87170000000003</v>
          </cell>
          <cell r="D12">
            <v>604</v>
          </cell>
          <cell r="I12">
            <v>2378</v>
          </cell>
        </row>
        <row r="13">
          <cell r="I13">
            <v>0.04</v>
          </cell>
        </row>
        <row r="15">
          <cell r="E15" t="str">
            <v>Comments on average salary calculation (Optional): Includes $9,000 CSF Base Base</v>
          </cell>
        </row>
        <row r="16">
          <cell r="C16">
            <v>0</v>
          </cell>
          <cell r="D16">
            <v>0</v>
          </cell>
        </row>
        <row r="19">
          <cell r="C19">
            <v>0</v>
          </cell>
          <cell r="D19">
            <v>0</v>
          </cell>
        </row>
        <row r="22">
          <cell r="B22">
            <v>7024688</v>
          </cell>
          <cell r="D22">
            <v>7753088</v>
          </cell>
        </row>
        <row r="23">
          <cell r="B23">
            <v>888080</v>
          </cell>
          <cell r="D23">
            <v>1713080</v>
          </cell>
        </row>
        <row r="24">
          <cell r="B24">
            <v>1727255</v>
          </cell>
          <cell r="D24">
            <v>1727255</v>
          </cell>
        </row>
        <row r="33">
          <cell r="C33">
            <v>3300000</v>
          </cell>
          <cell r="D33">
            <v>2387339</v>
          </cell>
          <cell r="E33">
            <v>554844</v>
          </cell>
          <cell r="F33">
            <v>185561</v>
          </cell>
        </row>
        <row r="35">
          <cell r="C35">
            <v>445000</v>
          </cell>
          <cell r="D35">
            <v>241190</v>
          </cell>
          <cell r="E35">
            <v>17000</v>
          </cell>
          <cell r="F35">
            <v>5135</v>
          </cell>
        </row>
        <row r="36">
          <cell r="C36">
            <v>54500</v>
          </cell>
          <cell r="D36">
            <v>41165</v>
          </cell>
          <cell r="E36">
            <v>10200</v>
          </cell>
          <cell r="F36">
            <v>10500</v>
          </cell>
        </row>
        <row r="37">
          <cell r="C37">
            <v>83000</v>
          </cell>
          <cell r="D37">
            <v>448840</v>
          </cell>
          <cell r="E37">
            <v>75500</v>
          </cell>
          <cell r="F37">
            <v>279600</v>
          </cell>
        </row>
        <row r="38">
          <cell r="C38">
            <v>0</v>
          </cell>
          <cell r="D38">
            <v>0</v>
          </cell>
          <cell r="E38">
            <v>6500</v>
          </cell>
          <cell r="F38">
            <v>1200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20000</v>
          </cell>
          <cell r="F40">
            <v>20000</v>
          </cell>
        </row>
        <row r="41">
          <cell r="C41">
            <v>13000</v>
          </cell>
          <cell r="D41">
            <v>12000</v>
          </cell>
          <cell r="E41">
            <v>11000</v>
          </cell>
          <cell r="F41">
            <v>1000</v>
          </cell>
        </row>
        <row r="42">
          <cell r="C42">
            <v>143000</v>
          </cell>
          <cell r="D42">
            <v>112500</v>
          </cell>
          <cell r="E42">
            <v>180500</v>
          </cell>
          <cell r="F42">
            <v>128500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6">
          <cell r="C46">
            <v>1089500</v>
          </cell>
          <cell r="D46">
            <v>870000</v>
          </cell>
          <cell r="E46">
            <v>107000</v>
          </cell>
          <cell r="F46">
            <v>61500</v>
          </cell>
        </row>
        <row r="48">
          <cell r="C48">
            <v>170000</v>
          </cell>
          <cell r="D48">
            <v>17700</v>
          </cell>
          <cell r="E48">
            <v>334000</v>
          </cell>
          <cell r="F48">
            <v>709692</v>
          </cell>
        </row>
        <row r="49">
          <cell r="C49">
            <v>68200</v>
          </cell>
          <cell r="D49">
            <v>168888</v>
          </cell>
          <cell r="E49">
            <v>66550</v>
          </cell>
          <cell r="F49">
            <v>62420</v>
          </cell>
        </row>
        <row r="50">
          <cell r="C50">
            <v>0</v>
          </cell>
          <cell r="D50">
            <v>4900</v>
          </cell>
          <cell r="E50">
            <v>10350</v>
          </cell>
          <cell r="F50">
            <v>3000</v>
          </cell>
        </row>
        <row r="51">
          <cell r="C51">
            <v>50000</v>
          </cell>
          <cell r="D51">
            <v>0</v>
          </cell>
          <cell r="E51">
            <v>2500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1000000</v>
          </cell>
          <cell r="D55">
            <v>831852</v>
          </cell>
          <cell r="E55">
            <v>466944</v>
          </cell>
          <cell r="F55">
            <v>392000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/>
          <cell r="E58"/>
        </row>
        <row r="59">
          <cell r="D59">
            <v>0</v>
          </cell>
          <cell r="F59">
            <v>0</v>
          </cell>
        </row>
        <row r="60">
          <cell r="C60">
            <v>64000</v>
          </cell>
          <cell r="D60">
            <v>0</v>
          </cell>
          <cell r="E60">
            <v>10000</v>
          </cell>
          <cell r="F60">
            <v>28206</v>
          </cell>
        </row>
      </sheetData>
      <sheetData sheetId="11">
        <row r="6">
          <cell r="C6">
            <v>8353088</v>
          </cell>
          <cell r="D6">
            <v>7024688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1464775</v>
          </cell>
          <cell r="D10">
            <v>888080</v>
          </cell>
        </row>
        <row r="11">
          <cell r="C11">
            <v>7638182</v>
          </cell>
          <cell r="D11">
            <v>6790673</v>
          </cell>
        </row>
        <row r="12">
          <cell r="C12">
            <v>178919</v>
          </cell>
          <cell r="D12">
            <v>260433</v>
          </cell>
        </row>
        <row r="13">
          <cell r="C13">
            <v>2804692</v>
          </cell>
          <cell r="D13">
            <v>1727255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613</v>
          </cell>
          <cell r="D16">
            <v>654</v>
          </cell>
        </row>
        <row r="17">
          <cell r="C17">
            <v>65200</v>
          </cell>
          <cell r="D17">
            <v>10000</v>
          </cell>
        </row>
        <row r="18">
          <cell r="C18">
            <v>31300</v>
          </cell>
          <cell r="D18">
            <v>222</v>
          </cell>
        </row>
        <row r="19">
          <cell r="C19">
            <v>0</v>
          </cell>
          <cell r="D19">
            <v>0</v>
          </cell>
        </row>
        <row r="20">
          <cell r="C20">
            <v>625000</v>
          </cell>
          <cell r="D20">
            <v>650000</v>
          </cell>
        </row>
        <row r="21">
          <cell r="C21">
            <v>1149000</v>
          </cell>
          <cell r="D21">
            <v>982466</v>
          </cell>
        </row>
        <row r="25">
          <cell r="D25">
            <v>1541450</v>
          </cell>
          <cell r="E25">
            <v>1541450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356650</v>
          </cell>
          <cell r="E32">
            <v>356650</v>
          </cell>
        </row>
        <row r="33">
          <cell r="D33">
            <v>1898100</v>
          </cell>
          <cell r="E33">
            <v>1898100</v>
          </cell>
        </row>
        <row r="38">
          <cell r="D38">
            <v>0</v>
          </cell>
          <cell r="E38">
            <v>7</v>
          </cell>
          <cell r="F38">
            <v>7</v>
          </cell>
          <cell r="H38">
            <v>86.3</v>
          </cell>
        </row>
        <row r="39">
          <cell r="D39">
            <v>0</v>
          </cell>
          <cell r="E39">
            <v>45</v>
          </cell>
          <cell r="F39">
            <v>45</v>
          </cell>
          <cell r="H39">
            <v>13.4</v>
          </cell>
        </row>
        <row r="40">
          <cell r="D40">
            <v>0</v>
          </cell>
          <cell r="E40">
            <v>6</v>
          </cell>
          <cell r="F40">
            <v>6</v>
          </cell>
          <cell r="H40">
            <v>100.7</v>
          </cell>
        </row>
        <row r="41">
          <cell r="D41">
            <v>0</v>
          </cell>
          <cell r="E41">
            <v>58</v>
          </cell>
          <cell r="F41">
            <v>58</v>
          </cell>
          <cell r="H41">
            <v>10.4</v>
          </cell>
        </row>
        <row r="43">
          <cell r="D43">
            <v>0</v>
          </cell>
          <cell r="E43">
            <v>4</v>
          </cell>
          <cell r="F43">
            <v>4</v>
          </cell>
          <cell r="H43">
            <v>151</v>
          </cell>
        </row>
        <row r="44">
          <cell r="D44"/>
          <cell r="E44">
            <v>6</v>
          </cell>
          <cell r="F44">
            <v>6</v>
          </cell>
          <cell r="H44">
            <v>100.7</v>
          </cell>
        </row>
        <row r="45">
          <cell r="D45"/>
          <cell r="E45">
            <v>57</v>
          </cell>
          <cell r="F45">
            <v>57</v>
          </cell>
          <cell r="H45">
            <v>10.6</v>
          </cell>
        </row>
        <row r="46">
          <cell r="D46">
            <v>0</v>
          </cell>
          <cell r="E46">
            <v>67</v>
          </cell>
          <cell r="F46">
            <v>67</v>
          </cell>
          <cell r="H46">
            <v>9</v>
          </cell>
        </row>
        <row r="47">
          <cell r="D47">
            <v>0</v>
          </cell>
          <cell r="E47">
            <v>125</v>
          </cell>
          <cell r="F47">
            <v>125</v>
          </cell>
          <cell r="H47">
            <v>4.8</v>
          </cell>
        </row>
        <row r="50">
          <cell r="D50"/>
          <cell r="E50">
            <v>5</v>
          </cell>
          <cell r="F50">
            <v>5</v>
          </cell>
          <cell r="H50">
            <v>87</v>
          </cell>
        </row>
        <row r="51">
          <cell r="D51"/>
          <cell r="E51">
            <v>7</v>
          </cell>
          <cell r="F51">
            <v>7</v>
          </cell>
          <cell r="H51">
            <v>87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36"/>
  <sheetViews>
    <sheetView showGridLines="0" tabSelected="1" workbookViewId="0">
      <selection activeCell="K61" sqref="K61:L61"/>
    </sheetView>
  </sheetViews>
  <sheetFormatPr defaultColWidth="9.42578125" defaultRowHeight="12.75"/>
  <cols>
    <col min="1" max="1" width="20.42578125" style="10" customWidth="1"/>
    <col min="2" max="2" width="6.42578125" style="10" customWidth="1"/>
    <col min="3" max="3" width="17.85546875" style="10" customWidth="1"/>
    <col min="4" max="5" width="11" style="10" customWidth="1"/>
    <col min="6" max="7" width="5.5703125" style="10" customWidth="1"/>
    <col min="8" max="8" width="10.5703125" style="10" customWidth="1"/>
    <col min="9" max="9" width="11" style="10" customWidth="1"/>
    <col min="10" max="10" width="12.5703125" style="10" customWidth="1"/>
    <col min="11" max="12" width="5.5703125" style="10" customWidth="1"/>
    <col min="13" max="13" width="9.42578125" style="10" customWidth="1"/>
    <col min="14" max="14" width="7.5703125" style="10" customWidth="1"/>
    <col min="15" max="15" width="13" style="10" customWidth="1"/>
    <col min="16" max="17" width="9.42578125" style="10" customWidth="1"/>
    <col min="18" max="18" width="13.5703125" style="10" customWidth="1"/>
    <col min="19" max="23" width="9.42578125" style="10" customWidth="1"/>
    <col min="24" max="16384" width="9.42578125" style="10"/>
  </cols>
  <sheetData>
    <row r="1" spans="1:24" ht="12.75" customHeight="1">
      <c r="A1"/>
      <c r="B1" s="8" t="s">
        <v>17</v>
      </c>
      <c r="C1" s="9" t="str">
        <f>[1]Cover!$C$1</f>
        <v>Sanders Unified School District No. 18</v>
      </c>
      <c r="D1" s="9"/>
      <c r="F1"/>
      <c r="G1"/>
      <c r="H1"/>
      <c r="I1" s="8" t="s">
        <v>16</v>
      </c>
      <c r="J1" s="11" t="e">
        <f ca="1">_xlfn.SINGLE([1]Cover!S1)</f>
        <v>#NAME?</v>
      </c>
      <c r="K1" s="12"/>
      <c r="L1" s="13"/>
      <c r="M1" s="14" t="s">
        <v>132</v>
      </c>
      <c r="N1" s="13"/>
      <c r="O1"/>
      <c r="P1" s="15"/>
      <c r="Q1" s="15"/>
      <c r="R1" s="15"/>
      <c r="S1" s="15"/>
      <c r="T1" s="15"/>
      <c r="U1" s="15"/>
      <c r="V1" s="15"/>
      <c r="W1" s="15"/>
      <c r="X1" s="16"/>
    </row>
    <row r="2" spans="1:24">
      <c r="A2" s="8"/>
      <c r="B2" s="8"/>
      <c r="C2" s="17"/>
      <c r="D2" s="8"/>
      <c r="E2" s="8"/>
      <c r="F2"/>
      <c r="G2"/>
      <c r="H2"/>
      <c r="I2" s="18"/>
      <c r="J2" s="13"/>
      <c r="K2" s="13"/>
      <c r="L2" s="13"/>
      <c r="M2" s="14" t="s">
        <v>133</v>
      </c>
      <c r="N2" s="13"/>
      <c r="O2"/>
      <c r="P2" s="15"/>
      <c r="Q2" s="15"/>
      <c r="R2" s="15"/>
      <c r="S2" s="15"/>
      <c r="T2" s="15"/>
      <c r="U2" s="15"/>
      <c r="V2" s="15"/>
      <c r="W2" s="15"/>
      <c r="X2" s="16"/>
    </row>
    <row r="3" spans="1:24" ht="29.25" customHeight="1">
      <c r="A3" s="211" t="str">
        <f>IF(ISNUMBER(SEARCH("Revised*",K22)),M1,M2)</f>
        <v>This is a notification that the above mentioned School District will be having a public hearing and board meeting to adopt its Fiscal Year 2026 Expenditure Budget.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/>
      <c r="N3" s="15"/>
      <c r="O3"/>
      <c r="P3" s="15"/>
      <c r="Q3" s="15"/>
      <c r="R3" s="15"/>
      <c r="S3" s="15"/>
      <c r="T3" s="15"/>
      <c r="U3" s="15"/>
      <c r="V3" s="15"/>
      <c r="W3" s="15"/>
      <c r="X3" s="15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8" t="s">
        <v>2</v>
      </c>
      <c r="C5" s="224">
        <v>45828</v>
      </c>
      <c r="D5" s="224"/>
      <c r="E5"/>
      <c r="F5"/>
      <c r="G5"/>
      <c r="H5" s="8" t="s">
        <v>3</v>
      </c>
      <c r="I5" s="225">
        <v>0.375</v>
      </c>
      <c r="J5" s="225"/>
      <c r="K5" s="19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8"/>
      <c r="B6" s="8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26" t="s">
        <v>15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8" t="s">
        <v>4</v>
      </c>
      <c r="C8" s="220" t="s">
        <v>143</v>
      </c>
      <c r="D8" s="221"/>
      <c r="E8" s="221"/>
      <c r="F8" s="221"/>
      <c r="G8" s="221"/>
      <c r="H8" s="221"/>
      <c r="I8" s="2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8" t="s">
        <v>5</v>
      </c>
      <c r="C9" s="220" t="s">
        <v>144</v>
      </c>
      <c r="D9" s="221"/>
      <c r="E9" s="8" t="s">
        <v>7</v>
      </c>
      <c r="F9" s="195" t="s">
        <v>144</v>
      </c>
      <c r="G9" s="196"/>
      <c r="H9" s="196"/>
      <c r="I9" s="196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8" t="s">
        <v>6</v>
      </c>
      <c r="C10" s="222" t="s">
        <v>145</v>
      </c>
      <c r="D10" s="223"/>
      <c r="E10" s="8" t="s">
        <v>8</v>
      </c>
      <c r="F10" s="20" t="s">
        <v>0</v>
      </c>
      <c r="G10" s="17"/>
      <c r="H10" s="8" t="s">
        <v>9</v>
      </c>
      <c r="I10" s="5">
        <v>86512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8"/>
      <c r="B11" s="8"/>
      <c r="C11" s="8"/>
      <c r="D11" s="17"/>
      <c r="E11" s="8"/>
      <c r="F11" s="17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194" t="s">
        <v>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8" t="s">
        <v>10</v>
      </c>
      <c r="C13" s="195" t="s">
        <v>146</v>
      </c>
      <c r="D13" s="196"/>
      <c r="H13" s="8" t="s">
        <v>12</v>
      </c>
      <c r="I13" s="195" t="s">
        <v>148</v>
      </c>
      <c r="J13" s="196"/>
      <c r="K13" s="17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8" t="s">
        <v>11</v>
      </c>
      <c r="C14" s="209" t="s">
        <v>147</v>
      </c>
      <c r="D14" s="210"/>
      <c r="E14"/>
      <c r="F14"/>
      <c r="G14"/>
      <c r="H14" s="8" t="s">
        <v>13</v>
      </c>
      <c r="I14" s="210">
        <v>4758</v>
      </c>
      <c r="J14" s="210"/>
      <c r="K14" s="17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14" t="s">
        <v>18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3"/>
      <c r="N16" s="3"/>
      <c r="O16" s="3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15" t="s">
        <v>14</v>
      </c>
      <c r="B18" s="215"/>
      <c r="C18" s="215"/>
      <c r="D18" s="215"/>
      <c r="E18" s="215"/>
      <c r="F18" s="215"/>
      <c r="G18" s="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16" t="s">
        <v>149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8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21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19" t="str">
        <f>IF(ISNUMBER(SEARCH("Revised*",K22)),M27,M26)</f>
        <v xml:space="preserve"> SUMMARY OF SCHOOL DISTRICT PROPOSED EXPENDITURE BUDGET</v>
      </c>
      <c r="B21" s="219"/>
      <c r="C21" s="219"/>
      <c r="D21" s="219"/>
      <c r="E21" s="219"/>
      <c r="F21" s="219"/>
      <c r="G21" s="219"/>
      <c r="H21" s="219"/>
      <c r="I21"/>
      <c r="J21" s="22" t="s">
        <v>19</v>
      </c>
      <c r="K21" s="200" t="e">
        <f ca="1">J1</f>
        <v>#NAME?</v>
      </c>
      <c r="L21" s="200"/>
      <c r="M21" s="21" t="s">
        <v>112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3"/>
      <c r="B22" s="23"/>
      <c r="C22" s="24"/>
      <c r="D22" s="24"/>
      <c r="E22" s="24"/>
      <c r="F22" s="24"/>
      <c r="G22" s="24"/>
      <c r="H22" s="24"/>
      <c r="I22"/>
      <c r="J22" s="25" t="s">
        <v>20</v>
      </c>
      <c r="K22" s="201" t="str">
        <f>[1]Cover!$C$8</f>
        <v>Proposed</v>
      </c>
      <c r="L22" s="201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6" t="s">
        <v>21</v>
      </c>
      <c r="B23" s="197" t="s">
        <v>150</v>
      </c>
      <c r="C23" s="198"/>
      <c r="D23" s="198"/>
      <c r="E23" s="27" t="s">
        <v>22</v>
      </c>
      <c r="F23" s="227" t="s">
        <v>151</v>
      </c>
      <c r="G23" s="227"/>
      <c r="H23" s="28" t="s">
        <v>134</v>
      </c>
      <c r="I23" s="28"/>
      <c r="J23" s="28"/>
      <c r="K23" s="28"/>
      <c r="L23"/>
      <c r="M23" s="21" t="s">
        <v>135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4" t="str">
        <f>IF(ISNUMBER(SEARCH("Revised*",K22)),M20,M21)</f>
        <v>proposed by the Governing Board on</v>
      </c>
      <c r="B24" s="4"/>
      <c r="C24" s="6" t="s">
        <v>152</v>
      </c>
      <c r="D24" s="4" t="str">
        <f>IF(ISNUMBER(SEARCH("Revised*",K22)),M23,M24)</f>
        <v>, 2025, and that the complete Proposed Expenditure Budget may be reviewed by contacting</v>
      </c>
      <c r="E24" s="4"/>
      <c r="F24"/>
      <c r="G24" s="4"/>
      <c r="H24" s="4"/>
      <c r="I24" s="4"/>
      <c r="J24" s="4"/>
      <c r="K24" s="4"/>
      <c r="L24" s="4"/>
      <c r="M24" s="21" t="s">
        <v>136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7" t="s">
        <v>146</v>
      </c>
      <c r="B25" s="199" t="s">
        <v>113</v>
      </c>
      <c r="C25" s="199"/>
      <c r="D25" s="199"/>
      <c r="E25" s="291" t="s">
        <v>153</v>
      </c>
      <c r="F25" s="291"/>
      <c r="G25" s="291"/>
      <c r="H25" s="212" t="s">
        <v>24</v>
      </c>
      <c r="I25" s="212"/>
      <c r="J25" s="212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9"/>
      <c r="B26" s="29"/>
      <c r="C26" s="30"/>
      <c r="D26" s="30"/>
      <c r="E26" s="213"/>
      <c r="F26" s="213"/>
      <c r="G26" s="213"/>
      <c r="H26" s="213"/>
      <c r="I26" s="29"/>
      <c r="J26" s="29"/>
      <c r="K26" s="29"/>
      <c r="L26"/>
      <c r="M26" s="31" t="s">
        <v>116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9"/>
      <c r="B27" s="29"/>
      <c r="C27" s="30"/>
      <c r="D27" s="30"/>
      <c r="E27" s="202" t="s">
        <v>25</v>
      </c>
      <c r="F27" s="202"/>
      <c r="G27" s="202"/>
      <c r="H27" s="202"/>
      <c r="I27" s="29"/>
      <c r="J27" s="29"/>
      <c r="K27" s="29"/>
      <c r="L27"/>
      <c r="M27" s="31" t="s">
        <v>115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2"/>
      <c r="B28" s="32"/>
      <c r="C28" s="32"/>
      <c r="D28" s="32"/>
      <c r="E28" s="32"/>
      <c r="F28" s="32"/>
      <c r="G28" s="32"/>
      <c r="H28" s="29"/>
      <c r="I28" s="29"/>
      <c r="J28" s="29"/>
      <c r="K28" s="29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63" t="s">
        <v>26</v>
      </c>
      <c r="B29" s="191"/>
      <c r="C29" s="33"/>
      <c r="D29" s="34" t="s">
        <v>28</v>
      </c>
      <c r="E29" s="34" t="s">
        <v>29</v>
      </c>
      <c r="F29" s="35" t="s">
        <v>126</v>
      </c>
      <c r="G29" s="36"/>
      <c r="H29" s="37"/>
      <c r="I29" s="38"/>
      <c r="J29" s="38"/>
      <c r="K29" s="38"/>
      <c r="L29" s="39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0"/>
      <c r="B30" s="32"/>
      <c r="C30" s="178" t="s">
        <v>130</v>
      </c>
      <c r="D30" s="178" t="s">
        <v>131</v>
      </c>
      <c r="E30" s="178" t="s">
        <v>137</v>
      </c>
      <c r="F30" s="179" t="s">
        <v>138</v>
      </c>
      <c r="G30" s="41"/>
      <c r="H30" s="42"/>
      <c r="I30" s="43"/>
      <c r="K30" s="203">
        <f>[1]!BudgetYearSalarySumm</f>
        <v>65348</v>
      </c>
      <c r="L30" s="204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192" t="s">
        <v>30</v>
      </c>
      <c r="B31" s="44"/>
      <c r="C31" s="45"/>
      <c r="D31" s="45"/>
      <c r="E31" s="46"/>
      <c r="F31" s="179" t="s">
        <v>139</v>
      </c>
      <c r="G31" s="41"/>
      <c r="H31" s="42"/>
      <c r="I31" s="43"/>
      <c r="K31" s="205">
        <f>[1]!PriorYearSalarySumm</f>
        <v>62970</v>
      </c>
      <c r="L31" s="206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193"/>
      <c r="B32" s="47"/>
      <c r="C32" s="48">
        <f>[1]!TwoPriorYearADM</f>
        <v>599.64290000000005</v>
      </c>
      <c r="D32" s="48">
        <f>[1]!PriorYearADM</f>
        <v>595.87170000000003</v>
      </c>
      <c r="E32" s="49">
        <f>[1]!BudgetYearADM</f>
        <v>604</v>
      </c>
      <c r="F32" s="50" t="s">
        <v>102</v>
      </c>
      <c r="G32" s="41"/>
      <c r="H32" s="42"/>
      <c r="I32" s="43"/>
      <c r="K32" s="207">
        <f>[1]!SalaryIncreaseSumm</f>
        <v>2378</v>
      </c>
      <c r="L32" s="208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1" t="s">
        <v>27</v>
      </c>
      <c r="B33" s="52"/>
      <c r="C33" s="52"/>
      <c r="D33" s="53" t="s">
        <v>39</v>
      </c>
      <c r="E33" s="53" t="s">
        <v>104</v>
      </c>
      <c r="F33" s="50" t="s">
        <v>103</v>
      </c>
      <c r="G33" s="41"/>
      <c r="H33" s="42"/>
      <c r="I33" s="43"/>
      <c r="K33" s="289">
        <f>[1]!PercentageIncreaseSumm</f>
        <v>0.04</v>
      </c>
      <c r="L33" s="290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55" t="s">
        <v>105</v>
      </c>
      <c r="B34" s="256"/>
      <c r="C34" s="257"/>
      <c r="D34" s="238">
        <f>[1]!PrimTaxRatePYSumm</f>
        <v>0</v>
      </c>
      <c r="E34" s="258">
        <f>[1]!EstTaxRateBudgFYSumm</f>
        <v>0</v>
      </c>
      <c r="F34" s="54"/>
      <c r="G34" s="54"/>
      <c r="H34" s="55"/>
      <c r="I34" s="55"/>
      <c r="J34" s="55"/>
      <c r="K34" s="55"/>
      <c r="L34" s="56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55"/>
      <c r="B35" s="256"/>
      <c r="C35" s="257"/>
      <c r="D35" s="239"/>
      <c r="E35" s="259"/>
      <c r="F35" s="270" t="str">
        <f>IF([1]!SalaryCommentsSumm="","",[1]!SalaryCommentsSumm)</f>
        <v>Comments on average salary calculation (Optional): Includes $9,000 CSF Base Base</v>
      </c>
      <c r="G35" s="271"/>
      <c r="H35" s="271"/>
      <c r="I35" s="271"/>
      <c r="J35" s="271"/>
      <c r="K35" s="271"/>
      <c r="L35" s="272"/>
      <c r="M35"/>
      <c r="N35"/>
      <c r="O35"/>
      <c r="P35"/>
      <c r="Q35" s="57"/>
      <c r="R35" s="58"/>
      <c r="S35" s="57"/>
      <c r="T35" s="58"/>
      <c r="U35" s="58"/>
      <c r="V35"/>
      <c r="W35"/>
      <c r="X35"/>
    </row>
    <row r="36" spans="1:24" ht="9.75" customHeight="1">
      <c r="A36" s="255"/>
      <c r="B36" s="256"/>
      <c r="C36" s="257"/>
      <c r="D36" s="240"/>
      <c r="E36" s="260"/>
      <c r="F36" s="273"/>
      <c r="G36" s="274"/>
      <c r="H36" s="274"/>
      <c r="I36" s="274"/>
      <c r="J36" s="274"/>
      <c r="K36" s="274"/>
      <c r="L36" s="275"/>
      <c r="M36"/>
      <c r="N36"/>
      <c r="O36"/>
      <c r="P36"/>
      <c r="Q36" s="59"/>
      <c r="R36" s="60"/>
      <c r="S36" s="61"/>
      <c r="T36" s="61"/>
      <c r="U36" s="58"/>
      <c r="V36"/>
      <c r="W36"/>
      <c r="X36"/>
    </row>
    <row r="37" spans="1:24" ht="12" customHeight="1">
      <c r="A37" s="264" t="s">
        <v>114</v>
      </c>
      <c r="B37" s="265"/>
      <c r="C37" s="266"/>
      <c r="D37" s="261">
        <f>[1]!SecTaxRatePYSumm</f>
        <v>0</v>
      </c>
      <c r="E37" s="262">
        <f>[1]!SecTaxRateBudgFYSumm</f>
        <v>0</v>
      </c>
      <c r="F37" s="273"/>
      <c r="G37" s="274"/>
      <c r="H37" s="274"/>
      <c r="I37" s="274"/>
      <c r="J37" s="274"/>
      <c r="K37" s="274"/>
      <c r="L37" s="275"/>
      <c r="M37"/>
      <c r="N37"/>
      <c r="O37"/>
      <c r="P37"/>
      <c r="Q37" s="59"/>
      <c r="R37" s="42"/>
      <c r="S37" s="43"/>
      <c r="U37" s="62"/>
      <c r="V37"/>
      <c r="W37"/>
      <c r="X37"/>
    </row>
    <row r="38" spans="1:24" ht="11.25" customHeight="1">
      <c r="A38" s="264"/>
      <c r="B38" s="265"/>
      <c r="C38" s="266"/>
      <c r="D38" s="239"/>
      <c r="E38" s="259"/>
      <c r="F38" s="273"/>
      <c r="G38" s="274"/>
      <c r="H38" s="274"/>
      <c r="I38" s="274"/>
      <c r="J38" s="274"/>
      <c r="K38" s="274"/>
      <c r="L38" s="275"/>
      <c r="M38"/>
      <c r="N38"/>
      <c r="O38"/>
      <c r="P38"/>
      <c r="Q38" s="59"/>
      <c r="R38" s="42"/>
      <c r="S38" s="43"/>
      <c r="U38" s="62"/>
      <c r="V38"/>
      <c r="W38"/>
      <c r="X38"/>
    </row>
    <row r="39" spans="1:24" ht="10.5" customHeight="1">
      <c r="A39" s="267"/>
      <c r="B39" s="268"/>
      <c r="C39" s="269"/>
      <c r="D39" s="240"/>
      <c r="E39" s="263"/>
      <c r="F39" s="273"/>
      <c r="G39" s="274"/>
      <c r="H39" s="274"/>
      <c r="I39" s="274"/>
      <c r="J39" s="274"/>
      <c r="K39" s="274"/>
      <c r="L39" s="275"/>
      <c r="M39"/>
      <c r="N39"/>
      <c r="O39"/>
      <c r="P39"/>
      <c r="Q39" s="59"/>
      <c r="R39" s="42"/>
      <c r="S39" s="43"/>
      <c r="U39" s="62"/>
      <c r="V39"/>
      <c r="W39"/>
      <c r="X39"/>
    </row>
    <row r="40" spans="1:24">
      <c r="A40" s="63" t="s">
        <v>111</v>
      </c>
      <c r="B40" s="64"/>
      <c r="C40" s="65" t="s">
        <v>109</v>
      </c>
      <c r="D40" s="187" t="s">
        <v>109</v>
      </c>
      <c r="E40" s="66"/>
      <c r="F40" s="273"/>
      <c r="G40" s="274"/>
      <c r="H40" s="274"/>
      <c r="I40" s="274"/>
      <c r="J40" s="274"/>
      <c r="K40" s="274"/>
      <c r="L40" s="275"/>
      <c r="M40"/>
      <c r="N40"/>
      <c r="O40"/>
      <c r="P40"/>
      <c r="Q40" s="59"/>
      <c r="R40" s="42"/>
      <c r="S40" s="43"/>
      <c r="U40" s="67"/>
      <c r="V40"/>
      <c r="W40"/>
      <c r="X40"/>
    </row>
    <row r="41" spans="1:24" ht="11.25" customHeight="1">
      <c r="A41" s="68"/>
      <c r="B41"/>
      <c r="C41" s="27" t="s">
        <v>110</v>
      </c>
      <c r="D41" s="188" t="s">
        <v>140</v>
      </c>
      <c r="E41" s="69" t="s">
        <v>117</v>
      </c>
      <c r="F41" s="273"/>
      <c r="G41" s="274"/>
      <c r="H41" s="274"/>
      <c r="I41" s="274"/>
      <c r="J41" s="274"/>
      <c r="K41" s="274"/>
      <c r="L41" s="275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0" t="s">
        <v>106</v>
      </c>
      <c r="B42" s="64"/>
      <c r="C42" s="71">
        <f>[1]!F001TotalExpSumm</f>
        <v>7024688</v>
      </c>
      <c r="D42" s="71">
        <f t="array" ref="D42">[1]!F001Carryforward</f>
        <v>728400</v>
      </c>
      <c r="E42" s="72">
        <f>[1]!GBLBudgFYSumm</f>
        <v>7753088</v>
      </c>
      <c r="F42" s="273"/>
      <c r="G42" s="274"/>
      <c r="H42" s="274"/>
      <c r="I42" s="274"/>
      <c r="J42" s="274"/>
      <c r="K42" s="274"/>
      <c r="L42" s="275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0" t="s">
        <v>107</v>
      </c>
      <c r="B43" s="64"/>
      <c r="C43" s="73">
        <f>[1]!CSFExpBudgFYSumm</f>
        <v>888080</v>
      </c>
      <c r="D43" s="73">
        <f t="array" ref="D43">[1]!F010Carryforward</f>
        <v>825000</v>
      </c>
      <c r="E43" s="74">
        <f>[1]!CSFBLBudgFYSumm</f>
        <v>1713080</v>
      </c>
      <c r="F43" s="273"/>
      <c r="G43" s="274"/>
      <c r="H43" s="274"/>
      <c r="I43" s="274"/>
      <c r="J43" s="274"/>
      <c r="K43" s="274"/>
      <c r="L43" s="275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5" t="s">
        <v>108</v>
      </c>
      <c r="B44" s="76"/>
      <c r="C44" s="78">
        <f>[1]!UCOBudgFYSumm</f>
        <v>1727255</v>
      </c>
      <c r="D44" s="78">
        <f t="array" ref="D44">[1]!F610Carryforward</f>
        <v>0</v>
      </c>
      <c r="E44" s="79">
        <f>[1]!UCBLBudgFYSumm</f>
        <v>1727255</v>
      </c>
      <c r="F44" s="276"/>
      <c r="G44" s="277"/>
      <c r="H44" s="277"/>
      <c r="I44" s="277"/>
      <c r="J44" s="277"/>
      <c r="K44" s="277"/>
      <c r="L44" s="278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3"/>
      <c r="B45" s="23"/>
      <c r="C45" s="80"/>
      <c r="D45" s="249"/>
      <c r="E45" s="249"/>
      <c r="F45" s="249"/>
      <c r="G45" s="249"/>
      <c r="H45" s="249"/>
      <c r="I45" s="249"/>
      <c r="J45" s="249"/>
      <c r="K45" s="249"/>
      <c r="L45" s="250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1"/>
      <c r="B46" s="81"/>
      <c r="C46" s="81"/>
      <c r="D46" s="251"/>
      <c r="E46" s="251"/>
      <c r="F46" s="251"/>
      <c r="G46" s="251"/>
      <c r="H46" s="251"/>
      <c r="I46" s="251"/>
      <c r="J46" s="251"/>
      <c r="K46" s="251"/>
      <c r="L46" s="252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2" t="s">
        <v>32</v>
      </c>
      <c r="B47" s="83"/>
      <c r="C47" s="84"/>
      <c r="D47" s="84"/>
      <c r="E47" s="85"/>
      <c r="F47" s="85"/>
      <c r="G47" s="85"/>
      <c r="H47" s="85"/>
      <c r="I47" s="85"/>
      <c r="J47" s="85"/>
      <c r="K47" s="85"/>
      <c r="L47" s="86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87"/>
      <c r="B48" s="32"/>
      <c r="C48" s="88"/>
      <c r="D48" s="51"/>
      <c r="E48" s="89"/>
      <c r="F48" s="29"/>
      <c r="G48" s="29"/>
      <c r="H48" s="90"/>
      <c r="I48" s="91" t="s">
        <v>33</v>
      </c>
      <c r="J48" s="90"/>
      <c r="K48" s="245" t="s">
        <v>34</v>
      </c>
      <c r="L48" s="293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87"/>
      <c r="B49" s="32"/>
      <c r="C49" s="32"/>
      <c r="D49" s="93" t="s">
        <v>35</v>
      </c>
      <c r="E49" s="94"/>
      <c r="F49" s="95" t="s">
        <v>36</v>
      </c>
      <c r="G49" s="96"/>
      <c r="H49" s="94"/>
      <c r="I49" s="93" t="s">
        <v>37</v>
      </c>
      <c r="J49" s="94"/>
      <c r="K49" s="294" t="s">
        <v>38</v>
      </c>
      <c r="L49" s="295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87"/>
      <c r="B50" s="32"/>
      <c r="C50" s="32"/>
      <c r="D50" s="98" t="s">
        <v>39</v>
      </c>
      <c r="E50" s="98" t="s">
        <v>31</v>
      </c>
      <c r="F50" s="245" t="s">
        <v>39</v>
      </c>
      <c r="G50" s="246"/>
      <c r="H50" s="98" t="s">
        <v>31</v>
      </c>
      <c r="I50" s="98" t="s">
        <v>39</v>
      </c>
      <c r="J50" s="98" t="s">
        <v>31</v>
      </c>
      <c r="K50" s="294" t="s">
        <v>39</v>
      </c>
      <c r="L50" s="295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87"/>
      <c r="B51" s="32"/>
      <c r="C51" s="32"/>
      <c r="D51" s="99"/>
      <c r="E51" s="99"/>
      <c r="F51" s="300"/>
      <c r="G51" s="301"/>
      <c r="H51" s="99"/>
      <c r="I51" s="99"/>
      <c r="J51" s="99"/>
      <c r="K51" s="296"/>
      <c r="L51" s="297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2" t="s">
        <v>40</v>
      </c>
      <c r="B52" s="103"/>
      <c r="C52" s="32"/>
      <c r="D52" s="228">
        <f>'[1]Summary Page 1'!$C$33</f>
        <v>3300000</v>
      </c>
      <c r="E52" s="228">
        <f>[1]!F001P100F1000SBBudgFY</f>
        <v>2387339</v>
      </c>
      <c r="F52" s="234">
        <f>'[1]Summary Page 1'!$E$33</f>
        <v>554844</v>
      </c>
      <c r="G52" s="235"/>
      <c r="H52" s="230">
        <f>[1]!F001P100F1000OthBudgFY</f>
        <v>185561</v>
      </c>
      <c r="I52" s="228">
        <f>D52+F52</f>
        <v>3854844</v>
      </c>
      <c r="J52" s="230">
        <f>E52+H52</f>
        <v>2572900</v>
      </c>
      <c r="K52" s="281">
        <f>IF(I52=J52,0,IF(I52&gt;0,(J52-I52)/I52,"--"))</f>
        <v>-0.33255405406807642</v>
      </c>
      <c r="L52" s="298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2" t="s">
        <v>41</v>
      </c>
      <c r="B53" s="103"/>
      <c r="C53" s="32"/>
      <c r="D53" s="229"/>
      <c r="E53" s="229"/>
      <c r="F53" s="236"/>
      <c r="G53" s="237"/>
      <c r="H53" s="231"/>
      <c r="I53" s="229"/>
      <c r="J53" s="231"/>
      <c r="K53" s="283"/>
      <c r="L53" s="299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2" t="s">
        <v>42</v>
      </c>
      <c r="B54" s="103"/>
      <c r="C54" s="32"/>
      <c r="D54" s="228">
        <f>'[1]Summary Page 1'!$C$35</f>
        <v>445000</v>
      </c>
      <c r="E54" s="230">
        <f>[1]!F001P100F2100SBBudgFY</f>
        <v>241190</v>
      </c>
      <c r="F54" s="234">
        <f>'[1]Summary Page 1'!$E$35</f>
        <v>17000</v>
      </c>
      <c r="G54" s="235"/>
      <c r="H54" s="230">
        <f>[1]!F001P100F2100OthBudgFY</f>
        <v>5135</v>
      </c>
      <c r="I54" s="228">
        <f>D54+F54</f>
        <v>462000</v>
      </c>
      <c r="J54" s="230">
        <f>E54+H54</f>
        <v>246325</v>
      </c>
      <c r="K54" s="281">
        <f>IF(I54=J54,0,IF(I54&gt;0,(J54-I54)/I54,"--"))</f>
        <v>-0.46682900432900432</v>
      </c>
      <c r="L54" s="298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2" t="s">
        <v>43</v>
      </c>
      <c r="B55" s="103"/>
      <c r="C55" s="64"/>
      <c r="D55" s="229"/>
      <c r="E55" s="231"/>
      <c r="F55" s="236"/>
      <c r="G55" s="237"/>
      <c r="H55" s="231"/>
      <c r="I55" s="229"/>
      <c r="J55" s="231"/>
      <c r="K55" s="283"/>
      <c r="L55" s="299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4" t="s">
        <v>44</v>
      </c>
      <c r="B56" s="105"/>
      <c r="C56" s="32"/>
      <c r="D56" s="106">
        <f>'[1]Summary Page 1'!$C$36</f>
        <v>54500</v>
      </c>
      <c r="E56" s="107">
        <f>[1]!F001P100F2200SBBudgFY</f>
        <v>41165</v>
      </c>
      <c r="F56" s="232">
        <f>'[1]Summary Page 1'!$E$36</f>
        <v>10200</v>
      </c>
      <c r="G56" s="233"/>
      <c r="H56" s="107">
        <f>[1]!F001P100F2200OthBudgFY</f>
        <v>10500</v>
      </c>
      <c r="I56" s="106">
        <f t="shared" ref="I56:I63" si="0">D56+F56</f>
        <v>64700</v>
      </c>
      <c r="J56" s="107">
        <f t="shared" ref="J56:J63" si="1">E56+H56</f>
        <v>51665</v>
      </c>
      <c r="K56" s="279">
        <f t="shared" ref="K56:K65" si="2">IF(I56=J56,0,IF(I56&gt;0,(J56-I56)/I56,"--"))</f>
        <v>-0.20146831530139103</v>
      </c>
      <c r="L56" s="292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4" t="s">
        <v>45</v>
      </c>
      <c r="B57" s="105"/>
      <c r="C57" s="109"/>
      <c r="D57" s="106">
        <f>'[1]Summary Page 1'!$C$37</f>
        <v>83000</v>
      </c>
      <c r="E57" s="107">
        <f>[1]!F001P100F230024002500SBBudgFY</f>
        <v>448840</v>
      </c>
      <c r="F57" s="232">
        <f>'[1]Summary Page 1'!$E$37</f>
        <v>75500</v>
      </c>
      <c r="G57" s="233"/>
      <c r="H57" s="107">
        <f>[1]!F001P100F230024002500OthBudgFY</f>
        <v>279600</v>
      </c>
      <c r="I57" s="106">
        <f t="shared" si="0"/>
        <v>158500</v>
      </c>
      <c r="J57" s="107">
        <f t="shared" si="1"/>
        <v>728440</v>
      </c>
      <c r="K57" s="279">
        <f t="shared" si="2"/>
        <v>3.5958359621451104</v>
      </c>
      <c r="L57" s="292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4" t="s">
        <v>46</v>
      </c>
      <c r="B58" s="105"/>
      <c r="C58" s="59"/>
      <c r="D58" s="106">
        <f>'[1]Summary Page 1'!$C$38</f>
        <v>0</v>
      </c>
      <c r="E58" s="107">
        <f>[1]!F001P100F2600SBBudgFY</f>
        <v>0</v>
      </c>
      <c r="F58" s="232">
        <f>'[1]Summary Page 1'!$E$38</f>
        <v>6500</v>
      </c>
      <c r="G58" s="233"/>
      <c r="H58" s="106">
        <f>[1]!F001P100F2600OthBudgFY</f>
        <v>1200</v>
      </c>
      <c r="I58" s="106">
        <f t="shared" si="0"/>
        <v>6500</v>
      </c>
      <c r="J58" s="107">
        <f t="shared" si="1"/>
        <v>1200</v>
      </c>
      <c r="K58" s="279">
        <f t="shared" si="2"/>
        <v>-0.81538461538461537</v>
      </c>
      <c r="L58" s="292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2" t="s">
        <v>47</v>
      </c>
      <c r="B59" s="103"/>
      <c r="C59" s="32"/>
      <c r="D59" s="106">
        <f>'[1]Summary Page 1'!$C$39</f>
        <v>0</v>
      </c>
      <c r="E59" s="107">
        <f>[1]!F001P100F2900SBBudgFY</f>
        <v>0</v>
      </c>
      <c r="F59" s="232">
        <f>'[1]Summary Page 1'!$E$39</f>
        <v>0</v>
      </c>
      <c r="G59" s="233"/>
      <c r="H59" s="106">
        <f>[1]!F001P100F2900OthBudgFY</f>
        <v>0</v>
      </c>
      <c r="I59" s="106">
        <f t="shared" si="0"/>
        <v>0</v>
      </c>
      <c r="J59" s="107">
        <f t="shared" si="1"/>
        <v>0</v>
      </c>
      <c r="K59" s="279">
        <f t="shared" si="2"/>
        <v>0</v>
      </c>
      <c r="L59" s="292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2" t="s">
        <v>48</v>
      </c>
      <c r="B60" s="103"/>
      <c r="C60" s="32"/>
      <c r="D60" s="106">
        <f>'[1]Summary Page 1'!$C$40</f>
        <v>0</v>
      </c>
      <c r="E60" s="107">
        <f>[1]!F001P100F3000SBBudgFY</f>
        <v>0</v>
      </c>
      <c r="F60" s="232">
        <f>'[1]Summary Page 1'!$E$40</f>
        <v>20000</v>
      </c>
      <c r="G60" s="233"/>
      <c r="H60" s="106">
        <f>[1]!F001P100F3000OthBudgFY</f>
        <v>20000</v>
      </c>
      <c r="I60" s="106">
        <f t="shared" si="0"/>
        <v>20000</v>
      </c>
      <c r="J60" s="107">
        <f t="shared" si="1"/>
        <v>20000</v>
      </c>
      <c r="K60" s="279">
        <f t="shared" si="2"/>
        <v>0</v>
      </c>
      <c r="L60" s="292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87" t="s">
        <v>49</v>
      </c>
      <c r="B61" s="32"/>
      <c r="C61" s="32"/>
      <c r="D61" s="106">
        <f>'[1]Summary Page 1'!$C$41</f>
        <v>13000</v>
      </c>
      <c r="E61" s="107">
        <f>[1]!F001P610SBBudgFY</f>
        <v>12000</v>
      </c>
      <c r="F61" s="232">
        <f>'[1]Summary Page 1'!$E$41</f>
        <v>11000</v>
      </c>
      <c r="G61" s="233"/>
      <c r="H61" s="106">
        <f>[1]!F001P610OthBudgFY</f>
        <v>1000</v>
      </c>
      <c r="I61" s="106">
        <f t="shared" si="0"/>
        <v>24000</v>
      </c>
      <c r="J61" s="107">
        <f t="shared" si="1"/>
        <v>13000</v>
      </c>
      <c r="K61" s="279">
        <f t="shared" si="2"/>
        <v>-0.45833333333333331</v>
      </c>
      <c r="L61" s="280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87" t="s">
        <v>50</v>
      </c>
      <c r="B62" s="32"/>
      <c r="C62" s="32"/>
      <c r="D62" s="106">
        <f>'[1]Summary Page 1'!$C$42</f>
        <v>143000</v>
      </c>
      <c r="E62" s="107">
        <f>[1]!F001P620SBBudgFY</f>
        <v>112500</v>
      </c>
      <c r="F62" s="232">
        <f>'[1]Summary Page 1'!$E$42</f>
        <v>180500</v>
      </c>
      <c r="G62" s="233"/>
      <c r="H62" s="106">
        <f>[1]!F001P620OthBudgFY</f>
        <v>128500</v>
      </c>
      <c r="I62" s="106">
        <f t="shared" si="0"/>
        <v>323500</v>
      </c>
      <c r="J62" s="107">
        <f t="shared" si="1"/>
        <v>241000</v>
      </c>
      <c r="K62" s="279">
        <f t="shared" si="2"/>
        <v>-0.25502318392581141</v>
      </c>
      <c r="L62" s="280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87" t="s">
        <v>51</v>
      </c>
      <c r="B63" s="32"/>
      <c r="C63" s="32"/>
      <c r="D63" s="106">
        <f>'[1]Summary Page 1'!$C$43</f>
        <v>0</v>
      </c>
      <c r="E63" s="110">
        <f>[1]!F001P630700800900SBBudgFY</f>
        <v>0</v>
      </c>
      <c r="F63" s="285">
        <f>'[1]Summary Page 1'!$E$43</f>
        <v>0</v>
      </c>
      <c r="G63" s="286"/>
      <c r="H63" s="112">
        <f>[1]!F001P630700800900OthBudgFY</f>
        <v>0</v>
      </c>
      <c r="I63" s="112">
        <f t="shared" si="0"/>
        <v>0</v>
      </c>
      <c r="J63" s="110">
        <f t="shared" si="1"/>
        <v>0</v>
      </c>
      <c r="K63" s="279">
        <f t="shared" si="2"/>
        <v>0</v>
      </c>
      <c r="L63" s="280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3" t="s">
        <v>52</v>
      </c>
      <c r="B64" s="114"/>
      <c r="C64" s="88"/>
      <c r="D64" s="107">
        <f t="shared" ref="D64" si="3">SUM(D52:D63)</f>
        <v>4038500</v>
      </c>
      <c r="E64" s="107">
        <f t="shared" ref="E64:J64" si="4">SUM(E52:E63)</f>
        <v>3243034</v>
      </c>
      <c r="F64" s="232">
        <f t="shared" si="4"/>
        <v>875544</v>
      </c>
      <c r="G64" s="233"/>
      <c r="H64" s="107">
        <f>SUM(H52:H63)</f>
        <v>631496</v>
      </c>
      <c r="I64" s="107">
        <f t="shared" si="4"/>
        <v>4914044</v>
      </c>
      <c r="J64" s="107">
        <f t="shared" si="4"/>
        <v>3874530</v>
      </c>
      <c r="K64" s="279">
        <f t="shared" si="2"/>
        <v>-0.21153941641548182</v>
      </c>
      <c r="L64" s="280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2" t="s">
        <v>53</v>
      </c>
      <c r="B65" s="103"/>
      <c r="C65" s="32"/>
      <c r="D65" s="228">
        <f>'[1]Summary Page 1'!$C$46</f>
        <v>1089500</v>
      </c>
      <c r="E65" s="230">
        <f>[1]!F001P200F1000SBBudgFY</f>
        <v>870000</v>
      </c>
      <c r="F65" s="234">
        <f>'[1]Summary Page 1'!$E$46</f>
        <v>107000</v>
      </c>
      <c r="G65" s="235"/>
      <c r="H65" s="230">
        <f>[1]!F001P200F1000OthBudgFY</f>
        <v>61500</v>
      </c>
      <c r="I65" s="228">
        <f>D65+F65</f>
        <v>1196500</v>
      </c>
      <c r="J65" s="230">
        <f>E65+H65</f>
        <v>931500</v>
      </c>
      <c r="K65" s="281">
        <f t="shared" si="2"/>
        <v>-0.22147931466778104</v>
      </c>
      <c r="L65" s="282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2" t="s">
        <v>41</v>
      </c>
      <c r="B66" s="103"/>
      <c r="C66" s="32"/>
      <c r="D66" s="229"/>
      <c r="E66" s="231"/>
      <c r="F66" s="236"/>
      <c r="G66" s="237"/>
      <c r="H66" s="231"/>
      <c r="I66" s="229"/>
      <c r="J66" s="231"/>
      <c r="K66" s="283"/>
      <c r="L66" s="284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2" t="s">
        <v>42</v>
      </c>
      <c r="B67" s="103"/>
      <c r="C67" s="32"/>
      <c r="D67" s="228">
        <f>'[1]Summary Page 1'!$C$48</f>
        <v>170000</v>
      </c>
      <c r="E67" s="230">
        <f>[1]!F001P200F2100SBBudgFY</f>
        <v>17700</v>
      </c>
      <c r="F67" s="234">
        <f>'[1]Summary Page 1'!$E$48</f>
        <v>334000</v>
      </c>
      <c r="G67" s="235"/>
      <c r="H67" s="230">
        <f>[1]!F001P200F2100OthBudgFY</f>
        <v>709692</v>
      </c>
      <c r="I67" s="228">
        <f>D67+F67</f>
        <v>504000</v>
      </c>
      <c r="J67" s="230">
        <f>E67+H67</f>
        <v>727392</v>
      </c>
      <c r="K67" s="281">
        <f>IF(I67=J67,0,IF(I67&gt;0,(J67-I67)/I67,"--"))</f>
        <v>0.44323809523809526</v>
      </c>
      <c r="L67" s="282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2" t="s">
        <v>43</v>
      </c>
      <c r="B68" s="103"/>
      <c r="C68" s="64"/>
      <c r="D68" s="229"/>
      <c r="E68" s="231"/>
      <c r="F68" s="236"/>
      <c r="G68" s="237"/>
      <c r="H68" s="231"/>
      <c r="I68" s="231"/>
      <c r="J68" s="231"/>
      <c r="K68" s="283"/>
      <c r="L68" s="284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4" t="s">
        <v>44</v>
      </c>
      <c r="B69" s="105"/>
      <c r="C69" s="32"/>
      <c r="D69" s="106">
        <f>'[1]Summary Page 1'!$C$49</f>
        <v>68200</v>
      </c>
      <c r="E69" s="106">
        <f>[1]!F001P200F2200SBBudgFY</f>
        <v>168888</v>
      </c>
      <c r="F69" s="232">
        <f>'[1]Summary Page 1'!$E$49</f>
        <v>66550</v>
      </c>
      <c r="G69" s="233"/>
      <c r="H69" s="107">
        <f>[1]!F001P200F2200OthBudgFY</f>
        <v>62420</v>
      </c>
      <c r="I69" s="106">
        <f>D69+F69</f>
        <v>134750</v>
      </c>
      <c r="J69" s="107">
        <f>E69+H69</f>
        <v>231308</v>
      </c>
      <c r="K69" s="279">
        <f t="shared" ref="K69:K78" si="5">IF(I69=J69,0,IF(I69&gt;0,(J69-I69)/I69,"--"))</f>
        <v>0.71657142857142853</v>
      </c>
      <c r="L69" s="280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4" t="s">
        <v>45</v>
      </c>
      <c r="B70" s="105"/>
      <c r="C70" s="109"/>
      <c r="D70" s="106">
        <f>'[1]Summary Page 1'!$C$50</f>
        <v>0</v>
      </c>
      <c r="E70" s="106">
        <f>[1]!F001P200F230024002500SBBudgFY</f>
        <v>4900</v>
      </c>
      <c r="F70" s="232">
        <f>'[1]Summary Page 1'!$E$50</f>
        <v>10350</v>
      </c>
      <c r="G70" s="233"/>
      <c r="H70" s="106">
        <f>[1]!F001P200F230024002500OthBudgFY</f>
        <v>3000</v>
      </c>
      <c r="I70" s="106">
        <f>D70+F70</f>
        <v>10350</v>
      </c>
      <c r="J70" s="107">
        <f>E70+H70</f>
        <v>7900</v>
      </c>
      <c r="K70" s="279">
        <f t="shared" si="5"/>
        <v>-0.23671497584541062</v>
      </c>
      <c r="L70" s="28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4" t="s">
        <v>46</v>
      </c>
      <c r="B71" s="105"/>
      <c r="C71" s="59"/>
      <c r="D71" s="106">
        <f>'[1]Summary Page 1'!$C$51</f>
        <v>50000</v>
      </c>
      <c r="E71" s="106">
        <f>[1]!F001P200F2600SBBudgFY</f>
        <v>0</v>
      </c>
      <c r="F71" s="232">
        <f>'[1]Summary Page 1'!$E$51</f>
        <v>2500</v>
      </c>
      <c r="G71" s="233"/>
      <c r="H71" s="106">
        <f>[1]!F001P200F2600OthBudgFY</f>
        <v>0</v>
      </c>
      <c r="I71" s="106">
        <f>D71+F71</f>
        <v>52500</v>
      </c>
      <c r="J71" s="107">
        <f>E71+H71</f>
        <v>0</v>
      </c>
      <c r="K71" s="279">
        <f t="shared" si="5"/>
        <v>-1</v>
      </c>
      <c r="L71" s="280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2" t="s">
        <v>47</v>
      </c>
      <c r="B72" s="103"/>
      <c r="C72" s="32"/>
      <c r="D72" s="106">
        <f>'[1]Summary Page 1'!$C$52</f>
        <v>0</v>
      </c>
      <c r="E72" s="106">
        <f>[1]!F001P200F2900SBBudgFY</f>
        <v>0</v>
      </c>
      <c r="F72" s="232">
        <f>'[1]Summary Page 1'!$E$52</f>
        <v>0</v>
      </c>
      <c r="G72" s="233"/>
      <c r="H72" s="106">
        <f>[1]!F001P200F2900OthBudgFY</f>
        <v>0</v>
      </c>
      <c r="I72" s="106">
        <f>D72+F72</f>
        <v>0</v>
      </c>
      <c r="J72" s="107">
        <f>E72+H72</f>
        <v>0</v>
      </c>
      <c r="K72" s="279">
        <f t="shared" si="5"/>
        <v>0</v>
      </c>
      <c r="L72" s="280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2" t="s">
        <v>48</v>
      </c>
      <c r="B73" s="103"/>
      <c r="C73" s="32"/>
      <c r="D73" s="106">
        <f>'[1]Summary Page 1'!$C$53</f>
        <v>0</v>
      </c>
      <c r="E73" s="106">
        <f>[1]!F001P200F3000SBBudgFY</f>
        <v>0</v>
      </c>
      <c r="F73" s="232">
        <f>'[1]Summary Page 1'!$E$53</f>
        <v>0</v>
      </c>
      <c r="G73" s="233"/>
      <c r="H73" s="106">
        <f>[1]!F001P200F3000OthBudgFY</f>
        <v>0</v>
      </c>
      <c r="I73" s="106">
        <f>D73+F73</f>
        <v>0</v>
      </c>
      <c r="J73" s="107">
        <f>E73+H73</f>
        <v>0</v>
      </c>
      <c r="K73" s="279">
        <f t="shared" si="5"/>
        <v>0</v>
      </c>
      <c r="L73" s="280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3" t="s">
        <v>54</v>
      </c>
      <c r="B74" s="114"/>
      <c r="C74" s="32"/>
      <c r="D74" s="115">
        <f t="shared" ref="D74" si="6">SUM(D65:D73)</f>
        <v>1377700</v>
      </c>
      <c r="E74" s="115">
        <f t="shared" ref="E74:J74" si="7">SUM(E65:E73)</f>
        <v>1061488</v>
      </c>
      <c r="F74" s="302">
        <f t="shared" si="7"/>
        <v>520400</v>
      </c>
      <c r="G74" s="303"/>
      <c r="H74" s="115">
        <f t="shared" si="7"/>
        <v>836612</v>
      </c>
      <c r="I74" s="106">
        <f t="shared" si="7"/>
        <v>1898100</v>
      </c>
      <c r="J74" s="106">
        <f t="shared" si="7"/>
        <v>1898100</v>
      </c>
      <c r="K74" s="279">
        <f t="shared" si="5"/>
        <v>0</v>
      </c>
      <c r="L74" s="280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6" t="s">
        <v>55</v>
      </c>
      <c r="B75" s="117"/>
      <c r="C75" s="117"/>
      <c r="D75" s="106">
        <f>'[1]Summary Page 1'!$C$55</f>
        <v>1000000</v>
      </c>
      <c r="E75" s="115">
        <f>[1]!F001P400SBBudgFY</f>
        <v>831852</v>
      </c>
      <c r="F75" s="232">
        <f>'[1]Summary Page 1'!$E$55</f>
        <v>466944</v>
      </c>
      <c r="G75" s="233"/>
      <c r="H75" s="115">
        <f>[1]!F001P400OthBudgFy</f>
        <v>392000</v>
      </c>
      <c r="I75" s="106">
        <f>D75+F75</f>
        <v>1466944</v>
      </c>
      <c r="J75" s="107">
        <f>E75+H75</f>
        <v>1223852</v>
      </c>
      <c r="K75" s="279">
        <f t="shared" si="5"/>
        <v>-0.16571321059290606</v>
      </c>
      <c r="L75" s="280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18" t="s">
        <v>56</v>
      </c>
      <c r="B76" s="28"/>
      <c r="C76" s="28"/>
      <c r="D76" s="112">
        <f>'[1]Summary Page 1'!$C$56</f>
        <v>0</v>
      </c>
      <c r="E76" s="119">
        <f>[1]!F001P510SBBudgFY</f>
        <v>0</v>
      </c>
      <c r="F76" s="285">
        <f>'[1]Summary Page 1'!$E$56</f>
        <v>0</v>
      </c>
      <c r="G76" s="286"/>
      <c r="H76" s="119">
        <f>[1]!F001P510OthBudgFY</f>
        <v>0</v>
      </c>
      <c r="I76" s="112">
        <f>D76+F76</f>
        <v>0</v>
      </c>
      <c r="J76" s="110">
        <f>E76+H76</f>
        <v>0</v>
      </c>
      <c r="K76" s="305">
        <f t="shared" si="5"/>
        <v>0</v>
      </c>
      <c r="L76" s="30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6" t="s">
        <v>57</v>
      </c>
      <c r="B77" s="117"/>
      <c r="C77" s="117"/>
      <c r="D77" s="106">
        <f>'[1]Summary Page 1'!$C$57</f>
        <v>0</v>
      </c>
      <c r="E77" s="115">
        <f>[1]!F001P530SBBudgFY</f>
        <v>0</v>
      </c>
      <c r="F77" s="232">
        <f>'[1]Summary Page 1'!$E$57</f>
        <v>0</v>
      </c>
      <c r="G77" s="233"/>
      <c r="H77" s="115">
        <f>[1]!F001P530OthBudgFY</f>
        <v>0</v>
      </c>
      <c r="I77" s="106">
        <f>D77+F77</f>
        <v>0</v>
      </c>
      <c r="J77" s="107">
        <f>E77+H77</f>
        <v>0</v>
      </c>
      <c r="K77" s="279">
        <f t="shared" si="5"/>
        <v>0</v>
      </c>
      <c r="L77" s="280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6" t="s">
        <v>58</v>
      </c>
      <c r="B78" s="117"/>
      <c r="C78" s="120"/>
      <c r="D78" s="228">
        <f>'[1]Summary Page 1'!$C$58</f>
        <v>0</v>
      </c>
      <c r="E78" s="253">
        <f>[1]!F001P540SBBudgFY</f>
        <v>0</v>
      </c>
      <c r="F78" s="234">
        <f>'[1]Summary Page 1'!$E$58</f>
        <v>0</v>
      </c>
      <c r="G78" s="235"/>
      <c r="H78" s="253">
        <f>[1]!F001P540OthBudgFY</f>
        <v>0</v>
      </c>
      <c r="I78" s="228">
        <f>D78+F78</f>
        <v>0</v>
      </c>
      <c r="J78" s="228">
        <f>E78+H78</f>
        <v>0</v>
      </c>
      <c r="K78" s="281">
        <f t="shared" si="5"/>
        <v>0</v>
      </c>
      <c r="L78" s="282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6" t="s">
        <v>59</v>
      </c>
      <c r="B79" s="117"/>
      <c r="C79" s="120"/>
      <c r="D79" s="241"/>
      <c r="E79" s="254"/>
      <c r="F79" s="236"/>
      <c r="G79" s="237"/>
      <c r="H79" s="254"/>
      <c r="I79" s="241"/>
      <c r="J79" s="241"/>
      <c r="K79" s="283"/>
      <c r="L79" s="284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18" t="s">
        <v>60</v>
      </c>
      <c r="B80" s="28"/>
      <c r="C80" s="120"/>
      <c r="D80" s="106">
        <f>'[1]Summary Page 1'!$C$60</f>
        <v>64000</v>
      </c>
      <c r="E80" s="121">
        <f>[1]!F001P550SBBudgFY</f>
        <v>0</v>
      </c>
      <c r="F80" s="232">
        <f>'[1]Summary Page 1'!$E$60</f>
        <v>10000</v>
      </c>
      <c r="G80" s="233"/>
      <c r="H80" s="121">
        <f>[1]!F001P550OthBudgFY</f>
        <v>28206</v>
      </c>
      <c r="I80" s="106">
        <f>D80+F80</f>
        <v>74000</v>
      </c>
      <c r="J80" s="110">
        <f>E80+H80</f>
        <v>28206</v>
      </c>
      <c r="K80" s="305">
        <f>IF(I80=J80,0,IF(I80&gt;0,(J80-I80)/I80,"--"))</f>
        <v>-0.61883783783783786</v>
      </c>
      <c r="L80" s="306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18" t="s">
        <v>64</v>
      </c>
      <c r="B81" s="28"/>
      <c r="C81" s="120"/>
      <c r="D81" s="180">
        <f>SUM(D74:D80)+D64</f>
        <v>6480200</v>
      </c>
      <c r="E81" s="181">
        <f>SUM(E74:E80)+E64</f>
        <v>5136374</v>
      </c>
      <c r="F81" s="308">
        <f>SUM(F74:F80)+F64</f>
        <v>1872888</v>
      </c>
      <c r="G81" s="309"/>
      <c r="H81" s="181">
        <f>SUM(H74:H80)+H64</f>
        <v>1888314</v>
      </c>
      <c r="I81" s="181">
        <f>SUM(I74:I80)+I64</f>
        <v>8353088</v>
      </c>
      <c r="J81" s="181">
        <f>SUM(J74:J80)+J64</f>
        <v>7024688</v>
      </c>
      <c r="K81" s="281">
        <f>IF(I81=J81,0,IF(I81&gt;0,(J81-I81)/I81,"--"))</f>
        <v>-0.15903100745496757</v>
      </c>
      <c r="L81" s="282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189" t="s">
        <v>141</v>
      </c>
      <c r="B82" s="189"/>
      <c r="C82" s="190"/>
      <c r="D82" s="185"/>
      <c r="E82" s="185"/>
      <c r="F82" s="313"/>
      <c r="G82" s="313"/>
      <c r="H82" s="185"/>
      <c r="I82" s="185"/>
      <c r="J82" s="184">
        <f>'[1]Page 1'!L43</f>
        <v>728400</v>
      </c>
      <c r="K82" s="313"/>
      <c r="L82" s="313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 s="122" t="s">
        <v>142</v>
      </c>
      <c r="B83" s="76"/>
      <c r="C83" s="123"/>
      <c r="D83" s="182">
        <f>D81</f>
        <v>6480200</v>
      </c>
      <c r="E83" s="182">
        <f>E81</f>
        <v>5136374</v>
      </c>
      <c r="F83" s="310">
        <f>F81</f>
        <v>1872888</v>
      </c>
      <c r="G83" s="311"/>
      <c r="H83" s="182">
        <f>H81</f>
        <v>1888314</v>
      </c>
      <c r="I83" s="182">
        <f>I81</f>
        <v>8353088</v>
      </c>
      <c r="J83" s="183">
        <f>J81+J82</f>
        <v>7753088</v>
      </c>
      <c r="K83" s="312">
        <f>IF(I83=J83,0,IF(I83&gt;0,(J83-I83)/I83,"--"))</f>
        <v>-7.1829723331060316E-2</v>
      </c>
      <c r="L83" s="312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 s="64"/>
      <c r="B84" s="64"/>
      <c r="C84" s="29"/>
      <c r="D84" s="124"/>
      <c r="E84" s="124"/>
      <c r="F84" s="124"/>
      <c r="G84" s="124"/>
      <c r="H84" s="124"/>
      <c r="I84" s="124"/>
      <c r="J84" s="124"/>
      <c r="K84" s="124"/>
      <c r="L84" s="186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242" t="s">
        <v>61</v>
      </c>
      <c r="B86" s="243"/>
      <c r="C86" s="243"/>
      <c r="D86" s="243"/>
      <c r="E86" s="243"/>
      <c r="F86" s="243"/>
      <c r="G86" s="244"/>
      <c r="H86" s="125"/>
      <c r="I86" s="125"/>
      <c r="J86" s="30"/>
      <c r="K86" s="30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40"/>
      <c r="B87" s="32"/>
      <c r="C87" s="97"/>
      <c r="D87" s="126"/>
      <c r="E87" s="97" t="s">
        <v>62</v>
      </c>
      <c r="F87" s="245" t="s">
        <v>63</v>
      </c>
      <c r="G87" s="246"/>
      <c r="H87" s="127"/>
      <c r="I87" s="127"/>
      <c r="J87" s="127"/>
      <c r="K87" s="12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40"/>
      <c r="B88" s="32"/>
      <c r="C88" s="93" t="s">
        <v>64</v>
      </c>
      <c r="D88" s="94"/>
      <c r="E88" s="97" t="s">
        <v>65</v>
      </c>
      <c r="F88" s="294" t="s">
        <v>65</v>
      </c>
      <c r="G88" s="304"/>
      <c r="H88" s="127"/>
      <c r="I88" s="127"/>
      <c r="J88" s="127"/>
      <c r="K88" s="127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28" t="s">
        <v>66</v>
      </c>
      <c r="B89" s="32"/>
      <c r="C89" s="92"/>
      <c r="D89" s="98"/>
      <c r="E89" s="97" t="s">
        <v>38</v>
      </c>
      <c r="F89" s="294" t="s">
        <v>38</v>
      </c>
      <c r="G89" s="304"/>
      <c r="H89" s="127"/>
      <c r="I89" s="127"/>
      <c r="J89" s="127"/>
      <c r="K89" s="127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00"/>
      <c r="B90" s="129"/>
      <c r="C90" s="101" t="s">
        <v>39</v>
      </c>
      <c r="D90" s="130" t="s">
        <v>31</v>
      </c>
      <c r="E90" s="101" t="s">
        <v>67</v>
      </c>
      <c r="F90" s="296" t="s">
        <v>39</v>
      </c>
      <c r="G90" s="307"/>
      <c r="H90" s="127"/>
      <c r="I90" s="127"/>
      <c r="J90" s="127"/>
      <c r="K90" s="127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1" t="s">
        <v>68</v>
      </c>
      <c r="B91" s="132"/>
      <c r="C91" s="133">
        <f>[1]!SummMOPY</f>
        <v>8353088</v>
      </c>
      <c r="D91" s="133">
        <f>[1]!SummMOBY</f>
        <v>7024688</v>
      </c>
      <c r="E91" s="131">
        <f t="shared" ref="E91:E106" si="8">D91-C91</f>
        <v>-1328400</v>
      </c>
      <c r="F91" s="247">
        <f t="shared" ref="F91:F106" si="9">IF(C91=D91,0,IF(C91&gt;0,E91/C91,"--"))</f>
        <v>-0.15903100745496757</v>
      </c>
      <c r="G91" s="248"/>
      <c r="H91" s="127"/>
      <c r="I91" s="127"/>
      <c r="J91" s="127"/>
      <c r="K91" s="127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4" t="s">
        <v>69</v>
      </c>
      <c r="B92" s="135"/>
      <c r="C92" s="136">
        <f>[1]!SummInstImprovPY</f>
        <v>0</v>
      </c>
      <c r="D92" s="136">
        <f>[1]!SummInstImprovBY</f>
        <v>0</v>
      </c>
      <c r="E92" s="131">
        <f t="shared" si="8"/>
        <v>0</v>
      </c>
      <c r="F92" s="247">
        <f t="shared" si="9"/>
        <v>0</v>
      </c>
      <c r="G92" s="248"/>
      <c r="H92" s="127"/>
      <c r="I92" s="127"/>
      <c r="J92" s="127"/>
      <c r="K92" s="127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34" t="s">
        <v>125</v>
      </c>
      <c r="B93" s="135"/>
      <c r="C93" s="136">
        <f>[1]!SummELLPY</f>
        <v>0</v>
      </c>
      <c r="D93" s="112">
        <f>[1]!SummELLBY</f>
        <v>0</v>
      </c>
      <c r="E93" s="131">
        <f t="shared" si="8"/>
        <v>0</v>
      </c>
      <c r="F93" s="247">
        <f t="shared" si="9"/>
        <v>0</v>
      </c>
      <c r="G93" s="248"/>
      <c r="H93" s="127"/>
      <c r="I93" s="127"/>
      <c r="J93" s="127"/>
      <c r="K93" s="127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34" t="s">
        <v>70</v>
      </c>
      <c r="B94" s="135"/>
      <c r="C94" s="136">
        <f>[1]!SummCompInstrPY</f>
        <v>0</v>
      </c>
      <c r="D94" s="112">
        <f>[1]!SummCompInstrBY</f>
        <v>0</v>
      </c>
      <c r="E94" s="137">
        <f t="shared" si="8"/>
        <v>0</v>
      </c>
      <c r="F94" s="287">
        <f t="shared" si="9"/>
        <v>0</v>
      </c>
      <c r="G94" s="288"/>
      <c r="H94" s="127"/>
      <c r="I94" s="127"/>
      <c r="J94" s="127"/>
      <c r="K94" s="127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38" t="s">
        <v>71</v>
      </c>
      <c r="B95" s="139"/>
      <c r="C95" s="140">
        <f>[1]!SummCSFPY</f>
        <v>1464775</v>
      </c>
      <c r="D95" s="140">
        <f>[1]!SummCSFBY</f>
        <v>888080</v>
      </c>
      <c r="E95" s="137">
        <f t="shared" si="8"/>
        <v>-576695</v>
      </c>
      <c r="F95" s="287">
        <f t="shared" si="9"/>
        <v>-0.39370893140584734</v>
      </c>
      <c r="G95" s="288"/>
      <c r="H95" s="127"/>
      <c r="I95" s="127"/>
      <c r="J95" s="127"/>
      <c r="K95" s="127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1" t="s">
        <v>72</v>
      </c>
      <c r="B96" s="142"/>
      <c r="C96" s="107">
        <f>[1]!SummFedProjectsPY</f>
        <v>7638182</v>
      </c>
      <c r="D96" s="107">
        <f>[1]!SummFedProjectsBY</f>
        <v>6790673</v>
      </c>
      <c r="E96" s="143">
        <f t="shared" si="8"/>
        <v>-847509</v>
      </c>
      <c r="F96" s="287">
        <f t="shared" si="9"/>
        <v>-0.11095690047710306</v>
      </c>
      <c r="G96" s="288"/>
      <c r="H96" s="127"/>
      <c r="I96" s="127"/>
      <c r="J96" s="127"/>
      <c r="K96" s="127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4" t="s">
        <v>73</v>
      </c>
      <c r="B97" s="145"/>
      <c r="C97" s="106">
        <f>[1]!SummStateProjectsPY</f>
        <v>178919</v>
      </c>
      <c r="D97" s="106">
        <f>[1]!SummStateProjectsBY</f>
        <v>260433</v>
      </c>
      <c r="E97" s="108">
        <f t="shared" si="8"/>
        <v>81514</v>
      </c>
      <c r="F97" s="287">
        <f t="shared" si="9"/>
        <v>0.45559163643883543</v>
      </c>
      <c r="G97" s="288"/>
      <c r="H97" s="127"/>
      <c r="I97" s="127"/>
      <c r="J97" s="127"/>
      <c r="K97" s="12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1" t="s">
        <v>74</v>
      </c>
      <c r="B98" s="142"/>
      <c r="C98" s="106">
        <f>[1]!SummUCOPY</f>
        <v>2804692</v>
      </c>
      <c r="D98" s="106">
        <f>[1]!SummUCOBY</f>
        <v>1727255</v>
      </c>
      <c r="E98" s="108">
        <f t="shared" si="8"/>
        <v>-1077437</v>
      </c>
      <c r="F98" s="287">
        <f t="shared" si="9"/>
        <v>-0.38415519422453515</v>
      </c>
      <c r="G98" s="288"/>
      <c r="H98" s="29"/>
      <c r="I98" s="29"/>
      <c r="J98" s="29"/>
      <c r="K98" s="29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1" t="s">
        <v>75</v>
      </c>
      <c r="B99" s="142"/>
      <c r="C99" s="106">
        <f>[1]!SummNSFPY</f>
        <v>0</v>
      </c>
      <c r="D99" s="106">
        <f>[1]!SummNSFBY</f>
        <v>0</v>
      </c>
      <c r="E99" s="108">
        <f t="shared" si="8"/>
        <v>0</v>
      </c>
      <c r="F99" s="287">
        <f t="shared" si="9"/>
        <v>0</v>
      </c>
      <c r="G99" s="288"/>
      <c r="H99" s="127"/>
      <c r="I99" s="127"/>
      <c r="J99" s="127"/>
      <c r="K99" s="127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41" t="s">
        <v>76</v>
      </c>
      <c r="B100" s="142"/>
      <c r="C100" s="106">
        <f>[1]!SummAdjacentWaysPY</f>
        <v>0</v>
      </c>
      <c r="D100" s="106">
        <f>[1]!SummAdjacentWaysBY</f>
        <v>0</v>
      </c>
      <c r="E100" s="108">
        <f t="shared" si="8"/>
        <v>0</v>
      </c>
      <c r="F100" s="287">
        <f t="shared" si="9"/>
        <v>0</v>
      </c>
      <c r="G100" s="288"/>
      <c r="H100" s="127"/>
      <c r="I100" s="127"/>
      <c r="J100" s="127"/>
      <c r="K100" s="127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1" t="s">
        <v>77</v>
      </c>
      <c r="B101" s="142"/>
      <c r="C101" s="106">
        <f>[1]!SummDebtServicePY</f>
        <v>613</v>
      </c>
      <c r="D101" s="106">
        <f>[1]!SumDebtServiceBY</f>
        <v>654</v>
      </c>
      <c r="E101" s="108">
        <f t="shared" si="8"/>
        <v>41</v>
      </c>
      <c r="F101" s="287">
        <f t="shared" si="9"/>
        <v>6.6884176182707991E-2</v>
      </c>
      <c r="G101" s="288"/>
      <c r="H101" s="127"/>
      <c r="I101" s="127"/>
      <c r="J101" s="127"/>
      <c r="K101" s="127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6" t="s">
        <v>78</v>
      </c>
      <c r="B102" s="55"/>
      <c r="C102" s="112">
        <f>[1]!SummSchoolPlantPY</f>
        <v>65200</v>
      </c>
      <c r="D102" s="106">
        <f>[1]!SummSchoolPlantBY</f>
        <v>10000</v>
      </c>
      <c r="E102" s="108">
        <f t="shared" si="8"/>
        <v>-55200</v>
      </c>
      <c r="F102" s="287">
        <f t="shared" si="9"/>
        <v>-0.84662576687116564</v>
      </c>
      <c r="G102" s="288"/>
      <c r="H102" s="127"/>
      <c r="I102" s="127"/>
      <c r="J102" s="127"/>
      <c r="K102" s="127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1" t="s">
        <v>79</v>
      </c>
      <c r="B103" s="142"/>
      <c r="C103" s="106">
        <f>[1]!SummAuxOpsPY</f>
        <v>31300</v>
      </c>
      <c r="D103" s="106">
        <f>[1]!SummAuxOpsBY</f>
        <v>222</v>
      </c>
      <c r="E103" s="108">
        <f t="shared" si="8"/>
        <v>-31078</v>
      </c>
      <c r="F103" s="287">
        <f t="shared" si="9"/>
        <v>-0.99290734824281146</v>
      </c>
      <c r="G103" s="288"/>
      <c r="H103" s="127"/>
      <c r="I103" s="127"/>
      <c r="J103" s="127"/>
      <c r="K103" s="127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41" t="s">
        <v>80</v>
      </c>
      <c r="B104" s="142"/>
      <c r="C104" s="106">
        <f>[1]!SummBondBuildingPY</f>
        <v>0</v>
      </c>
      <c r="D104" s="106">
        <f>[1]!SummBondBuildingBY</f>
        <v>0</v>
      </c>
      <c r="E104" s="108">
        <f t="shared" si="8"/>
        <v>0</v>
      </c>
      <c r="F104" s="287">
        <f t="shared" si="9"/>
        <v>0</v>
      </c>
      <c r="G104" s="288"/>
      <c r="H104" s="127"/>
      <c r="I104" s="127"/>
      <c r="J104" s="127"/>
      <c r="K104" s="127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.75" customHeight="1">
      <c r="A105" s="141" t="s">
        <v>81</v>
      </c>
      <c r="B105" s="142"/>
      <c r="C105" s="106">
        <f>[1]!SummFoodServicePY</f>
        <v>625000</v>
      </c>
      <c r="D105" s="106">
        <f>[1]!SummFoodServiceBY</f>
        <v>650000</v>
      </c>
      <c r="E105" s="108">
        <f t="shared" si="8"/>
        <v>25000</v>
      </c>
      <c r="F105" s="287">
        <f t="shared" si="9"/>
        <v>0.04</v>
      </c>
      <c r="G105" s="288"/>
      <c r="H105" s="127"/>
      <c r="I105" s="127"/>
      <c r="J105" s="127"/>
      <c r="K105" s="127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2.75" customHeight="1">
      <c r="A106" s="147" t="s">
        <v>36</v>
      </c>
      <c r="B106" s="148"/>
      <c r="C106" s="112">
        <f>[1]!SummOtherPY</f>
        <v>1149000</v>
      </c>
      <c r="D106" s="112">
        <f>[1]!SummOtherBY</f>
        <v>982466</v>
      </c>
      <c r="E106" s="111">
        <f t="shared" si="8"/>
        <v>-166534</v>
      </c>
      <c r="F106" s="247">
        <f t="shared" si="9"/>
        <v>-0.14493820713664055</v>
      </c>
      <c r="G106" s="248"/>
      <c r="H106" s="127"/>
      <c r="I106" s="127"/>
      <c r="J106" s="127"/>
      <c r="K106" s="127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2" customHeight="1">
      <c r="A107" s="29"/>
      <c r="B107" s="29"/>
      <c r="C107" s="29"/>
      <c r="D107" s="29"/>
      <c r="E107" s="29"/>
      <c r="F107" s="29"/>
      <c r="G107" s="29"/>
      <c r="H107" s="29"/>
      <c r="I107" s="127"/>
      <c r="J107" s="127"/>
      <c r="K107" s="127"/>
      <c r="L107" s="127"/>
      <c r="M107" s="127"/>
      <c r="N107"/>
      <c r="O107"/>
      <c r="P107"/>
      <c r="Q107"/>
      <c r="R107"/>
      <c r="S107"/>
      <c r="T107"/>
      <c r="U107"/>
      <c r="V107"/>
      <c r="W107"/>
      <c r="X107"/>
    </row>
    <row r="108" spans="1:24" ht="13.5" customHeight="1">
      <c r="A108" s="325" t="s">
        <v>82</v>
      </c>
      <c r="B108" s="326"/>
      <c r="C108" s="326"/>
      <c r="D108" s="326"/>
      <c r="E108" s="327"/>
      <c r="F108"/>
      <c r="G108"/>
      <c r="H108"/>
      <c r="I108"/>
      <c r="J108"/>
      <c r="K108"/>
      <c r="L108"/>
      <c r="M108" s="127"/>
      <c r="N108"/>
      <c r="O108"/>
      <c r="P108"/>
      <c r="Q108"/>
      <c r="R108"/>
      <c r="S108"/>
      <c r="T108"/>
      <c r="U108"/>
      <c r="V108"/>
      <c r="W108"/>
      <c r="X108"/>
    </row>
    <row r="109" spans="1:24" ht="13.5" thickBot="1">
      <c r="A109" s="322" t="s">
        <v>84</v>
      </c>
      <c r="B109" s="323"/>
      <c r="C109" s="324"/>
      <c r="D109" s="130" t="s">
        <v>39</v>
      </c>
      <c r="E109" s="130" t="s">
        <v>31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50" t="s">
        <v>85</v>
      </c>
      <c r="B110" s="149"/>
      <c r="C110" s="150"/>
      <c r="D110" s="151">
        <f>[1]!SummAllDisabilityPY</f>
        <v>1541450</v>
      </c>
      <c r="E110" s="151">
        <f>[1]!SummAllDisabilityBY</f>
        <v>1541450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41" t="s">
        <v>87</v>
      </c>
      <c r="B111" s="152"/>
      <c r="C111" s="120"/>
      <c r="D111" s="110">
        <f>[1]!SummGiftedPY</f>
        <v>0</v>
      </c>
      <c r="E111" s="110">
        <f>[1]!SummGiftedBY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41" t="s">
        <v>89</v>
      </c>
      <c r="B112" s="152"/>
      <c r="C112" s="120"/>
      <c r="D112" s="110">
        <f>[1]!SummRemedialPY</f>
        <v>0</v>
      </c>
      <c r="E112" s="110">
        <f>[1]!SummRemedialBY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53" t="s">
        <v>91</v>
      </c>
      <c r="B113" s="135"/>
      <c r="C113" s="120"/>
      <c r="D113" s="110">
        <f>[1]!SummELLIncrementalPY</f>
        <v>0</v>
      </c>
      <c r="E113" s="110">
        <f>[1]!SummELLIncrementalBY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53" t="s">
        <v>92</v>
      </c>
      <c r="B114" s="135"/>
      <c r="C114" s="120"/>
      <c r="D114" s="110">
        <f>[1]!SPEDELLCompInstrCurrFY</f>
        <v>0</v>
      </c>
      <c r="E114" s="110">
        <f>[1]!SummELLCompInstBY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>
      <c r="A115" s="141" t="s">
        <v>118</v>
      </c>
      <c r="B115" s="152"/>
      <c r="C115" s="120"/>
      <c r="D115" s="110">
        <f>[1]!SummVocandTechEdPY</f>
        <v>0</v>
      </c>
      <c r="E115" s="110">
        <f>[1]!SummVocandTechEdBY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>
      <c r="A116" s="141" t="s">
        <v>120</v>
      </c>
      <c r="B116" s="152"/>
      <c r="C116" s="120"/>
      <c r="D116" s="112">
        <f>[1]!SummCareerEdPY</f>
        <v>0</v>
      </c>
      <c r="E116" s="112">
        <f>[1]!SummCareerEdBY</f>
        <v>0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3.5" thickBot="1">
      <c r="A117" s="153" t="s">
        <v>119</v>
      </c>
      <c r="B117" s="135"/>
      <c r="C117" s="120"/>
      <c r="D117" s="154">
        <f>[1]!SummCTEDPY</f>
        <v>356650</v>
      </c>
      <c r="E117" s="154">
        <f>[1]!SummCTEDBY</f>
        <v>356650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3.5" thickBot="1">
      <c r="A118" s="155" t="s">
        <v>95</v>
      </c>
      <c r="B118" s="156"/>
      <c r="C118" s="157"/>
      <c r="D118" s="158">
        <f>[1]!SummSpecEdTotalPY</f>
        <v>1898100</v>
      </c>
      <c r="E118" s="158">
        <f>[1]!SummSpecEdTotalBY</f>
        <v>1898100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2" customHeight="1" thickTop="1">
      <c r="A119" s="23"/>
      <c r="B119" s="23"/>
      <c r="C119" s="23"/>
      <c r="D119" s="23"/>
      <c r="E119" s="124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317" t="s">
        <v>83</v>
      </c>
      <c r="B120" s="318"/>
      <c r="C120" s="318"/>
      <c r="D120" s="318"/>
      <c r="E120" s="318"/>
      <c r="F120" s="318"/>
      <c r="G120" s="318"/>
      <c r="H120" s="318"/>
      <c r="I120" s="319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42.75">
      <c r="A121" s="321" t="s">
        <v>86</v>
      </c>
      <c r="B121" s="321"/>
      <c r="C121" s="321"/>
      <c r="D121" s="159" t="s">
        <v>129</v>
      </c>
      <c r="E121" s="1" t="s">
        <v>122</v>
      </c>
      <c r="F121" s="320" t="s">
        <v>123</v>
      </c>
      <c r="G121" s="320"/>
      <c r="H121" s="321" t="s">
        <v>121</v>
      </c>
      <c r="I121" s="3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1" t="s">
        <v>88</v>
      </c>
      <c r="C122" s="152"/>
      <c r="D122"/>
      <c r="E122"/>
      <c r="F122"/>
      <c r="G122" s="30"/>
      <c r="H122" s="160"/>
      <c r="I122" s="16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1" t="s">
        <v>124</v>
      </c>
      <c r="C123" s="29"/>
      <c r="D123" s="162">
        <f>[1]!ContractFTEAdmin</f>
        <v>0</v>
      </c>
      <c r="E123" s="162">
        <f>[1]!EmployeeFTEAdmin</f>
        <v>7</v>
      </c>
      <c r="F123" s="316">
        <f>[1]!TotalFTEAdmin</f>
        <v>7</v>
      </c>
      <c r="G123" s="316"/>
      <c r="H123" s="163" t="s">
        <v>90</v>
      </c>
      <c r="I123" s="164">
        <f>[1]!RatioAdmin</f>
        <v>86.3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41" t="s">
        <v>93</v>
      </c>
      <c r="C124" s="29"/>
      <c r="D124" s="162">
        <f>[1]!ContractFTETeachers</f>
        <v>0</v>
      </c>
      <c r="E124" s="162">
        <f>[1]!EmployeeFTETeachers</f>
        <v>45</v>
      </c>
      <c r="F124" s="316">
        <f>[1]!TotalFTETeachers</f>
        <v>45</v>
      </c>
      <c r="G124" s="316"/>
      <c r="H124" s="165" t="s">
        <v>90</v>
      </c>
      <c r="I124" s="164">
        <f>[1]!RatioTeachers</f>
        <v>13.4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1" t="s">
        <v>36</v>
      </c>
      <c r="C125" s="29"/>
      <c r="D125" s="162">
        <f>[1]!ContractFTECertOther</f>
        <v>0</v>
      </c>
      <c r="E125" s="162">
        <f>[1]!EmployeeFTECertOther</f>
        <v>6</v>
      </c>
      <c r="F125" s="316">
        <f>[1]!TotalFTECertOther</f>
        <v>6</v>
      </c>
      <c r="G125" s="316"/>
      <c r="H125" s="165" t="s">
        <v>90</v>
      </c>
      <c r="I125" s="164">
        <f>[1]!RatioCertOther</f>
        <v>100.7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66" t="s">
        <v>127</v>
      </c>
      <c r="D126" s="162">
        <f>[1]!ContractFTECertSubtotal</f>
        <v>0</v>
      </c>
      <c r="E126" s="162">
        <f>[1]!EmployeeFTECertSubtotal</f>
        <v>58</v>
      </c>
      <c r="F126" s="316">
        <f>[1]!TotalFTECertSubtotal</f>
        <v>58</v>
      </c>
      <c r="G126" s="316"/>
      <c r="H126" s="165" t="s">
        <v>90</v>
      </c>
      <c r="I126" s="164">
        <f>[1]!RatioCertSubtotal</f>
        <v>10.4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1" t="s">
        <v>94</v>
      </c>
      <c r="C127" s="152"/>
      <c r="D127" s="55"/>
      <c r="E127" s="55"/>
      <c r="F127" s="314"/>
      <c r="G127" s="314"/>
      <c r="H127" s="167"/>
      <c r="I127" s="16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1" t="s">
        <v>96</v>
      </c>
      <c r="C128" s="29"/>
      <c r="D128" s="162">
        <f>[1]!ContractFTEManagers</f>
        <v>0</v>
      </c>
      <c r="E128" s="162">
        <f>[1]!EmployeeFTEManagers</f>
        <v>4</v>
      </c>
      <c r="F128" s="316">
        <f>[1]!TotalFTEManagers</f>
        <v>4</v>
      </c>
      <c r="G128" s="316"/>
      <c r="H128" s="168" t="s">
        <v>90</v>
      </c>
      <c r="I128" s="164">
        <f>[1]!RatioManagers</f>
        <v>151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41" t="s">
        <v>97</v>
      </c>
      <c r="C129" s="29"/>
      <c r="D129" s="162">
        <f>[1]!ContractFTETeachersAids</f>
        <v>0</v>
      </c>
      <c r="E129" s="162">
        <f>[1]!EmployeeFTETeachersAides</f>
        <v>6</v>
      </c>
      <c r="F129" s="316">
        <f>[1]!TotalFTETeachersAides</f>
        <v>6</v>
      </c>
      <c r="G129" s="316"/>
      <c r="H129" s="165" t="s">
        <v>90</v>
      </c>
      <c r="I129" s="164">
        <f>[1]!RatioTeachersAides</f>
        <v>100.7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41" t="s">
        <v>36</v>
      </c>
      <c r="C130" s="29"/>
      <c r="D130" s="162">
        <f>[1]!ContractFTEClassOther</f>
        <v>0</v>
      </c>
      <c r="E130" s="162">
        <f>[1]!EmployeeFTEClassOther</f>
        <v>57</v>
      </c>
      <c r="F130" s="316">
        <f>[1]!TotalFTEClassOther</f>
        <v>57</v>
      </c>
      <c r="G130" s="316"/>
      <c r="H130" s="165" t="s">
        <v>90</v>
      </c>
      <c r="I130" s="164">
        <f>[1]!RatioClassOther</f>
        <v>10.6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66" t="s">
        <v>127</v>
      </c>
      <c r="D131" s="162">
        <f>[1]!ContractFTEClassSubtotal</f>
        <v>0</v>
      </c>
      <c r="E131" s="162">
        <f>[1]!EmployeeFTEClassSubtotal</f>
        <v>67</v>
      </c>
      <c r="F131" s="316">
        <f>[1]!TotalFTEClassSubtotal</f>
        <v>67</v>
      </c>
      <c r="G131" s="316"/>
      <c r="H131" s="165" t="s">
        <v>90</v>
      </c>
      <c r="I131" s="164">
        <f>[1]!RatioClassSubtotal</f>
        <v>9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66" t="s">
        <v>128</v>
      </c>
      <c r="D132" s="162">
        <f>[1]!ContractFTETotal</f>
        <v>0</v>
      </c>
      <c r="E132" s="162">
        <f>[1]!EmployeeFTETotal</f>
        <v>125</v>
      </c>
      <c r="F132" s="316">
        <f>[1]!TotalFTETotal</f>
        <v>125</v>
      </c>
      <c r="G132" s="316"/>
      <c r="H132" s="165" t="s">
        <v>90</v>
      </c>
      <c r="I132" s="164">
        <f>[1]!RatioTotal</f>
        <v>4.8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66"/>
      <c r="C133" s="167"/>
      <c r="D133" s="55"/>
      <c r="E133" s="55"/>
      <c r="F133" s="314"/>
      <c r="G133" s="314"/>
      <c r="H133" s="169"/>
      <c r="I133" s="170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66" t="s">
        <v>98</v>
      </c>
      <c r="C134" s="167"/>
      <c r="D134" s="55"/>
      <c r="E134" s="55"/>
      <c r="F134" s="314"/>
      <c r="G134" s="314"/>
      <c r="H134" s="169"/>
      <c r="I134" s="17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>
      <c r="A135" s="166" t="s">
        <v>99</v>
      </c>
      <c r="C135" s="152"/>
      <c r="D135" s="172">
        <f>[1]!ContractFTESpecEdTeacher</f>
        <v>0</v>
      </c>
      <c r="E135" s="172">
        <f>[1]!EmployeeFTESpecEdTeacher</f>
        <v>5</v>
      </c>
      <c r="F135" s="315">
        <f>[1]!TotalFTESpecEdTeacher</f>
        <v>5</v>
      </c>
      <c r="G135" s="315"/>
      <c r="H135" s="173" t="s">
        <v>100</v>
      </c>
      <c r="I135" s="174">
        <f>[1]!SPEDTeacher</f>
        <v>87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>
      <c r="A136" s="175" t="s">
        <v>101</v>
      </c>
      <c r="B136" s="77"/>
      <c r="C136" s="176"/>
      <c r="D136" s="172">
        <f>[1]!ContractFTESpecEdStaff</f>
        <v>0</v>
      </c>
      <c r="E136" s="172">
        <f>[1]!EmployeeFTESpecEdStaff</f>
        <v>7</v>
      </c>
      <c r="F136" s="315">
        <f>[1]!TotalFTESpecEdStaff</f>
        <v>7</v>
      </c>
      <c r="G136" s="315"/>
      <c r="H136" s="173" t="s">
        <v>100</v>
      </c>
      <c r="I136" s="177">
        <f>[1]!SPEDStaff</f>
        <v>87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</sheetData>
  <sheetProtection sheet="1" formatCells="0" formatColumns="0" formatRows="0"/>
  <mergeCells count="165">
    <mergeCell ref="F133:G133"/>
    <mergeCell ref="F134:G134"/>
    <mergeCell ref="F135:G135"/>
    <mergeCell ref="F136:G136"/>
    <mergeCell ref="F127:G127"/>
    <mergeCell ref="F128:G128"/>
    <mergeCell ref="F129:G129"/>
    <mergeCell ref="F101:G101"/>
    <mergeCell ref="F130:G130"/>
    <mergeCell ref="F131:G131"/>
    <mergeCell ref="F132:G132"/>
    <mergeCell ref="A120:I120"/>
    <mergeCell ref="F121:G121"/>
    <mergeCell ref="F123:G123"/>
    <mergeCell ref="F124:G124"/>
    <mergeCell ref="F125:G125"/>
    <mergeCell ref="F126:G126"/>
    <mergeCell ref="H121:I121"/>
    <mergeCell ref="A121:C121"/>
    <mergeCell ref="F102:G102"/>
    <mergeCell ref="A109:C109"/>
    <mergeCell ref="A108:E108"/>
    <mergeCell ref="K77:L77"/>
    <mergeCell ref="F98:G98"/>
    <mergeCell ref="F99:G99"/>
    <mergeCell ref="F89:G89"/>
    <mergeCell ref="F90:G90"/>
    <mergeCell ref="F91:G91"/>
    <mergeCell ref="F92:G92"/>
    <mergeCell ref="F96:G96"/>
    <mergeCell ref="F97:G97"/>
    <mergeCell ref="F80:G80"/>
    <mergeCell ref="F81:G81"/>
    <mergeCell ref="F83:G83"/>
    <mergeCell ref="K83:L83"/>
    <mergeCell ref="K82:L82"/>
    <mergeCell ref="F82:G82"/>
    <mergeCell ref="F70:G70"/>
    <mergeCell ref="F71:G71"/>
    <mergeCell ref="F72:G72"/>
    <mergeCell ref="F73:G73"/>
    <mergeCell ref="F77:G77"/>
    <mergeCell ref="F106:G106"/>
    <mergeCell ref="K71:L71"/>
    <mergeCell ref="F95:G95"/>
    <mergeCell ref="F103:G103"/>
    <mergeCell ref="F104:G104"/>
    <mergeCell ref="F105:G105"/>
    <mergeCell ref="K70:L70"/>
    <mergeCell ref="F94:G94"/>
    <mergeCell ref="F74:G74"/>
    <mergeCell ref="F75:G75"/>
    <mergeCell ref="F88:G88"/>
    <mergeCell ref="K80:L80"/>
    <mergeCell ref="K81:L81"/>
    <mergeCell ref="F76:G76"/>
    <mergeCell ref="K73:L73"/>
    <mergeCell ref="K72:L72"/>
    <mergeCell ref="K74:L74"/>
    <mergeCell ref="K75:L75"/>
    <mergeCell ref="K76:L76"/>
    <mergeCell ref="D78:D79"/>
    <mergeCell ref="E78:E79"/>
    <mergeCell ref="F100:G100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F52:G53"/>
    <mergeCell ref="F54:G55"/>
    <mergeCell ref="D34:D36"/>
    <mergeCell ref="J78:J79"/>
    <mergeCell ref="A86:G86"/>
    <mergeCell ref="F87:G87"/>
    <mergeCell ref="F93:G93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</mergeCells>
  <dataValidations xWindow="730" yWindow="350" count="2">
    <dataValidation type="decimal" operator="greaterThanOrEqual" allowBlank="1" showInputMessage="1" showErrorMessage="1" errorTitle="Error" error="Value must be a number." sqref="C32:E32" xr:uid="{00000000-0002-0000-0000-000000000000}">
      <formula1>0</formula1>
    </dataValidation>
    <dataValidation operator="notEqual" allowBlank="1" showInputMessage="1" showErrorMessage="1" promptTitle="Time" prompt="Please enter time including AM/PM" sqref="H5:I5" xr:uid="{00000000-0002-0000-0000-000001000000}"/>
  </dataValidations>
  <printOptions horizontalCentered="1"/>
  <pageMargins left="0.25" right="0.25" top="0.25" bottom="0.25" header="0.5" footer="0.25"/>
  <pageSetup scale="84" fitToHeight="0" orientation="portrait" r:id="rId1"/>
  <headerFooter alignWithMargins="0">
    <oddFooter>&amp;L&amp;"Times New Roman,Bold"&amp;9Rev. 5/25 Arizona Department of Education and Auditor General&amp;R&amp;"Times New Roman,Bold"&amp;9Page &amp;P of &amp;N</oddFooter>
  </headerFooter>
  <rowBreaks count="2" manualBreakCount="2">
    <brk id="19" max="16383" man="1"/>
    <brk id="84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5.xml><?xml version="1.0" encoding="utf-8"?>
<p:properties xmlns:p="http://schemas.microsoft.com/office/2006/metadata/properties" xmlns:xsi="http://www.w3.org/2001/XMLSchema-instance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69ac7c7-1a2e-46bd-a988-685139f8f258"/>
    <ds:schemaRef ds:uri="87488a3f-9ace-46de-933a-7899c85ffeab"/>
    <ds:schemaRef ds:uri="http://purl.org/dc/elements/1.1/"/>
    <ds:schemaRef ds:uri="73d57025-ee5d-49b6-a60b-7d33184acc8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BB4F38B-0799-4886-B61C-8DBB46B47F73}">
  <ds:schemaRefs>
    <ds:schemaRef ds:uri="http://purl.org/dc/elements/1.1/"/>
    <ds:schemaRef ds:uri="http://purl.org/dc/terms/"/>
    <ds:schemaRef ds:uri="87488a3f-9ace-46de-933a-7899c85ffeab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f69ac7c7-1a2e-46bd-a988-685139f8f258"/>
    <ds:schemaRef ds:uri="73d57025-ee5d-49b6-a60b-7d33184acc89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830E9C50-DDD0-459A-93B7-93655FF29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d57025-ee5d-49b6-a60b-7d33184acc89"/>
    <ds:schemaRef ds:uri="87488a3f-9ace-46de-933a-7899c85ffeab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Barbara Baca</cp:lastModifiedBy>
  <cp:lastPrinted>2025-06-17T00:18:19Z</cp:lastPrinted>
  <dcterms:created xsi:type="dcterms:W3CDTF">2006-05-13T23:29:21Z</dcterms:created>
  <dcterms:modified xsi:type="dcterms:W3CDTF">2025-06-17T15:12:36Z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2026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8D7C3252-E617-4E35-A9E7-BBF382F943AB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