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\Documents\_Personal\Creek PTCO\"/>
    </mc:Choice>
  </mc:AlternateContent>
  <xr:revisionPtr revIDLastSave="0" documentId="8_{4F128127-E8B4-49AC-9777-5EB23248560E}" xr6:coauthVersionLast="47" xr6:coauthVersionMax="47" xr10:uidLastSave="{00000000-0000-0000-0000-000000000000}"/>
  <bookViews>
    <workbookView xWindow="12705" yWindow="5430" windowWidth="21555" windowHeight="9825" xr2:uid="{00000000-000D-0000-FFFF-FFFF00000000}"/>
  </bookViews>
  <sheets>
    <sheet name="PTCO 2024 - 2025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C16" i="1"/>
  <c r="D16" i="1"/>
  <c r="E60" i="1"/>
  <c r="E37" i="1"/>
  <c r="E54" i="1"/>
  <c r="E12" i="1"/>
  <c r="E56" i="1" l="1"/>
  <c r="B28" i="1" l="1"/>
  <c r="C28" i="1"/>
  <c r="E71" i="1"/>
  <c r="E73" i="1" s="1"/>
  <c r="E26" i="1"/>
  <c r="D53" i="1"/>
  <c r="C69" i="1"/>
  <c r="B69" i="1"/>
  <c r="B68" i="1"/>
  <c r="D68" i="1" s="1"/>
  <c r="C67" i="1"/>
  <c r="B67" i="1"/>
  <c r="C66" i="1"/>
  <c r="B66" i="1"/>
  <c r="C65" i="1"/>
  <c r="D65" i="1" s="1"/>
  <c r="D64" i="1"/>
  <c r="C29" i="1"/>
  <c r="B29" i="1"/>
  <c r="C32" i="1"/>
  <c r="B32" i="1"/>
  <c r="C27" i="1"/>
  <c r="B27" i="1"/>
  <c r="B26" i="1"/>
  <c r="C24" i="1"/>
  <c r="C23" i="1"/>
  <c r="C22" i="1"/>
  <c r="C20" i="1"/>
  <c r="D19" i="1"/>
  <c r="C70" i="1"/>
  <c r="B70" i="1"/>
  <c r="C18" i="1"/>
  <c r="B18" i="1"/>
  <c r="C17" i="1"/>
  <c r="B17" i="1"/>
  <c r="D52" i="1"/>
  <c r="D50" i="1"/>
  <c r="C49" i="1"/>
  <c r="D47" i="1"/>
  <c r="D46" i="1"/>
  <c r="C60" i="1"/>
  <c r="B60" i="1"/>
  <c r="C41" i="1"/>
  <c r="B41" i="1"/>
  <c r="C11" i="1"/>
  <c r="B11" i="1"/>
  <c r="C10" i="1"/>
  <c r="B10" i="1"/>
  <c r="C9" i="1"/>
  <c r="B9" i="1"/>
  <c r="C38" i="1"/>
  <c r="B38" i="1"/>
  <c r="C8" i="1"/>
  <c r="B8" i="1"/>
  <c r="E31" i="1" l="1"/>
  <c r="B31" i="1"/>
  <c r="D28" i="1"/>
  <c r="B71" i="1"/>
  <c r="C71" i="1"/>
  <c r="D69" i="1"/>
  <c r="C26" i="1"/>
  <c r="C31" i="1" s="1"/>
  <c r="D67" i="1"/>
  <c r="D8" i="1"/>
  <c r="D10" i="1"/>
  <c r="D17" i="1"/>
  <c r="D48" i="1"/>
  <c r="D70" i="1"/>
  <c r="D27" i="1"/>
  <c r="D49" i="1"/>
  <c r="D32" i="1"/>
  <c r="C12" i="1"/>
  <c r="D60" i="1"/>
  <c r="D20" i="1"/>
  <c r="D41" i="1"/>
  <c r="D23" i="1"/>
  <c r="D66" i="1"/>
  <c r="D45" i="1"/>
  <c r="D9" i="1"/>
  <c r="B12" i="1"/>
  <c r="D38" i="1"/>
  <c r="D11" i="1"/>
  <c r="D18" i="1"/>
  <c r="D22" i="1"/>
  <c r="D24" i="1"/>
  <c r="D29" i="1"/>
  <c r="E32" i="1" l="1"/>
  <c r="E14" i="1" s="1"/>
  <c r="E34" i="1" s="1"/>
  <c r="B54" i="1"/>
  <c r="B72" i="1" s="1"/>
  <c r="C54" i="1"/>
  <c r="C72" i="1" s="1"/>
  <c r="D71" i="1"/>
  <c r="D12" i="1"/>
  <c r="D26" i="1"/>
  <c r="D31" i="1" s="1"/>
  <c r="D72" i="1" l="1"/>
  <c r="B73" i="1"/>
  <c r="D54" i="1"/>
  <c r="B74" i="1" l="1"/>
  <c r="C73" i="1"/>
  <c r="C74" i="1" l="1"/>
  <c r="D73" i="1"/>
  <c r="D74" i="1" l="1"/>
</calcChain>
</file>

<file path=xl/sharedStrings.xml><?xml version="1.0" encoding="utf-8"?>
<sst xmlns="http://schemas.openxmlformats.org/spreadsheetml/2006/main" count="78" uniqueCount="74">
  <si>
    <t>Total</t>
  </si>
  <si>
    <t>over Budget</t>
  </si>
  <si>
    <t xml:space="preserve">   Activities Fees</t>
  </si>
  <si>
    <t xml:space="preserve">   Digital App Subscription</t>
  </si>
  <si>
    <t xml:space="preserve">   Digital Sponsors</t>
  </si>
  <si>
    <t xml:space="preserve">   Friends of PTCO</t>
  </si>
  <si>
    <t xml:space="preserve">   Senior Yard Signs</t>
  </si>
  <si>
    <t>Total Revenue</t>
  </si>
  <si>
    <t xml:space="preserve">   After Prom Expenses</t>
  </si>
  <si>
    <t xml:space="preserve">      Decor</t>
  </si>
  <si>
    <t xml:space="preserve">      Food</t>
  </si>
  <si>
    <t xml:space="preserve">      Security</t>
  </si>
  <si>
    <t xml:space="preserve">   Total After Prom Expenses</t>
  </si>
  <si>
    <t xml:space="preserve">   Bank Charges</t>
  </si>
  <si>
    <t xml:space="preserve">   Dues &amp; Licenses</t>
  </si>
  <si>
    <t xml:space="preserve">   Educator(s) of the Year</t>
  </si>
  <si>
    <t xml:space="preserve">   Hospitality</t>
  </si>
  <si>
    <t xml:space="preserve">      Check-In - Volunteers</t>
  </si>
  <si>
    <t xml:space="preserve">      Freshman Check-In Parent Event</t>
  </si>
  <si>
    <t xml:space="preserve">      New Families/Parent Welcome</t>
  </si>
  <si>
    <t xml:space="preserve">      PTCO Meetings</t>
  </si>
  <si>
    <t xml:space="preserve">   Total Hospitality</t>
  </si>
  <si>
    <t xml:space="preserve">   Insurance Premiums &amp; Fees</t>
  </si>
  <si>
    <t xml:space="preserve">   Printing and  Postage</t>
  </si>
  <si>
    <t xml:space="preserve">   PTCO Grants</t>
  </si>
  <si>
    <t xml:space="preserve">   School Funded Prog - Bear Facts</t>
  </si>
  <si>
    <t xml:space="preserve">      End of Year Lunch (to Principal)</t>
  </si>
  <si>
    <t xml:space="preserve">      Faculty Lounge Supplies</t>
  </si>
  <si>
    <t xml:space="preserve">      Holiday luncheon</t>
  </si>
  <si>
    <t xml:space="preserve">      School Supplies</t>
  </si>
  <si>
    <t xml:space="preserve">      Staff Appreciation - First Fridays</t>
  </si>
  <si>
    <t xml:space="preserve">   Total Staff Appreciation</t>
  </si>
  <si>
    <t xml:space="preserve">   Digital Application Fees (&amp; Training)</t>
  </si>
  <si>
    <t>Future Bruins Night</t>
  </si>
  <si>
    <t>Operating Expenses</t>
  </si>
  <si>
    <t>Lunch with the Principal</t>
  </si>
  <si>
    <t>Notes</t>
  </si>
  <si>
    <t>2023 Budget</t>
  </si>
  <si>
    <t>2023 'Actual</t>
  </si>
  <si>
    <t xml:space="preserve">      Entertainment / Rentals / Venue</t>
  </si>
  <si>
    <t>Senior Sign Production Expense</t>
  </si>
  <si>
    <t>Staff appreciation committee uses total budget to address holiday luncheon, supplies and FF</t>
  </si>
  <si>
    <t>Total Operating Expenses</t>
  </si>
  <si>
    <t xml:space="preserve"> </t>
  </si>
  <si>
    <t>PTCO Revenue</t>
  </si>
  <si>
    <t>PTCO Expenditures</t>
  </si>
  <si>
    <t>After Prom Donation</t>
  </si>
  <si>
    <t>Supported Activities</t>
  </si>
  <si>
    <t>Assume $150 for training</t>
  </si>
  <si>
    <t>Projected PTCO Income</t>
  </si>
  <si>
    <t>Donation from PTCO</t>
  </si>
  <si>
    <t xml:space="preserve">   After Prom Beginning of Year Donation</t>
  </si>
  <si>
    <t>Donation:  candy</t>
  </si>
  <si>
    <t>Donation:  prizes</t>
  </si>
  <si>
    <t xml:space="preserve">      Miscellaneous (Admin, Printing, etc)</t>
  </si>
  <si>
    <t>Prizes</t>
  </si>
  <si>
    <t>Spring Fundraising (Restaurant Nights / Revtrak)</t>
  </si>
  <si>
    <t>Projected After Prom Income</t>
  </si>
  <si>
    <t>Staff Appreciation Donations</t>
  </si>
  <si>
    <t>After Prom Donations &amp; Revenue</t>
  </si>
  <si>
    <t xml:space="preserve">   Staff Appreciation Expenses</t>
  </si>
  <si>
    <t>Beginning of Year Donation</t>
  </si>
  <si>
    <t>Projected Staff Appreciation Income</t>
  </si>
  <si>
    <t>Cherry Creek High School PTCO</t>
  </si>
  <si>
    <t xml:space="preserve">Proposed CCHS PTCO BUDGET 2024-2025 </t>
  </si>
  <si>
    <t>2025 Budget</t>
  </si>
  <si>
    <t>haven't been used in 2 years</t>
  </si>
  <si>
    <t>didn't pay this year?</t>
  </si>
  <si>
    <t>sponsorship banner</t>
  </si>
  <si>
    <t>IN-KIND</t>
  </si>
  <si>
    <t>Candy</t>
  </si>
  <si>
    <t>spent 5000</t>
  </si>
  <si>
    <t>spent 36000</t>
  </si>
  <si>
    <t>spent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</si>
</sst>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</numFmts>
  <fonts count="11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wrapText="1" indent="1"/>
    </xf>
    <xf numFmtId="43" fontId="6" fillId="0" borderId="0" xfId="1" applyFont="1"/>
    <xf numFmtId="0" fontId="6" fillId="0" borderId="0" xfId="0" applyFont="1" applyAlignment="1">
      <alignment horizontal="right"/>
    </xf>
    <xf numFmtId="44" fontId="2" fillId="0" borderId="2" xfId="0" applyNumberFormat="1" applyFont="1" applyBorder="1" applyAlignment="1">
      <alignment horizontal="right" wrapText="1"/>
    </xf>
    <xf numFmtId="0" fontId="7" fillId="0" borderId="0" xfId="0" applyFont="1" applyAlignment="1">
      <alignment horizontal="left" wrapText="1"/>
    </xf>
    <xf numFmtId="44" fontId="1" fillId="0" borderId="1" xfId="0" applyNumberFormat="1" applyFont="1" applyBorder="1" applyAlignment="1">
      <alignment horizontal="center" wrapText="1"/>
    </xf>
    <xf numFmtId="44" fontId="3" fillId="0" borderId="0" xfId="0" applyNumberFormat="1" applyFont="1" applyAlignment="1">
      <alignment wrapText="1"/>
    </xf>
    <xf numFmtId="44" fontId="3" fillId="0" borderId="0" xfId="0" applyNumberFormat="1" applyFont="1" applyAlignment="1">
      <alignment horizontal="right" wrapText="1"/>
    </xf>
    <xf numFmtId="44" fontId="2" fillId="0" borderId="0" xfId="0" applyNumberFormat="1" applyFont="1" applyAlignment="1">
      <alignment horizontal="right" wrapText="1"/>
    </xf>
    <xf numFmtId="44" fontId="0" fillId="0" borderId="0" xfId="0" applyNumberFormat="1"/>
    <xf numFmtId="44" fontId="2" fillId="0" borderId="3" xfId="0" applyNumberFormat="1" applyFont="1" applyBorder="1" applyAlignment="1">
      <alignment horizontal="right" wrapText="1"/>
    </xf>
    <xf numFmtId="0" fontId="7" fillId="0" borderId="0" xfId="0" applyFont="1" applyAlignment="1">
      <alignment horizontal="left" wrapText="1" indent="1"/>
    </xf>
    <xf numFmtId="0" fontId="7" fillId="0" borderId="0" xfId="0" applyFont="1" applyAlignment="1">
      <alignment horizontal="left" wrapText="1" indent="2"/>
    </xf>
    <xf numFmtId="44" fontId="6" fillId="0" borderId="0" xfId="0" applyNumberFormat="1" applyFont="1"/>
    <xf numFmtId="0" fontId="2" fillId="0" borderId="0" xfId="0" applyFont="1" applyAlignment="1">
      <alignment horizontal="left" wrapText="1" indent="3"/>
    </xf>
    <xf numFmtId="0" fontId="0" fillId="0" borderId="0" xfId="0"/>
    <xf numFmtId="165" fontId="2" fillId="0" borderId="0" xfId="0" applyNumberFormat="1" applyFont="1" applyBorder="1" applyAlignment="1">
      <alignment horizontal="right" wrapText="1"/>
    </xf>
    <xf numFmtId="44" fontId="2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 indent="2"/>
    </xf>
    <xf numFmtId="0" fontId="2" fillId="0" borderId="0" xfId="0" applyFont="1" applyFill="1" applyAlignment="1">
      <alignment horizontal="left" wrapText="1" indent="1"/>
    </xf>
    <xf numFmtId="164" fontId="3" fillId="0" borderId="0" xfId="0" applyNumberFormat="1" applyFont="1" applyFill="1" applyAlignment="1">
      <alignment horizontal="right" wrapText="1"/>
    </xf>
    <xf numFmtId="44" fontId="3" fillId="0" borderId="0" xfId="0" applyNumberFormat="1" applyFont="1" applyFill="1" applyAlignment="1">
      <alignment horizontal="right" wrapText="1"/>
    </xf>
    <xf numFmtId="43" fontId="6" fillId="0" borderId="0" xfId="1" applyFont="1" applyFill="1"/>
    <xf numFmtId="0" fontId="10" fillId="0" borderId="0" xfId="0" applyFont="1" applyAlignment="1">
      <alignment horizontal="left" wrapText="1"/>
    </xf>
    <xf numFmtId="0" fontId="0" fillId="0" borderId="0" xfId="0" applyBorder="1"/>
    <xf numFmtId="43" fontId="6" fillId="0" borderId="1" xfId="1" applyFont="1" applyBorder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43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tabSelected="1" topLeftCell="A42" workbookViewId="0">
      <selection activeCell="F55" sqref="F55"/>
    </sheetView>
  </sheetViews>
  <sheetFormatPr defaultRowHeight="15" x14ac:dyDescent="0.25"/>
  <cols>
    <col min="1" max="1" width="29.5703125" customWidth="1"/>
    <col min="2" max="3" width="24.7109375" hidden="1" customWidth="1"/>
    <col min="4" max="4" width="24.7109375" style="18" hidden="1" customWidth="1"/>
    <col min="5" max="5" width="20.7109375" customWidth="1"/>
    <col min="6" max="6" width="24.7109375" customWidth="1"/>
  </cols>
  <sheetData>
    <row r="1" spans="1:6" ht="18" x14ac:dyDescent="0.25">
      <c r="A1" s="40" t="s">
        <v>63</v>
      </c>
      <c r="B1" s="40"/>
      <c r="C1" s="40"/>
      <c r="D1" s="40"/>
      <c r="E1" s="40"/>
      <c r="F1" s="40"/>
    </row>
    <row r="2" spans="1:6" ht="18" x14ac:dyDescent="0.25">
      <c r="A2" s="41" t="s">
        <v>64</v>
      </c>
      <c r="B2" s="41"/>
      <c r="C2" s="41"/>
      <c r="D2" s="41"/>
      <c r="E2" s="41"/>
      <c r="F2" s="41"/>
    </row>
    <row r="3" spans="1:6" x14ac:dyDescent="0.25">
      <c r="A3" s="42"/>
      <c r="B3" s="42"/>
      <c r="C3" s="42"/>
      <c r="D3" s="42"/>
      <c r="E3" s="42"/>
      <c r="F3" s="42"/>
    </row>
    <row r="5" spans="1:6" x14ac:dyDescent="0.25">
      <c r="A5" s="1"/>
      <c r="B5" s="43" t="s">
        <v>0</v>
      </c>
      <c r="C5" s="44"/>
      <c r="D5" s="44"/>
    </row>
    <row r="6" spans="1:6" x14ac:dyDescent="0.25">
      <c r="A6" s="1"/>
      <c r="B6" s="2" t="s">
        <v>38</v>
      </c>
      <c r="C6" s="2" t="s">
        <v>37</v>
      </c>
      <c r="D6" s="14" t="s">
        <v>1</v>
      </c>
      <c r="E6" s="2" t="s">
        <v>65</v>
      </c>
      <c r="F6" s="2" t="s">
        <v>36</v>
      </c>
    </row>
    <row r="7" spans="1:6" x14ac:dyDescent="0.25">
      <c r="A7" s="3" t="s">
        <v>44</v>
      </c>
      <c r="B7" s="4"/>
      <c r="C7" s="4"/>
      <c r="D7" s="15"/>
    </row>
    <row r="8" spans="1:6" x14ac:dyDescent="0.25">
      <c r="A8" s="3" t="s">
        <v>2</v>
      </c>
      <c r="B8" s="5">
        <f>2450</f>
        <v>2450</v>
      </c>
      <c r="C8" s="5">
        <f>2500</f>
        <v>2500</v>
      </c>
      <c r="D8" s="16">
        <f t="shared" ref="D8:D12" si="0">(B8)-(C8)</f>
        <v>-50</v>
      </c>
      <c r="E8" s="10">
        <v>2450</v>
      </c>
      <c r="F8" s="11"/>
    </row>
    <row r="9" spans="1:6" x14ac:dyDescent="0.25">
      <c r="A9" s="3" t="s">
        <v>3</v>
      </c>
      <c r="B9" s="5">
        <f>8460</f>
        <v>8460</v>
      </c>
      <c r="C9" s="5">
        <f>15000</f>
        <v>15000</v>
      </c>
      <c r="D9" s="16">
        <f t="shared" si="0"/>
        <v>-6540</v>
      </c>
      <c r="E9" s="10">
        <v>8000</v>
      </c>
      <c r="F9" s="11"/>
    </row>
    <row r="10" spans="1:6" x14ac:dyDescent="0.25">
      <c r="A10" s="3" t="s">
        <v>4</v>
      </c>
      <c r="B10" s="5">
        <f>1500</f>
        <v>1500</v>
      </c>
      <c r="C10" s="5">
        <f>5000</f>
        <v>5000</v>
      </c>
      <c r="D10" s="16">
        <f t="shared" si="0"/>
        <v>-3500</v>
      </c>
      <c r="E10" s="10">
        <v>3500</v>
      </c>
      <c r="F10" s="11"/>
    </row>
    <row r="11" spans="1:6" x14ac:dyDescent="0.25">
      <c r="A11" s="3" t="s">
        <v>5</v>
      </c>
      <c r="B11" s="5">
        <f>48206.96</f>
        <v>48206.96</v>
      </c>
      <c r="C11" s="5">
        <f>45000</f>
        <v>45000</v>
      </c>
      <c r="D11" s="16">
        <f t="shared" si="0"/>
        <v>3206.9599999999991</v>
      </c>
      <c r="E11" s="10">
        <v>47000</v>
      </c>
      <c r="F11" s="11"/>
    </row>
    <row r="12" spans="1:6" x14ac:dyDescent="0.25">
      <c r="A12" s="3" t="s">
        <v>7</v>
      </c>
      <c r="B12" s="6" t="e">
        <f>((((((((B8)+(B38))+(B9))+(B10))+(B11))+(#REF!))+(#REF!))+(B41))+(B60)</f>
        <v>#REF!</v>
      </c>
      <c r="C12" s="6" t="e">
        <f>((((((((C8)+(C38))+(C9))+(C10))+(C11))+(#REF!))+(#REF!))+(C41))+(C60)</f>
        <v>#REF!</v>
      </c>
      <c r="D12" s="12" t="e">
        <f t="shared" si="0"/>
        <v>#REF!</v>
      </c>
      <c r="E12" s="6">
        <f>SUM(E8:E11)</f>
        <v>60950</v>
      </c>
      <c r="F12" s="11"/>
    </row>
    <row r="13" spans="1:6" x14ac:dyDescent="0.25">
      <c r="A13" s="3"/>
      <c r="B13" s="25"/>
      <c r="C13" s="25"/>
      <c r="D13" s="26"/>
      <c r="E13" s="25"/>
      <c r="F13" s="11"/>
    </row>
    <row r="14" spans="1:6" x14ac:dyDescent="0.25">
      <c r="A14" s="3" t="s">
        <v>45</v>
      </c>
      <c r="B14" s="25"/>
      <c r="C14" s="25"/>
      <c r="D14" s="26"/>
      <c r="E14" s="25">
        <f>SUM(E31:E32)</f>
        <v>60950</v>
      </c>
      <c r="F14" s="11"/>
    </row>
    <row r="15" spans="1:6" x14ac:dyDescent="0.25">
      <c r="A15" s="9" t="s">
        <v>34</v>
      </c>
      <c r="B15" s="8"/>
      <c r="C15" s="8"/>
      <c r="D15" s="17"/>
      <c r="E15" s="10"/>
      <c r="F15" s="11"/>
    </row>
    <row r="16" spans="1:6" x14ac:dyDescent="0.25">
      <c r="A16" s="9" t="s">
        <v>13</v>
      </c>
      <c r="B16" s="5">
        <f>1</f>
        <v>1</v>
      </c>
      <c r="C16" s="5">
        <f>100</f>
        <v>100</v>
      </c>
      <c r="D16" s="16">
        <f>(B16)-(C16)</f>
        <v>-99</v>
      </c>
      <c r="E16" s="10"/>
      <c r="F16" s="11"/>
    </row>
    <row r="17" spans="1:6" ht="23.25" x14ac:dyDescent="0.25">
      <c r="A17" s="28" t="s">
        <v>32</v>
      </c>
      <c r="B17" s="29">
        <f>750</f>
        <v>750</v>
      </c>
      <c r="C17" s="29">
        <f>750</f>
        <v>750</v>
      </c>
      <c r="D17" s="30">
        <f>(B17)-(C17)</f>
        <v>0</v>
      </c>
      <c r="E17" s="31">
        <v>1175</v>
      </c>
      <c r="F17" s="11" t="s">
        <v>48</v>
      </c>
    </row>
    <row r="18" spans="1:6" x14ac:dyDescent="0.25">
      <c r="A18" s="9" t="s">
        <v>14</v>
      </c>
      <c r="B18" s="5">
        <f>316.49</f>
        <v>316.49</v>
      </c>
      <c r="C18" s="5">
        <f>300</f>
        <v>300</v>
      </c>
      <c r="D18" s="16">
        <f>(B18)-(C18)</f>
        <v>16.490000000000009</v>
      </c>
      <c r="E18" s="10">
        <v>200</v>
      </c>
      <c r="F18" s="11"/>
    </row>
    <row r="19" spans="1:6" x14ac:dyDescent="0.25">
      <c r="A19" s="9" t="s">
        <v>16</v>
      </c>
      <c r="B19" s="4"/>
      <c r="C19" s="4"/>
      <c r="D19" s="16">
        <f>(B19)-(C19)</f>
        <v>0</v>
      </c>
      <c r="E19" s="10"/>
      <c r="F19" s="11"/>
    </row>
    <row r="20" spans="1:6" x14ac:dyDescent="0.25">
      <c r="A20" s="9" t="s">
        <v>17</v>
      </c>
      <c r="B20" s="4"/>
      <c r="C20" s="5">
        <f>100</f>
        <v>100</v>
      </c>
      <c r="D20" s="16">
        <f>(B20)-(C20)</f>
        <v>-100</v>
      </c>
      <c r="E20" s="10">
        <v>100</v>
      </c>
      <c r="F20" s="11" t="s">
        <v>66</v>
      </c>
    </row>
    <row r="21" spans="1:6" x14ac:dyDescent="0.25">
      <c r="A21" s="23" t="s">
        <v>33</v>
      </c>
      <c r="B21" s="4"/>
      <c r="C21" s="5"/>
      <c r="D21" s="16"/>
      <c r="E21" s="10">
        <v>100</v>
      </c>
      <c r="F21" s="11"/>
    </row>
    <row r="22" spans="1:6" ht="23.25" x14ac:dyDescent="0.25">
      <c r="A22" s="9" t="s">
        <v>18</v>
      </c>
      <c r="B22" s="4"/>
      <c r="C22" s="5">
        <f>100</f>
        <v>100</v>
      </c>
      <c r="D22" s="16">
        <f>(B22)-(C22)</f>
        <v>-100</v>
      </c>
      <c r="E22" s="10">
        <v>100</v>
      </c>
      <c r="F22" s="11"/>
    </row>
    <row r="23" spans="1:6" x14ac:dyDescent="0.25">
      <c r="A23" s="9" t="s">
        <v>19</v>
      </c>
      <c r="B23" s="4"/>
      <c r="C23" s="5">
        <f>100</f>
        <v>100</v>
      </c>
      <c r="D23" s="16">
        <f>(B23)-(C23)</f>
        <v>-100</v>
      </c>
      <c r="E23" s="10">
        <v>100</v>
      </c>
      <c r="F23" s="11"/>
    </row>
    <row r="24" spans="1:6" x14ac:dyDescent="0.25">
      <c r="A24" s="9" t="s">
        <v>20</v>
      </c>
      <c r="B24" s="4"/>
      <c r="C24" s="5">
        <f>650</f>
        <v>650</v>
      </c>
      <c r="D24" s="16">
        <f>(B24)-(C24)</f>
        <v>-650</v>
      </c>
      <c r="E24" s="10">
        <v>650</v>
      </c>
      <c r="F24" s="11"/>
    </row>
    <row r="25" spans="1:6" x14ac:dyDescent="0.25">
      <c r="A25" s="23" t="s">
        <v>35</v>
      </c>
      <c r="B25" s="4"/>
      <c r="C25" s="5"/>
      <c r="D25" s="16"/>
      <c r="E25" s="10">
        <v>300</v>
      </c>
      <c r="F25" s="11"/>
    </row>
    <row r="26" spans="1:6" x14ac:dyDescent="0.25">
      <c r="A26" s="9" t="s">
        <v>21</v>
      </c>
      <c r="B26" s="6">
        <f>((((B19)+(B20))+(B22))+(B23))+(B24)</f>
        <v>0</v>
      </c>
      <c r="C26" s="6">
        <f>((((C19)+(C20))+(C22))+(C23))+(C24)+C25</f>
        <v>950</v>
      </c>
      <c r="D26" s="12">
        <f>(B26)-(C26)</f>
        <v>-950</v>
      </c>
      <c r="E26" s="12">
        <f>SUM(E20:E25)</f>
        <v>1350</v>
      </c>
      <c r="F26" s="11"/>
    </row>
    <row r="27" spans="1:6" x14ac:dyDescent="0.25">
      <c r="A27" s="9" t="s">
        <v>22</v>
      </c>
      <c r="B27" s="5">
        <f>109.9</f>
        <v>109.9</v>
      </c>
      <c r="C27" s="5">
        <f>320</f>
        <v>320</v>
      </c>
      <c r="D27" s="16">
        <f>(B27)-(C27)</f>
        <v>-210.1</v>
      </c>
      <c r="E27" s="10">
        <v>500</v>
      </c>
      <c r="F27" s="11" t="s">
        <v>67</v>
      </c>
    </row>
    <row r="28" spans="1:6" x14ac:dyDescent="0.25">
      <c r="A28" s="9" t="s">
        <v>23</v>
      </c>
      <c r="B28" s="5">
        <f>44.12</f>
        <v>44.12</v>
      </c>
      <c r="C28" s="5">
        <f>750</f>
        <v>750</v>
      </c>
      <c r="D28" s="16">
        <f>(B28)-(C28)</f>
        <v>-705.88</v>
      </c>
      <c r="E28" s="10">
        <v>500</v>
      </c>
      <c r="F28" s="11" t="s">
        <v>68</v>
      </c>
    </row>
    <row r="29" spans="1:6" x14ac:dyDescent="0.25">
      <c r="A29" s="9" t="s">
        <v>25</v>
      </c>
      <c r="B29" s="5">
        <f>5000</f>
        <v>5000</v>
      </c>
      <c r="C29" s="5">
        <f>5000</f>
        <v>5000</v>
      </c>
      <c r="D29" s="16">
        <f>(B29)-(C29)</f>
        <v>0</v>
      </c>
      <c r="E29" s="10">
        <v>0</v>
      </c>
      <c r="F29" s="11"/>
    </row>
    <row r="30" spans="1:6" x14ac:dyDescent="0.25">
      <c r="A30" s="27" t="s">
        <v>46</v>
      </c>
      <c r="B30" s="5"/>
      <c r="C30" s="5"/>
      <c r="D30" s="16"/>
      <c r="E30" s="34">
        <v>7000</v>
      </c>
      <c r="F30" s="11"/>
    </row>
    <row r="31" spans="1:6" x14ac:dyDescent="0.25">
      <c r="A31" s="20" t="s">
        <v>42</v>
      </c>
      <c r="B31" s="22">
        <f>B29+B28+B27+B26+B18+B17+B16</f>
        <v>6221.5099999999993</v>
      </c>
      <c r="C31" s="22">
        <f>C29+C28+C27+C26+C18+C17+C16</f>
        <v>8170</v>
      </c>
      <c r="D31" s="22">
        <f>D29+D28+D27+D26+D18+D17+D16</f>
        <v>-1948.49</v>
      </c>
      <c r="E31" s="22">
        <f>E29+E28+E27+E26+E18+E17+E16+E30</f>
        <v>10725</v>
      </c>
    </row>
    <row r="32" spans="1:6" x14ac:dyDescent="0.25">
      <c r="A32" s="3" t="s">
        <v>24</v>
      </c>
      <c r="B32" s="5">
        <f>54410.5</f>
        <v>54410.5</v>
      </c>
      <c r="C32" s="5">
        <f>53000</f>
        <v>53000</v>
      </c>
      <c r="D32" s="16">
        <f>(B32)-(C32)</f>
        <v>1410.5</v>
      </c>
      <c r="E32" s="10">
        <f>E12-E31</f>
        <v>50225</v>
      </c>
      <c r="F32" s="11"/>
    </row>
    <row r="33" spans="1:6" x14ac:dyDescent="0.25">
      <c r="A33" s="3"/>
      <c r="B33" s="25"/>
      <c r="C33" s="25"/>
      <c r="D33" s="26"/>
      <c r="E33" s="25"/>
      <c r="F33" s="11"/>
    </row>
    <row r="34" spans="1:6" ht="15.75" x14ac:dyDescent="0.25">
      <c r="A34" s="32" t="s">
        <v>49</v>
      </c>
      <c r="B34" s="25"/>
      <c r="C34" s="25"/>
      <c r="D34" s="26"/>
      <c r="E34" s="25">
        <f>E12-E14</f>
        <v>0</v>
      </c>
      <c r="F34" s="11"/>
    </row>
    <row r="35" spans="1:6" x14ac:dyDescent="0.25">
      <c r="A35" s="3"/>
      <c r="B35" s="25"/>
      <c r="C35" s="25"/>
      <c r="D35" s="26"/>
      <c r="E35" s="25"/>
      <c r="F35" s="11"/>
    </row>
    <row r="36" spans="1:6" ht="15.75" x14ac:dyDescent="0.25">
      <c r="A36" s="32" t="s">
        <v>47</v>
      </c>
      <c r="B36" s="25"/>
      <c r="C36" s="25"/>
      <c r="D36" s="26"/>
      <c r="E36" s="25"/>
      <c r="F36" s="11"/>
    </row>
    <row r="37" spans="1:6" x14ac:dyDescent="0.25">
      <c r="A37" s="13" t="s">
        <v>59</v>
      </c>
      <c r="B37" s="25"/>
      <c r="C37" s="25"/>
      <c r="D37" s="26"/>
      <c r="E37" s="25">
        <f>SUM(E38:E43)</f>
        <v>53000</v>
      </c>
      <c r="F37" s="11"/>
    </row>
    <row r="38" spans="1:6" ht="23.25" x14ac:dyDescent="0.25">
      <c r="A38" s="3" t="s">
        <v>51</v>
      </c>
      <c r="B38" s="5">
        <f>19411.39</f>
        <v>19411.39</v>
      </c>
      <c r="C38" s="5">
        <f>25000</f>
        <v>25000</v>
      </c>
      <c r="D38" s="16">
        <f>(B38)-(C38)</f>
        <v>-5588.6100000000006</v>
      </c>
      <c r="E38" s="10">
        <v>17000</v>
      </c>
      <c r="F38" s="11"/>
    </row>
    <row r="39" spans="1:6" x14ac:dyDescent="0.25">
      <c r="A39" s="9" t="s">
        <v>50</v>
      </c>
      <c r="B39" s="5"/>
      <c r="C39" s="5"/>
      <c r="D39" s="16"/>
      <c r="E39" s="10">
        <v>7000</v>
      </c>
      <c r="F39" s="11"/>
    </row>
    <row r="40" spans="1:6" ht="23.25" x14ac:dyDescent="0.25">
      <c r="A40" s="9" t="s">
        <v>56</v>
      </c>
      <c r="B40" s="5"/>
      <c r="C40" s="5"/>
      <c r="D40" s="16"/>
      <c r="E40" s="10">
        <v>10000</v>
      </c>
      <c r="F40" s="11"/>
    </row>
    <row r="41" spans="1:6" x14ac:dyDescent="0.25">
      <c r="A41" s="3" t="s">
        <v>6</v>
      </c>
      <c r="B41" s="5">
        <f>9398.03</f>
        <v>9398.0300000000007</v>
      </c>
      <c r="C41" s="5">
        <f>6000</f>
        <v>6000</v>
      </c>
      <c r="D41" s="16">
        <f>(B41)-(C41)</f>
        <v>3398.0300000000007</v>
      </c>
      <c r="E41" s="10">
        <v>9000</v>
      </c>
      <c r="F41" s="11"/>
    </row>
    <row r="42" spans="1:6" x14ac:dyDescent="0.25">
      <c r="A42" s="9" t="s">
        <v>52</v>
      </c>
      <c r="E42" s="10">
        <v>2000</v>
      </c>
      <c r="F42" s="11" t="s">
        <v>69</v>
      </c>
    </row>
    <row r="43" spans="1:6" x14ac:dyDescent="0.25">
      <c r="A43" s="9" t="s">
        <v>53</v>
      </c>
      <c r="B43" s="25"/>
      <c r="C43" s="25"/>
      <c r="D43" s="26"/>
      <c r="E43" s="10">
        <v>8000</v>
      </c>
      <c r="F43" s="11" t="s">
        <v>69</v>
      </c>
    </row>
    <row r="44" spans="1:6" x14ac:dyDescent="0.25">
      <c r="A44" s="3"/>
      <c r="B44" s="25"/>
      <c r="C44" s="25"/>
      <c r="D44" s="26"/>
      <c r="E44" s="25"/>
      <c r="F44" s="11"/>
    </row>
    <row r="45" spans="1:6" x14ac:dyDescent="0.25">
      <c r="A45" s="13" t="s">
        <v>8</v>
      </c>
      <c r="B45" s="5" t="s">
        <v>43</v>
      </c>
      <c r="C45" s="4"/>
      <c r="D45" s="16" t="e">
        <f t="shared" ref="D45:D54" si="1">(B45)-(C45)</f>
        <v>#VALUE!</v>
      </c>
      <c r="E45" s="10"/>
      <c r="F45" s="11"/>
    </row>
    <row r="46" spans="1:6" x14ac:dyDescent="0.25">
      <c r="A46" s="3" t="s">
        <v>9</v>
      </c>
      <c r="B46" s="4"/>
      <c r="C46" s="5">
        <v>4000</v>
      </c>
      <c r="D46" s="16">
        <f t="shared" si="1"/>
        <v>-4000</v>
      </c>
      <c r="E46" s="10">
        <v>3000</v>
      </c>
      <c r="F46" s="11" t="s">
        <v>71</v>
      </c>
    </row>
    <row r="47" spans="1:6" x14ac:dyDescent="0.25">
      <c r="A47" s="13" t="s">
        <v>39</v>
      </c>
      <c r="B47" s="4"/>
      <c r="C47" s="4"/>
      <c r="D47" s="16">
        <f t="shared" si="1"/>
        <v>0</v>
      </c>
      <c r="E47" s="10">
        <v>34000</v>
      </c>
      <c r="F47" s="11" t="s">
        <v>72</v>
      </c>
    </row>
    <row r="48" spans="1:6" x14ac:dyDescent="0.25">
      <c r="A48" s="3" t="s">
        <v>10</v>
      </c>
      <c r="B48" s="4"/>
      <c r="C48" s="5">
        <v>0</v>
      </c>
      <c r="D48" s="16">
        <f t="shared" si="1"/>
        <v>0</v>
      </c>
      <c r="E48" s="10">
        <v>600</v>
      </c>
      <c r="F48" s="11" t="s">
        <v>73</v>
      </c>
    </row>
    <row r="49" spans="1:6" ht="23.25" x14ac:dyDescent="0.25">
      <c r="A49" s="3" t="s">
        <v>54</v>
      </c>
      <c r="B49" s="4"/>
      <c r="C49" s="5">
        <f>800</f>
        <v>800</v>
      </c>
      <c r="D49" s="16">
        <f t="shared" si="1"/>
        <v>-800</v>
      </c>
      <c r="E49" s="10">
        <v>400</v>
      </c>
      <c r="F49" s="11"/>
    </row>
    <row r="50" spans="1:6" x14ac:dyDescent="0.25">
      <c r="A50" s="27" t="s">
        <v>55</v>
      </c>
      <c r="B50" s="4"/>
      <c r="C50" s="4"/>
      <c r="D50" s="16">
        <f t="shared" si="1"/>
        <v>0</v>
      </c>
      <c r="E50" s="10">
        <v>8000</v>
      </c>
      <c r="F50" s="11" t="s">
        <v>69</v>
      </c>
    </row>
    <row r="51" spans="1:6" s="24" customFormat="1" x14ac:dyDescent="0.25">
      <c r="A51" s="21" t="s">
        <v>70</v>
      </c>
      <c r="B51" s="4"/>
      <c r="C51" s="4"/>
      <c r="D51" s="16"/>
      <c r="E51" s="10">
        <v>2000</v>
      </c>
      <c r="F51" s="11" t="s">
        <v>69</v>
      </c>
    </row>
    <row r="52" spans="1:6" x14ac:dyDescent="0.25">
      <c r="A52" s="3" t="s">
        <v>11</v>
      </c>
      <c r="B52" s="4"/>
      <c r="C52" s="4"/>
      <c r="D52" s="16">
        <f t="shared" si="1"/>
        <v>0</v>
      </c>
      <c r="E52" s="10">
        <v>2500</v>
      </c>
      <c r="F52" s="35"/>
    </row>
    <row r="53" spans="1:6" x14ac:dyDescent="0.25">
      <c r="A53" s="21" t="s">
        <v>40</v>
      </c>
      <c r="B53" s="7">
        <v>1833</v>
      </c>
      <c r="C53" s="7">
        <v>3000</v>
      </c>
      <c r="D53" s="12">
        <f t="shared" si="1"/>
        <v>-1167</v>
      </c>
      <c r="E53" s="10">
        <v>2500</v>
      </c>
      <c r="F53" s="11"/>
    </row>
    <row r="54" spans="1:6" x14ac:dyDescent="0.25">
      <c r="A54" s="13" t="s">
        <v>12</v>
      </c>
      <c r="B54" s="6" t="e">
        <f>((((((B45)+(B46))+(#REF!))+(#REF!))+(B49))+(#REF!))+(#REF!)+B53</f>
        <v>#VALUE!</v>
      </c>
      <c r="C54" s="6" t="e">
        <f>((((((C45)+(C46))+(#REF!))+(#REF!))+(C49))+(#REF!))+(#REF!)+C53</f>
        <v>#REF!</v>
      </c>
      <c r="D54" s="12" t="e">
        <f t="shared" si="1"/>
        <v>#VALUE!</v>
      </c>
      <c r="E54" s="6">
        <f>SUM(E46:E53)</f>
        <v>53000</v>
      </c>
      <c r="F54" s="11"/>
    </row>
    <row r="55" spans="1:6" x14ac:dyDescent="0.25">
      <c r="A55" s="13"/>
      <c r="B55" s="8"/>
      <c r="C55" s="8"/>
      <c r="D55" s="17"/>
      <c r="E55" s="8"/>
      <c r="F55" s="11"/>
    </row>
    <row r="56" spans="1:6" x14ac:dyDescent="0.25">
      <c r="A56" s="13" t="s">
        <v>57</v>
      </c>
      <c r="E56" s="6">
        <f>E37-E54</f>
        <v>0</v>
      </c>
    </row>
    <row r="60" spans="1:6" x14ac:dyDescent="0.25">
      <c r="A60" s="13" t="s">
        <v>58</v>
      </c>
      <c r="B60" s="5">
        <f>21202.96</f>
        <v>21202.959999999999</v>
      </c>
      <c r="C60" s="5">
        <f>20000</f>
        <v>20000</v>
      </c>
      <c r="D60" s="16">
        <f>(B60)-(C60)</f>
        <v>1202.9599999999991</v>
      </c>
      <c r="E60" s="10">
        <f>E61+E62</f>
        <v>21000</v>
      </c>
      <c r="F60" s="11"/>
    </row>
    <row r="61" spans="1:6" x14ac:dyDescent="0.25">
      <c r="A61" s="20" t="s">
        <v>61</v>
      </c>
      <c r="B61" s="5"/>
      <c r="C61" s="5"/>
      <c r="D61" s="16"/>
      <c r="E61" s="10">
        <v>21000</v>
      </c>
      <c r="F61" s="11"/>
    </row>
    <row r="62" spans="1:6" x14ac:dyDescent="0.25">
      <c r="A62" s="9" t="s">
        <v>50</v>
      </c>
      <c r="B62" s="5"/>
      <c r="C62" s="5"/>
      <c r="D62" s="16"/>
      <c r="E62" s="10">
        <v>0</v>
      </c>
      <c r="F62" s="11"/>
    </row>
    <row r="63" spans="1:6" x14ac:dyDescent="0.25">
      <c r="A63" s="9"/>
      <c r="B63" s="5"/>
      <c r="C63" s="5"/>
      <c r="D63" s="16"/>
      <c r="E63" s="10"/>
      <c r="F63" s="11"/>
    </row>
    <row r="64" spans="1:6" x14ac:dyDescent="0.25">
      <c r="A64" s="13" t="s">
        <v>60</v>
      </c>
      <c r="B64" s="4"/>
      <c r="C64" s="4"/>
      <c r="D64" s="16">
        <f t="shared" ref="D64:D74" si="2">(B64)-(C64)</f>
        <v>0</v>
      </c>
      <c r="E64" s="10"/>
      <c r="F64" s="11"/>
    </row>
    <row r="65" spans="1:6" x14ac:dyDescent="0.25">
      <c r="A65" s="3" t="s">
        <v>26</v>
      </c>
      <c r="B65" s="4"/>
      <c r="C65" s="5">
        <f>1500</f>
        <v>1500</v>
      </c>
      <c r="D65" s="16">
        <f t="shared" si="2"/>
        <v>-1500</v>
      </c>
      <c r="E65" s="10">
        <v>1500</v>
      </c>
      <c r="F65" s="11"/>
    </row>
    <row r="66" spans="1:6" x14ac:dyDescent="0.25">
      <c r="A66" s="3" t="s">
        <v>27</v>
      </c>
      <c r="B66" s="5">
        <f>2385.78</f>
        <v>2385.7800000000002</v>
      </c>
      <c r="C66" s="5">
        <f>3000</f>
        <v>3000</v>
      </c>
      <c r="D66" s="16">
        <f t="shared" si="2"/>
        <v>-614.2199999999998</v>
      </c>
      <c r="E66" s="10">
        <v>2500</v>
      </c>
      <c r="F66" s="11"/>
    </row>
    <row r="67" spans="1:6" x14ac:dyDescent="0.25">
      <c r="A67" s="3" t="s">
        <v>28</v>
      </c>
      <c r="B67" s="5">
        <f>3010.86</f>
        <v>3010.86</v>
      </c>
      <c r="C67" s="5">
        <f>6000</f>
        <v>6000</v>
      </c>
      <c r="D67" s="16">
        <f t="shared" si="2"/>
        <v>-2989.14</v>
      </c>
      <c r="E67" s="38">
        <v>16000</v>
      </c>
      <c r="F67" s="39" t="s">
        <v>41</v>
      </c>
    </row>
    <row r="68" spans="1:6" x14ac:dyDescent="0.25">
      <c r="A68" s="3" t="s">
        <v>29</v>
      </c>
      <c r="B68" s="5">
        <f>1879.73</f>
        <v>1879.73</v>
      </c>
      <c r="C68" s="4"/>
      <c r="D68" s="16">
        <f t="shared" si="2"/>
        <v>1879.73</v>
      </c>
      <c r="E68" s="38"/>
      <c r="F68" s="39"/>
    </row>
    <row r="69" spans="1:6" x14ac:dyDescent="0.25">
      <c r="A69" s="3" t="s">
        <v>30</v>
      </c>
      <c r="B69" s="5">
        <f>8555.81</f>
        <v>8555.81</v>
      </c>
      <c r="C69" s="5">
        <f>10000</f>
        <v>10000</v>
      </c>
      <c r="D69" s="16">
        <f t="shared" si="2"/>
        <v>-1444.1900000000005</v>
      </c>
      <c r="E69" s="38"/>
      <c r="F69" s="39"/>
    </row>
    <row r="70" spans="1:6" x14ac:dyDescent="0.25">
      <c r="A70" s="9" t="s">
        <v>15</v>
      </c>
      <c r="B70" s="5">
        <f>234</f>
        <v>234</v>
      </c>
      <c r="C70" s="5">
        <f>1000</f>
        <v>1000</v>
      </c>
      <c r="D70" s="16">
        <f>(B70)-(C70)</f>
        <v>-766</v>
      </c>
      <c r="E70" s="10">
        <v>1000</v>
      </c>
      <c r="F70" s="11"/>
    </row>
    <row r="71" spans="1:6" x14ac:dyDescent="0.25">
      <c r="A71" s="3" t="s">
        <v>31</v>
      </c>
      <c r="B71" s="6">
        <f>(((((B64)+(B65))+(B66))+(B67))+(B68))+(B69)+B70</f>
        <v>16066.18</v>
      </c>
      <c r="C71" s="6">
        <f>(((((C64)+(C65))+(C66))+(C67))+(C68))+(C69)+C70</f>
        <v>21500</v>
      </c>
      <c r="D71" s="12">
        <f t="shared" si="2"/>
        <v>-5433.82</v>
      </c>
      <c r="E71" s="6">
        <f>(((((E64)+(E65))+(E66))+(E67))+(E68))+(E69)+E70</f>
        <v>21000</v>
      </c>
      <c r="F71" s="11"/>
    </row>
    <row r="72" spans="1:6" x14ac:dyDescent="0.25">
      <c r="A72" s="3"/>
      <c r="B72" s="6" t="e">
        <f>B54+B31+B32+B71</f>
        <v>#VALUE!</v>
      </c>
      <c r="C72" s="6" t="e">
        <f>C54+C31+C32+C71</f>
        <v>#REF!</v>
      </c>
      <c r="D72" s="12" t="e">
        <f t="shared" si="2"/>
        <v>#VALUE!</v>
      </c>
      <c r="E72" s="25"/>
      <c r="F72" s="11"/>
    </row>
    <row r="73" spans="1:6" ht="23.25" x14ac:dyDescent="0.25">
      <c r="A73" s="13" t="s">
        <v>62</v>
      </c>
      <c r="B73" s="6" t="e">
        <f>(#REF!)-(B72)</f>
        <v>#REF!</v>
      </c>
      <c r="C73" s="6" t="e">
        <f>(#REF!)-(C72)</f>
        <v>#REF!</v>
      </c>
      <c r="D73" s="12" t="e">
        <f t="shared" si="2"/>
        <v>#REF!</v>
      </c>
      <c r="E73" s="26">
        <f>E60-E71</f>
        <v>0</v>
      </c>
      <c r="F73" s="11"/>
    </row>
    <row r="74" spans="1:6" x14ac:dyDescent="0.25">
      <c r="A74" s="3"/>
      <c r="B74" s="7" t="e">
        <f>(B73)+(0)</f>
        <v>#REF!</v>
      </c>
      <c r="C74" s="7" t="e">
        <f>(C73)+(0)</f>
        <v>#REF!</v>
      </c>
      <c r="D74" s="19" t="e">
        <f t="shared" si="2"/>
        <v>#REF!</v>
      </c>
      <c r="E74" s="26"/>
      <c r="F74" s="11"/>
    </row>
    <row r="75" spans="1:6" x14ac:dyDescent="0.25">
      <c r="A75" s="3"/>
      <c r="B75" s="4"/>
      <c r="C75" s="4"/>
      <c r="D75" s="15"/>
      <c r="E75" s="25"/>
    </row>
    <row r="76" spans="1:6" x14ac:dyDescent="0.25">
      <c r="E76" s="33"/>
    </row>
    <row r="78" spans="1:6" x14ac:dyDescent="0.25">
      <c r="A78" s="36"/>
      <c r="B78" s="37"/>
      <c r="C78" s="37"/>
      <c r="D78" s="37"/>
    </row>
  </sheetData>
  <mergeCells count="7">
    <mergeCell ref="A78:D78"/>
    <mergeCell ref="E67:E69"/>
    <mergeCell ref="F67:F69"/>
    <mergeCell ref="A1:F1"/>
    <mergeCell ref="A2:F2"/>
    <mergeCell ref="A3:F3"/>
    <mergeCell ref="B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PTCO 2024 - 2025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Kathleen Brown</cp:lastModifiedBy>
  <dcterms:created xsi:type="dcterms:W3CDTF">2023-03-05T21:37:21Z</dcterms:created>
  <dcterms:modified xsi:type="dcterms:W3CDTF">2024-03-25T21:41:41Z</dcterms:modified>
</cp:coreProperties>
</file>