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1_{5F75541F-0C80-4BA2-A5C5-81C5CA419653}" xr6:coauthVersionLast="47" xr6:coauthVersionMax="47" xr10:uidLastSave="{00000000-0000-0000-0000-000000000000}"/>
  <bookViews>
    <workbookView xWindow="28680" yWindow="-120" windowWidth="29040" windowHeight="15840" xr2:uid="{85300E83-08D1-45E7-8E06-20D2821304FB}"/>
  </bookViews>
  <sheets>
    <sheet name="April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2" i="1" l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<sst xmlns="http://schemas.openxmlformats.org/spreadsheetml/2006/main" count="3576" uniqueCount="560">
  <si>
    <t>Check Date</t>
  </si>
  <si>
    <t>Check #</t>
  </si>
  <si>
    <t>Vendor</t>
  </si>
  <si>
    <t>Amount</t>
  </si>
  <si>
    <t>Description</t>
  </si>
  <si>
    <t xml:space="preserve">Fund </t>
  </si>
  <si>
    <t>DEBBIE SUE BENNETT</t>
  </si>
  <si>
    <t xml:space="preserve">PROFESSIONAL SUPPORT </t>
  </si>
  <si>
    <t xml:space="preserve">DON R DANIEL </t>
  </si>
  <si>
    <t>KYLE BLAKE CHRISTENSEN</t>
  </si>
  <si>
    <t>IDEA AWARD</t>
  </si>
  <si>
    <t xml:space="preserve">DAN MANNING </t>
  </si>
  <si>
    <t>JOHN CHARLES COFFEY</t>
  </si>
  <si>
    <t>POLICE AWARD</t>
  </si>
  <si>
    <t xml:space="preserve">FG ALEDO DEVELOPMENT </t>
  </si>
  <si>
    <t>HOLLY DEVIN ELGIN</t>
  </si>
  <si>
    <t>PRINCIPAL AWARD</t>
  </si>
  <si>
    <t>LISA REECE</t>
  </si>
  <si>
    <t>TRANSPORTATION AWARD</t>
  </si>
  <si>
    <t>S &amp; P ENDOWMENT FUND</t>
  </si>
  <si>
    <t>ROBERT DEAN STOVER</t>
  </si>
  <si>
    <t>MAINTENANCE AWARD</t>
  </si>
  <si>
    <t>LORYN NICOLE WINDWEHEN</t>
  </si>
  <si>
    <t>ASST PRINCIPAL AWARD</t>
  </si>
  <si>
    <t>CMJ ENGINEERING, INC.</t>
  </si>
  <si>
    <t>CONTRACT SERVICE/ELEM #6</t>
  </si>
  <si>
    <t xml:space="preserve">2019 CAPITAL PROJECTS </t>
  </si>
  <si>
    <t>ALPHA TESTING, INC</t>
  </si>
  <si>
    <t>CONTRACT SERVICE/AMS</t>
  </si>
  <si>
    <t>TOWN OF ANNETTA</t>
  </si>
  <si>
    <t>ELEM SCHOOL #6</t>
  </si>
  <si>
    <t xml:space="preserve">LEARNER'S LANE-ELEM SCH </t>
  </si>
  <si>
    <t xml:space="preserve">TEXAS COMPTROLLER OF </t>
  </si>
  <si>
    <t>SALES AND USE TAX PMT</t>
  </si>
  <si>
    <t>AISD BEARCAT STORE</t>
  </si>
  <si>
    <t xml:space="preserve">ALEDO ISD GENERAL </t>
  </si>
  <si>
    <t>SUPPLIES</t>
  </si>
  <si>
    <t>CAMPUS ACTIVITY FUNDS</t>
  </si>
  <si>
    <t>MISTY BAPTISTE</t>
  </si>
  <si>
    <t>UIL OAP SERVICES</t>
  </si>
  <si>
    <t>BD AUDIO</t>
  </si>
  <si>
    <t>CONTRACT SERVICE</t>
  </si>
  <si>
    <t xml:space="preserve">BETTER SIGNS &amp; BANNERS, </t>
  </si>
  <si>
    <t>BILL DORAN COMPANY</t>
  </si>
  <si>
    <t xml:space="preserve">CHICKEN EXPRESS-WILLOW </t>
  </si>
  <si>
    <t>STUDENT MEALS</t>
  </si>
  <si>
    <t>JACOB CLEMMONS</t>
  </si>
  <si>
    <t>FIRST FINANCIAL BANK</t>
  </si>
  <si>
    <t>REIMB/PETTY CASH</t>
  </si>
  <si>
    <t xml:space="preserve">FOLLETT SCHOOL </t>
  </si>
  <si>
    <t>BOOK FAIR</t>
  </si>
  <si>
    <t>JASON'S DELI</t>
  </si>
  <si>
    <t>MEETING EXPENSE</t>
  </si>
  <si>
    <t>STACIE MARTINSEN</t>
  </si>
  <si>
    <t>ON THE BORDER CATERING</t>
  </si>
  <si>
    <t xml:space="preserve">PARKER CO LIVESTOCK </t>
  </si>
  <si>
    <t>FEES/DUES</t>
  </si>
  <si>
    <t>R &amp; R BOTTLED WATER CO.</t>
  </si>
  <si>
    <t>THE LARGE ART COMPANY</t>
  </si>
  <si>
    <t>MEMORIAL</t>
  </si>
  <si>
    <t>THE MASTER TEACHER</t>
  </si>
  <si>
    <t>VENUS ISD</t>
  </si>
  <si>
    <t>ENTRY FEE</t>
  </si>
  <si>
    <t>WALMART COMMUNITY</t>
  </si>
  <si>
    <t>ANDREW WEESNER</t>
  </si>
  <si>
    <t>BARRY YANDELL</t>
  </si>
  <si>
    <t xml:space="preserve">YESTERDAY'S SANDWICH </t>
  </si>
  <si>
    <t xml:space="preserve">BSN SPORTS-SPORT SUPPLY </t>
  </si>
  <si>
    <t>ACTIVITY FUND ACCOUNTS</t>
  </si>
  <si>
    <t>CHICK-FIL-A HUDSON OAKS</t>
  </si>
  <si>
    <t xml:space="preserve">EWELL EDUCATIONAL </t>
  </si>
  <si>
    <t xml:space="preserve">GRANBURY HS GIRLS GOLF </t>
  </si>
  <si>
    <t>HOMETOWN TEES</t>
  </si>
  <si>
    <t>NASCO</t>
  </si>
  <si>
    <t>NTX GRAPHICS, LLC</t>
  </si>
  <si>
    <t>REV ROBOTICS, LLC</t>
  </si>
  <si>
    <t xml:space="preserve">AMAZON CAPITAL SERVICES, </t>
  </si>
  <si>
    <t xml:space="preserve">SHEA MICHELLE BUCKLES, </t>
  </si>
  <si>
    <t>ALEDO ISD CHILD NUTRITION</t>
  </si>
  <si>
    <t>BRAIN POP</t>
  </si>
  <si>
    <t>SUBSCRIPTION RENEWAL</t>
  </si>
  <si>
    <t>BRIEANNA R. BURKE</t>
  </si>
  <si>
    <t>DISTRICT TOURNAMENT</t>
  </si>
  <si>
    <t>MICHAEL BUSSEY</t>
  </si>
  <si>
    <t>MATTHEW CARPENTER</t>
  </si>
  <si>
    <t>PATRICIA CATO-YOUNG</t>
  </si>
  <si>
    <t>ADIB CHOUDHURY</t>
  </si>
  <si>
    <t>PRANAY DHONDI</t>
  </si>
  <si>
    <t>YUVAL ELIEZER</t>
  </si>
  <si>
    <t>LIBRARY BOOKS</t>
  </si>
  <si>
    <t>GREENE'S FLORIST</t>
  </si>
  <si>
    <t>FLOWERS/RECOGNITION</t>
  </si>
  <si>
    <t>HOBBY LOBBY STORES, INC</t>
  </si>
  <si>
    <t>ANTHONY JIANG</t>
  </si>
  <si>
    <t>SHIVA KANDALA</t>
  </si>
  <si>
    <t>MISHAN KARA</t>
  </si>
  <si>
    <t>MARK LEE</t>
  </si>
  <si>
    <t>MARY ELIZABETH LEE</t>
  </si>
  <si>
    <t>DANIEL MOSS</t>
  </si>
  <si>
    <t>NOTHING BUNDT CAKES</t>
  </si>
  <si>
    <t>APPRECIATION</t>
  </si>
  <si>
    <t>JENNA SALZMAN</t>
  </si>
  <si>
    <t>UIL JUDGE FEE</t>
  </si>
  <si>
    <t>ALTAF SAMNANI</t>
  </si>
  <si>
    <t>SCHOLASTIC BOOK FAIRS</t>
  </si>
  <si>
    <t>RHONDA SMITH</t>
  </si>
  <si>
    <t>GILLIAN M. WILLIAMS</t>
  </si>
  <si>
    <t>SHERRIE WILSON</t>
  </si>
  <si>
    <t>TIFFANI WOMACK</t>
  </si>
  <si>
    <t>YEP! PRODUCTIONS</t>
  </si>
  <si>
    <t>YOUR PERSONAL CHEF, LLC</t>
  </si>
  <si>
    <t>KAYLA BRUNER</t>
  </si>
  <si>
    <t>JUDGE FEE</t>
  </si>
  <si>
    <t>TRAVIS CHILES</t>
  </si>
  <si>
    <t>PY5922 - REPLACE CK 030669</t>
  </si>
  <si>
    <t>SIDNEE NICOLE DENMAN</t>
  </si>
  <si>
    <t>FORT WORTH ZOO</t>
  </si>
  <si>
    <t>DEPOSIT/PROM</t>
  </si>
  <si>
    <t>COURTNEY HUTTEL</t>
  </si>
  <si>
    <t>JOE HENSHAW GOLF SHOP</t>
  </si>
  <si>
    <t>KATHERINE PHILLIPS</t>
  </si>
  <si>
    <t>REFUND/CHEER</t>
  </si>
  <si>
    <t xml:space="preserve">MASTERCARD - JP MORGAN </t>
  </si>
  <si>
    <t>UIL EXPENSE</t>
  </si>
  <si>
    <t>STUDENT TRAVEL</t>
  </si>
  <si>
    <t>THEATRE EXPENSE</t>
  </si>
  <si>
    <t xml:space="preserve">STILLWATER MEADOW </t>
  </si>
  <si>
    <t>VENUE RENTAL</t>
  </si>
  <si>
    <t>SARAH LOVING</t>
  </si>
  <si>
    <t>BUCKLE SHOW JUDGE</t>
  </si>
  <si>
    <t>CITY OF FORT WORTH</t>
  </si>
  <si>
    <t xml:space="preserve">PERMIT FEES/MS #2 </t>
  </si>
  <si>
    <t>FRONTSTREAM</t>
  </si>
  <si>
    <t>CC PROCESSING FEE</t>
  </si>
  <si>
    <t>GENERAL FUND</t>
  </si>
  <si>
    <t xml:space="preserve">SATTERFIELD &amp; PONTIKES </t>
  </si>
  <si>
    <t>CONSTRUCTION/MS #2</t>
  </si>
  <si>
    <t>PBK ARCHITECTS, INC</t>
  </si>
  <si>
    <t xml:space="preserve">ARCHITECT FEE/PROJECT </t>
  </si>
  <si>
    <t xml:space="preserve">HUCKABEE &amp; ASSOCIATES, </t>
  </si>
  <si>
    <t>ARCH FEES/PROJECT #01865-</t>
  </si>
  <si>
    <t xml:space="preserve">ARBITERPAY TRUST ACCT </t>
  </si>
  <si>
    <t>GAME OFFICIALS</t>
  </si>
  <si>
    <t>CO-CURRICULAR FUND</t>
  </si>
  <si>
    <t>A &amp; M SIGNS</t>
  </si>
  <si>
    <t xml:space="preserve">GENERAL SUPPLIES/MAINT </t>
  </si>
  <si>
    <t>A/C SUPPLY COMPANY</t>
  </si>
  <si>
    <t>FILTERS/MCCALL</t>
  </si>
  <si>
    <t xml:space="preserve">ACADEMIC LANGUAGE </t>
  </si>
  <si>
    <t>STAFF DEVELOPMENT</t>
  </si>
  <si>
    <t xml:space="preserve">ADVANCED CONNECTIONS, </t>
  </si>
  <si>
    <t xml:space="preserve">AMAG COMPLETEVIEW </t>
  </si>
  <si>
    <t xml:space="preserve">AGENCY 405-TX DEPT OF </t>
  </si>
  <si>
    <t>BACKGROUND CHECKS</t>
  </si>
  <si>
    <t>ALTERNATOR SERVICE, INC.</t>
  </si>
  <si>
    <t xml:space="preserve">AMERICAN CERAMIC SUPPLY </t>
  </si>
  <si>
    <t>PAUL C. ANDREWS</t>
  </si>
  <si>
    <t>PIANO ACCOMPANIST</t>
  </si>
  <si>
    <t>APPLE, INC.</t>
  </si>
  <si>
    <t>AT&amp;T</t>
  </si>
  <si>
    <t>MONTHLY ACCESS CHARGES</t>
  </si>
  <si>
    <t>VOIP LINE</t>
  </si>
  <si>
    <t>AT&amp;T MOBILITY</t>
  </si>
  <si>
    <t>HOTSPOT OFFER</t>
  </si>
  <si>
    <t>ATMOS ENERGY</t>
  </si>
  <si>
    <t>UTILITIES</t>
  </si>
  <si>
    <t xml:space="preserve">AUSTIN COMMUNITY </t>
  </si>
  <si>
    <t>ENTRY FEES</t>
  </si>
  <si>
    <t>AYR DATA, INC</t>
  </si>
  <si>
    <t xml:space="preserve">BILINGUAL &amp; ESL EDUCATION </t>
  </si>
  <si>
    <t>PO 100746 - ADD'L ITEMS</t>
  </si>
  <si>
    <t>SAM BIRDWELL</t>
  </si>
  <si>
    <t>BASKETBALL OFFICIALS</t>
  </si>
  <si>
    <t>BLICK ART MATERIALS</t>
  </si>
  <si>
    <t>THE BREAKTHROUGH COACH</t>
  </si>
  <si>
    <t>UNIFORMS</t>
  </si>
  <si>
    <t xml:space="preserve">BUSINESS PROFESSIONALS </t>
  </si>
  <si>
    <t>CONFERENCE FEE</t>
  </si>
  <si>
    <t>C.D. HARTNETT</t>
  </si>
  <si>
    <t>CONCESSION SUPPLIES</t>
  </si>
  <si>
    <t xml:space="preserve">CARDINAL'S SPORT CENTER, </t>
  </si>
  <si>
    <t>CARENOW</t>
  </si>
  <si>
    <t>DOT DRUG TEST</t>
  </si>
  <si>
    <t xml:space="preserve">CAROLINA BIOLOGICAL </t>
  </si>
  <si>
    <t>CATHY B DESIGN, LLC</t>
  </si>
  <si>
    <t>JOB FAIR EXPENSE/HR DEPT</t>
  </si>
  <si>
    <t xml:space="preserve">CENTURY MECHANICAL </t>
  </si>
  <si>
    <t xml:space="preserve">CONTRACT SERVICE/MAINT </t>
  </si>
  <si>
    <t>STORM DAMAGE EXPENSE</t>
  </si>
  <si>
    <t xml:space="preserve">CHALLENGE OF TARRANT </t>
  </si>
  <si>
    <t>VAPING PRESENTATION</t>
  </si>
  <si>
    <t>COMMUNITY PARTNERS</t>
  </si>
  <si>
    <t>CHEM-AQUA</t>
  </si>
  <si>
    <t xml:space="preserve">CONTRACT SERVICE/AHS &amp; </t>
  </si>
  <si>
    <t xml:space="preserve">CITY OF FORT WORTH </t>
  </si>
  <si>
    <t xml:space="preserve">CLEAR FORK MATERIALS, </t>
  </si>
  <si>
    <t>CMAC, LLC</t>
  </si>
  <si>
    <t>CHARTER SERVICE</t>
  </si>
  <si>
    <t xml:space="preserve">COLLEGE BOARD </t>
  </si>
  <si>
    <t>PSAT 8/9 EPP FIXED FEE</t>
  </si>
  <si>
    <t xml:space="preserve">PSAT EPP FIXED FEE - 10TH </t>
  </si>
  <si>
    <t xml:space="preserve">COOKING EQUIPMENT </t>
  </si>
  <si>
    <t>EQUIPMENT REPAIRS</t>
  </si>
  <si>
    <t>CZ-USA</t>
  </si>
  <si>
    <t>PO 102573 - ADD ON</t>
  </si>
  <si>
    <t xml:space="preserve">D&amp;L ENTERTAINMENT </t>
  </si>
  <si>
    <t>STADIUM SECURITY</t>
  </si>
  <si>
    <t>DELL FINANCIAL SERVICES</t>
  </si>
  <si>
    <t>PO 005677 - YEAR 2 OF 3</t>
  </si>
  <si>
    <t>PO 005678 - YEAR 2 OF 3</t>
  </si>
  <si>
    <t>DELL, INC.</t>
  </si>
  <si>
    <t>EQUIPMENT</t>
  </si>
  <si>
    <t>DEMCO, INC</t>
  </si>
  <si>
    <t xml:space="preserve">DFW WASTE OIL SERVICE, </t>
  </si>
  <si>
    <t>DR PEPPER</t>
  </si>
  <si>
    <t>OSCAR DRESSLER</t>
  </si>
  <si>
    <t>ECOLAB</t>
  </si>
  <si>
    <t>NON-FOOD</t>
  </si>
  <si>
    <t xml:space="preserve">NATL BREAKFAST/LUNCH </t>
  </si>
  <si>
    <t xml:space="preserve">ECOLAB FOOD SAFETY </t>
  </si>
  <si>
    <t>SUPPLIES/CN DEPT</t>
  </si>
  <si>
    <t>EDUCATION ADVANCED, INC.</t>
  </si>
  <si>
    <t>SUBSCRIPTION</t>
  </si>
  <si>
    <t xml:space="preserve">EDUCATION SERVICE </t>
  </si>
  <si>
    <t>CERTIFICATION FEE</t>
  </si>
  <si>
    <t xml:space="preserve">EDUCATIONAL SERVICE </t>
  </si>
  <si>
    <t xml:space="preserve">INSTR TECHNOLOGY EQUIP </t>
  </si>
  <si>
    <t>REAL-TIME MARKETING, LTD</t>
  </si>
  <si>
    <t>SUPPLIES/BEARCAT STORE</t>
  </si>
  <si>
    <t>ELLIOTT ELECTRIC SUPPLY</t>
  </si>
  <si>
    <t xml:space="preserve">ELECTRICAL </t>
  </si>
  <si>
    <t>EXPLORE LEARNING, LLC</t>
  </si>
  <si>
    <t>FEDEX CORPORATION</t>
  </si>
  <si>
    <t>POSTAGE</t>
  </si>
  <si>
    <t>STARTUP CASH</t>
  </si>
  <si>
    <t xml:space="preserve">GAS &amp; SUPPLY NORTH </t>
  </si>
  <si>
    <t>CYLINDER LEASE &amp; MAINT</t>
  </si>
  <si>
    <t>GLADIATOR FENCE, LLC</t>
  </si>
  <si>
    <t>PARKING LOT</t>
  </si>
  <si>
    <t xml:space="preserve">SCHOOL SAFETY &amp; </t>
  </si>
  <si>
    <t>GRAINGER</t>
  </si>
  <si>
    <t>JANIS R GRANNELL</t>
  </si>
  <si>
    <t>HAIGOOD &amp; CAMPBELL, LLC</t>
  </si>
  <si>
    <t>VEHICLE FUEL</t>
  </si>
  <si>
    <t>HARTNESS PRINT CENTRAL</t>
  </si>
  <si>
    <t>SUPPLIES/SUPT OFFICE</t>
  </si>
  <si>
    <t xml:space="preserve">HEGGERTY PHONEMIC </t>
  </si>
  <si>
    <t>HENRY SCHEIN, INC.</t>
  </si>
  <si>
    <t>SUPPLIES/COVID 19</t>
  </si>
  <si>
    <t>HERFF JONES, LLC</t>
  </si>
  <si>
    <t>SERVICE AWARDS</t>
  </si>
  <si>
    <t>DALEON HILL</t>
  </si>
  <si>
    <t>HUMANEX VENTURES, LLC</t>
  </si>
  <si>
    <t xml:space="preserve">KELLY-MOORE PAINT </t>
  </si>
  <si>
    <t xml:space="preserve">CARPENTRY </t>
  </si>
  <si>
    <t>KRISTENE Z SMITH</t>
  </si>
  <si>
    <t xml:space="preserve">LIVE IT AGAIN </t>
  </si>
  <si>
    <t xml:space="preserve">CONTRACT SERVICE/AHS </t>
  </si>
  <si>
    <t xml:space="preserve">MANEUVERING THE MIDDLE, </t>
  </si>
  <si>
    <t>MATH WARM-UPS.COM</t>
  </si>
  <si>
    <t>MATTHEW'S OFFICE CITY</t>
  </si>
  <si>
    <t>MAXIM INCENTIVES</t>
  </si>
  <si>
    <t>MORITZ OF FORT WORTH</t>
  </si>
  <si>
    <t xml:space="preserve">VEHICLE SUPPLIES/WHITE </t>
  </si>
  <si>
    <t xml:space="preserve">MSB CONSULTING GROUP, </t>
  </si>
  <si>
    <t>TX COST SETTLEMENT 2018-</t>
  </si>
  <si>
    <t>SHARS 3/26/2021 - 54900746</t>
  </si>
  <si>
    <t>N-TUNE MUSIC &amp; SOUND, INC</t>
  </si>
  <si>
    <t>SUPPLIES/MCANALLY BAND</t>
  </si>
  <si>
    <t xml:space="preserve">NATIONAL WHOLESALE </t>
  </si>
  <si>
    <t xml:space="preserve">PLUMBING </t>
  </si>
  <si>
    <t xml:space="preserve">NETSYNC NETWORK </t>
  </si>
  <si>
    <t xml:space="preserve">CONTRACT SERVICE/TECH </t>
  </si>
  <si>
    <t xml:space="preserve">O'REILLY AUTO </t>
  </si>
  <si>
    <t>PO 104175 - CORE RETURN</t>
  </si>
  <si>
    <t>OTC BRANDS, INC.</t>
  </si>
  <si>
    <t>PARTS TOWN, LLC</t>
  </si>
  <si>
    <t>PASCO SCIENTIFIC</t>
  </si>
  <si>
    <t>PBS of TEXAS, LLC</t>
  </si>
  <si>
    <t>2nd HALF MARCH</t>
  </si>
  <si>
    <t>CLOROX SPRAY - MARCH</t>
  </si>
  <si>
    <t>QUILL CORPORATION</t>
  </si>
  <si>
    <t>TESTING SUPPLIES</t>
  </si>
  <si>
    <t>SUPPLIES/BUSINESS OFFICE</t>
  </si>
  <si>
    <t>RANK ONE SPORTS</t>
  </si>
  <si>
    <t>REGION 4 ESC</t>
  </si>
  <si>
    <t xml:space="preserve">RICHLAND HIGH SCHOOL </t>
  </si>
  <si>
    <t>RIVERSIDE INSIGHTS</t>
  </si>
  <si>
    <t xml:space="preserve">INTERSTATE BILLING </t>
  </si>
  <si>
    <t>PO 102739</t>
  </si>
  <si>
    <t xml:space="preserve">SCHOOL NURSE SUPPLY, </t>
  </si>
  <si>
    <t xml:space="preserve">SCHOOL NUTRITION </t>
  </si>
  <si>
    <t>FEES/DUES-CN DEPT</t>
  </si>
  <si>
    <t>SCHOOL SPECIALTY,  INC.</t>
  </si>
  <si>
    <t xml:space="preserve">SENTINEL CYBER </t>
  </si>
  <si>
    <t xml:space="preserve">ANNUAL SERVER </t>
  </si>
  <si>
    <t>PHILLIP SMITH</t>
  </si>
  <si>
    <t>SNEED, VINE &amp; PERRY, P.C.</t>
  </si>
  <si>
    <t>ACQUISITION OF 12 ACRES</t>
  </si>
  <si>
    <t>SOUTHERN TIRE MART, LLC</t>
  </si>
  <si>
    <t xml:space="preserve">SOUTHWEST INTL TRUCKS, </t>
  </si>
  <si>
    <t>SUPERIOR PEDIATRIC CARE</t>
  </si>
  <si>
    <t>PT SERVICES</t>
  </si>
  <si>
    <t>IDEA-B  FORMULA</t>
  </si>
  <si>
    <t>OT SERVICES</t>
  </si>
  <si>
    <t>LVN SERVICES</t>
  </si>
  <si>
    <t>TAGT</t>
  </si>
  <si>
    <t>TARPLEY MUSIC CO, INC</t>
  </si>
  <si>
    <t>TASB, INC.</t>
  </si>
  <si>
    <t xml:space="preserve">ANNUAL SUBSCRIPTION </t>
  </si>
  <si>
    <t>CHILD ABUSE PREVENTION</t>
  </si>
  <si>
    <t>TASPA</t>
  </si>
  <si>
    <t xml:space="preserve">STAFF DEVELOPMENT/HR </t>
  </si>
  <si>
    <t>TCASE</t>
  </si>
  <si>
    <t>TCEA</t>
  </si>
  <si>
    <t xml:space="preserve">TEX-OMA BUILDERS SUPPLY </t>
  </si>
  <si>
    <t>CONTRACT SERVICE/MAINT-</t>
  </si>
  <si>
    <t xml:space="preserve">ACCESS CONTROL </t>
  </si>
  <si>
    <t>TEXAS AIRSYSTEMS, LLC</t>
  </si>
  <si>
    <t>HVAC SUPPLIES/DNGC</t>
  </si>
  <si>
    <t>STATE OF TEXAS CO-OP FEE</t>
  </si>
  <si>
    <t>TEXAS GAS SERVICE</t>
  </si>
  <si>
    <t xml:space="preserve">TEXAS LIBRARY </t>
  </si>
  <si>
    <t>Membership &amp; Conference</t>
  </si>
  <si>
    <t>TFE CONNECT</t>
  </si>
  <si>
    <t>MAC WORK 12/3/2020-VANDA</t>
  </si>
  <si>
    <t xml:space="preserve">TMEA REGION 30 BAND </t>
  </si>
  <si>
    <t>ENTRY FEES/AHS BAND</t>
  </si>
  <si>
    <t>TSPRA</t>
  </si>
  <si>
    <t>UNIFIRST HOLDINGS, INC</t>
  </si>
  <si>
    <t>LAUNDRY SERVICES</t>
  </si>
  <si>
    <t xml:space="preserve">VERNIER SOFTWARE &amp; </t>
  </si>
  <si>
    <t>VISA-BBVA USA</t>
  </si>
  <si>
    <t>TOLLS</t>
  </si>
  <si>
    <t>TESTING</t>
  </si>
  <si>
    <t>AWARDS</t>
  </si>
  <si>
    <t>WEATHERFORD ISD</t>
  </si>
  <si>
    <t>TUITION</t>
  </si>
  <si>
    <t xml:space="preserve">TITLE I, PART C CARL D </t>
  </si>
  <si>
    <t xml:space="preserve">WEATHERFORD TRACK </t>
  </si>
  <si>
    <t xml:space="preserve">JV/VARSITY BOYS/GIRLS </t>
  </si>
  <si>
    <t>WEST MUSIC</t>
  </si>
  <si>
    <t>PO 102582 BACKORDER</t>
  </si>
  <si>
    <t>WESTCO PEST CONTROL</t>
  </si>
  <si>
    <t>PEST CONTROL SERVICES</t>
  </si>
  <si>
    <t>XEROX CORPORATION</t>
  </si>
  <si>
    <t>SER# HHZ-169437</t>
  </si>
  <si>
    <t>SER# 8TB-622726</t>
  </si>
  <si>
    <t>JIM YANKIE</t>
  </si>
  <si>
    <t>STARTER</t>
  </si>
  <si>
    <t>ZONDA INTELLIGENCE</t>
  </si>
  <si>
    <t>DEMOGRAPHIC SERVICE</t>
  </si>
  <si>
    <t>PO 006711 - RETURN</t>
  </si>
  <si>
    <t>d</t>
  </si>
  <si>
    <t>PO 103828 - RETURNED</t>
  </si>
  <si>
    <t>PO 102700 - RETURN</t>
  </si>
  <si>
    <t>TECH EQUIPMENT</t>
  </si>
  <si>
    <t>HOTSPOTS</t>
  </si>
  <si>
    <t>MOBILE PHONES</t>
  </si>
  <si>
    <t>CITY OF ALEDO</t>
  </si>
  <si>
    <t>CITY OF WILLOW PARK</t>
  </si>
  <si>
    <t xml:space="preserve">GREATAMERICA FINANCIAL </t>
  </si>
  <si>
    <t>XEROX</t>
  </si>
  <si>
    <t>PA 073032 - CREDIT</t>
  </si>
  <si>
    <t xml:space="preserve">HOSA-FUTURE HEALTH </t>
  </si>
  <si>
    <t>FILTERS/AMS-MAINT DEPT</t>
  </si>
  <si>
    <t>BOARD MEETING EXPENSE</t>
  </si>
  <si>
    <t xml:space="preserve">ALUMINUM ATHLETIC EQUIP </t>
  </si>
  <si>
    <t xml:space="preserve">AREA IV FFA ORG/PECAN </t>
  </si>
  <si>
    <t>AREA IV FFA ORGANIZATION</t>
  </si>
  <si>
    <t>TELEPHONE</t>
  </si>
  <si>
    <t xml:space="preserve">BARNES &amp; NOBLE </t>
  </si>
  <si>
    <t>BAUDVILLE</t>
  </si>
  <si>
    <t>BORDEN DAIRY</t>
  </si>
  <si>
    <t>FOOD SUPPLIES</t>
  </si>
  <si>
    <t>PO 103783 - RETURNS</t>
  </si>
  <si>
    <t>PO 104149 - RETURNS</t>
  </si>
  <si>
    <t>PO 103763 - RETURNS</t>
  </si>
  <si>
    <t>PO 104151 - RETURNS</t>
  </si>
  <si>
    <t>PO 103768 - RETURNS</t>
  </si>
  <si>
    <t>PO 103967 - RETURNS</t>
  </si>
  <si>
    <t>PO 104135 - RETURNS</t>
  </si>
  <si>
    <t>PO 103787 - RETURNS</t>
  </si>
  <si>
    <t>PO 104153 - RETURNS</t>
  </si>
  <si>
    <t>PO 103957 - RETURNS</t>
  </si>
  <si>
    <t>PO 104158 - RETURNS</t>
  </si>
  <si>
    <t>PO 104132 - RETURNS</t>
  </si>
  <si>
    <t>PO 103961 - RETURNS</t>
  </si>
  <si>
    <t>PO 104143 - RETURNS</t>
  </si>
  <si>
    <t>PO 104167 - RETURNS</t>
  </si>
  <si>
    <t>PO 104359 - RETURNS</t>
  </si>
  <si>
    <t>PO 104146 - RETURN</t>
  </si>
  <si>
    <t>FOOD/NON-FOOD</t>
  </si>
  <si>
    <t>PO 103797 - RETURNS</t>
  </si>
  <si>
    <t>BRACKETT &amp; ELLIS, PC</t>
  </si>
  <si>
    <t>CONSTRUCTION CONTRACTS</t>
  </si>
  <si>
    <t>JEFF BRAZZELL</t>
  </si>
  <si>
    <t>REFEREE</t>
  </si>
  <si>
    <t>BREWER HIGH SCHOOL-</t>
  </si>
  <si>
    <t xml:space="preserve">CAREER &amp; TECHNICAL ASSN </t>
  </si>
  <si>
    <t>AMY CARPENTER</t>
  </si>
  <si>
    <t>EVALUATIONS</t>
  </si>
  <si>
    <t>CATHOLIC CHARITIES</t>
  </si>
  <si>
    <t xml:space="preserve">TRANSLATION </t>
  </si>
  <si>
    <t>CDW GOVERNMENT, INC</t>
  </si>
  <si>
    <t>SUPPLIES/TECH DEPT</t>
  </si>
  <si>
    <t>EQUIPMENT/TECH DEPT</t>
  </si>
  <si>
    <t>CENTERING ON CHILDREN</t>
  </si>
  <si>
    <t>FF TUCK, INC.</t>
  </si>
  <si>
    <t>UNIFORM CLEANING</t>
  </si>
  <si>
    <t xml:space="preserve">MEETING EXPENSE/SUPT </t>
  </si>
  <si>
    <t xml:space="preserve">COBB PEDIATRIC SPEECH </t>
  </si>
  <si>
    <t>SPEECH SERVICES</t>
  </si>
  <si>
    <t>BARBARA E. COLLINS</t>
  </si>
  <si>
    <t xml:space="preserve">CRISIS PREVENTION </t>
  </si>
  <si>
    <t>DAKTRONICS, INC</t>
  </si>
  <si>
    <t>SPORTSOUND 1500 HD</t>
  </si>
  <si>
    <t xml:space="preserve">EPC CHAMBER OF </t>
  </si>
  <si>
    <t>CLEANING SUPPLIES</t>
  </si>
  <si>
    <t>VIRTUAL FIELD TRIP</t>
  </si>
  <si>
    <t xml:space="preserve">INSTR TECH EQUIP </t>
  </si>
  <si>
    <t>ADRIAN EDWARDS</t>
  </si>
  <si>
    <t>DIAGNOSTICIAN</t>
  </si>
  <si>
    <t xml:space="preserve">LIGHTING/BULBS &amp; </t>
  </si>
  <si>
    <t>PO 103937 - RETURN</t>
  </si>
  <si>
    <t>LIGHTING/BULBS &amp; BALLASTS</t>
  </si>
  <si>
    <t>ELLMAN PHOTOGRAPHY</t>
  </si>
  <si>
    <t>ETC LITE, INC</t>
  </si>
  <si>
    <t>CONSULTING</t>
  </si>
  <si>
    <t>ANNUAL RENEWAL</t>
  </si>
  <si>
    <t>FLINN SCIENTIFIC, INC.</t>
  </si>
  <si>
    <t xml:space="preserve">FRIENDS of TEXAS PUBLIC </t>
  </si>
  <si>
    <t xml:space="preserve">20/21 NETWORK </t>
  </si>
  <si>
    <t>CYLINDER RENTAL</t>
  </si>
  <si>
    <t>NITROGEN</t>
  </si>
  <si>
    <t>GENERATION GENIUS, INC</t>
  </si>
  <si>
    <t>KATHY CULWELL GOINGS</t>
  </si>
  <si>
    <t>TESTING ASST</t>
  </si>
  <si>
    <t>GOPHER SPORT</t>
  </si>
  <si>
    <t>GRAFXPROMOTIONS, LLC</t>
  </si>
  <si>
    <t>MAUREEN GRAHAM</t>
  </si>
  <si>
    <t>4 DAYS TRAINING</t>
  </si>
  <si>
    <t>HVAC SUPPLIES/DISTRICT</t>
  </si>
  <si>
    <t>HEAR TO HELP</t>
  </si>
  <si>
    <t>AUDIOLOGY MGMT</t>
  </si>
  <si>
    <t xml:space="preserve">HEATHER'S OLD SKOOL </t>
  </si>
  <si>
    <t>ADULT DAY HABILITATION</t>
  </si>
  <si>
    <t>HEDGEHOG LEARNING</t>
  </si>
  <si>
    <t xml:space="preserve">HENDERSON JUNIOR HIGH </t>
  </si>
  <si>
    <t>Entry Fee</t>
  </si>
  <si>
    <t>HILLSBORO ISD</t>
  </si>
  <si>
    <t xml:space="preserve">HOSSLEY LIGHTING &amp; </t>
  </si>
  <si>
    <t>SCOTT WILLIAM HOWELL</t>
  </si>
  <si>
    <t>MIDDLE SCHOOL COACH</t>
  </si>
  <si>
    <t>INSECT LORE</t>
  </si>
  <si>
    <t>JD PALATINE, LLC</t>
  </si>
  <si>
    <t>JW PEPPER &amp; SON, INC.</t>
  </si>
  <si>
    <t>SUPPLIES/AHS BAND</t>
  </si>
  <si>
    <t>KLEMENT DISTRIBUTION, INC</t>
  </si>
  <si>
    <t>KURZ &amp; COMPANY</t>
  </si>
  <si>
    <t>INVOICE PAID TWICE</t>
  </si>
  <si>
    <t>LABATT FOOD SERVICE</t>
  </si>
  <si>
    <t>PO 104147 - RETURN</t>
  </si>
  <si>
    <t>RETURN - INV 02239969</t>
  </si>
  <si>
    <t>PO 103920 - RETURNS</t>
  </si>
  <si>
    <t>PO 103918 - RETURN</t>
  </si>
  <si>
    <t>NON-FOOD SUPPLIES</t>
  </si>
  <si>
    <t xml:space="preserve">LAKESHORE LEARNING </t>
  </si>
  <si>
    <t>LEAD4WARD, LLC</t>
  </si>
  <si>
    <t>LEARNING A-Z, INC</t>
  </si>
  <si>
    <t>JENNIFER LEHMAN</t>
  </si>
  <si>
    <t xml:space="preserve">REIMB/FINGERPRINTING-HR </t>
  </si>
  <si>
    <t xml:space="preserve">LONE STAR BANNERS &amp; </t>
  </si>
  <si>
    <t>M &amp; A TECHNOLOGY</t>
  </si>
  <si>
    <t xml:space="preserve">INSTR TECHNOLOGY </t>
  </si>
  <si>
    <t>BELLA CHERE' MAXWELL</t>
  </si>
  <si>
    <t xml:space="preserve">MELODY'S SOUTHWEST </t>
  </si>
  <si>
    <t>ATHLETES</t>
  </si>
  <si>
    <t>CNA STUDENT TESTING</t>
  </si>
  <si>
    <t>NON ATHLETES</t>
  </si>
  <si>
    <t>MICROPHONIC DESIGNS, LLC</t>
  </si>
  <si>
    <t xml:space="preserve">AUDIO &amp; SOUND - BID THE </t>
  </si>
  <si>
    <t xml:space="preserve">MISSION RESTAURANT </t>
  </si>
  <si>
    <t xml:space="preserve">EQUIPMENT/STUARD </t>
  </si>
  <si>
    <t>SHARS 4/9/2021 - 54946805</t>
  </si>
  <si>
    <t xml:space="preserve">NATIONAL ASSN FOR GIFTED </t>
  </si>
  <si>
    <t>NEXTLINK</t>
  </si>
  <si>
    <t xml:space="preserve">VEHICLE SUPPLIES/POLICE </t>
  </si>
  <si>
    <t>EQUIPMENT REPAIR</t>
  </si>
  <si>
    <t xml:space="preserve">HEAVY ROLL TOWEL FOR </t>
  </si>
  <si>
    <t xml:space="preserve">PRECISION BUSINESS </t>
  </si>
  <si>
    <t>PRO-ED</t>
  </si>
  <si>
    <t>PURCHASE POWER</t>
  </si>
  <si>
    <t>PO 104159 - RETURN</t>
  </si>
  <si>
    <t>SUPPLIES/HR DEPT</t>
  </si>
  <si>
    <t>R. CRAIG STEPHENS</t>
  </si>
  <si>
    <t>PRODUCE</t>
  </si>
  <si>
    <t>PO Created by Req: 304228</t>
  </si>
  <si>
    <t xml:space="preserve">RALPH WRIGHT </t>
  </si>
  <si>
    <t>RCI TECHNOLOGIES, INC.</t>
  </si>
  <si>
    <t>CONTRACT SERVICE/DIST</t>
  </si>
  <si>
    <t>READY REFRESH by NESTLE</t>
  </si>
  <si>
    <t xml:space="preserve">SUPPLIES/DISTRICT </t>
  </si>
  <si>
    <t>REGION 30 UIL MUSIC</t>
  </si>
  <si>
    <t>REPUBLIC SERVICES</t>
  </si>
  <si>
    <t>WASTE COLLECTION</t>
  </si>
  <si>
    <t xml:space="preserve">RONNIE WALTERS LAWN </t>
  </si>
  <si>
    <t>APRIL GROUNDS</t>
  </si>
  <si>
    <t>SARAH MOORE</t>
  </si>
  <si>
    <t>COMS</t>
  </si>
  <si>
    <t>SOLUTION TREE, INC</t>
  </si>
  <si>
    <t>TITLE II, PART A TPTR</t>
  </si>
  <si>
    <t xml:space="preserve">SOUTHWEST BINDING &amp; </t>
  </si>
  <si>
    <t>STARFALL EDUCATION</t>
  </si>
  <si>
    <t>STENHOUSE PUBLISHERS</t>
  </si>
  <si>
    <t xml:space="preserve">STEWART &amp; STEVENSON, </t>
  </si>
  <si>
    <t>PO 103212 - CORE RETURN</t>
  </si>
  <si>
    <t>SWAGIT PRODUCTIONS, LLC</t>
  </si>
  <si>
    <t>MARCH VIDEO SERVICES</t>
  </si>
  <si>
    <t xml:space="preserve">TAYLOR'S RENTAL </t>
  </si>
  <si>
    <t xml:space="preserve">CHAIR RENTAL/GROUND </t>
  </si>
  <si>
    <t>TEACHER SYNERGY, LLC</t>
  </si>
  <si>
    <t xml:space="preserve">TEXAS HEALTH </t>
  </si>
  <si>
    <t>TEXAS SPORTSWEAR</t>
  </si>
  <si>
    <t xml:space="preserve">TEXAS STATE HISTORICAL </t>
  </si>
  <si>
    <t xml:space="preserve">TX. DEPT  OF LICENSING &amp; </t>
  </si>
  <si>
    <t>ELEVATOR MAINTENANCE</t>
  </si>
  <si>
    <t>TYLER TECHNOLOGIES, INC.</t>
  </si>
  <si>
    <t xml:space="preserve">PO 006551 - ONSCREEN </t>
  </si>
  <si>
    <t xml:space="preserve">UNIVERSITY </t>
  </si>
  <si>
    <t>UIL PLAYOFF FEE</t>
  </si>
  <si>
    <t xml:space="preserve">WALSH, GALLEGOS, </t>
  </si>
  <si>
    <t>GENERAL</t>
  </si>
  <si>
    <t>PETERSON</t>
  </si>
  <si>
    <t>HUNTER</t>
  </si>
  <si>
    <t>PROGRAM CHANGE</t>
  </si>
  <si>
    <t>WHITE HORSE PAINTING</t>
  </si>
  <si>
    <t xml:space="preserve">PAINTING SERVICE/MAINT </t>
  </si>
  <si>
    <t>JOLETTE WINE</t>
  </si>
  <si>
    <t>BAND CLINICIAN</t>
  </si>
  <si>
    <t>SER# HHZ-169458</t>
  </si>
  <si>
    <t>SER #8TB-622726</t>
  </si>
  <si>
    <t>1279 BAGS OF MULCH</t>
  </si>
  <si>
    <t xml:space="preserve">CAVALLO ENERGY TEXAS, </t>
  </si>
  <si>
    <t>FURNITURE/TESTING</t>
  </si>
  <si>
    <t>REFUND - NOT ATTENDING</t>
  </si>
  <si>
    <t>SPONSOR TRAVEL</t>
  </si>
  <si>
    <t>STUDENT/SPONSOR TRAVEL</t>
  </si>
  <si>
    <t xml:space="preserve">SUBSTITUTE </t>
  </si>
  <si>
    <t xml:space="preserve">SUPPLIES/CIRCLE OF </t>
  </si>
  <si>
    <t xml:space="preserve">STAFF DEVELOPMENT/SUPT </t>
  </si>
  <si>
    <t xml:space="preserve">STAFF DEVELOPMENTSUPT </t>
  </si>
  <si>
    <t>BOARD EXPENSE</t>
  </si>
  <si>
    <t xml:space="preserve">DROP BOX ANNUAL </t>
  </si>
  <si>
    <t xml:space="preserve">ELECTRICAL SUPPLIES/AHS </t>
  </si>
  <si>
    <t>EQUIPMENT MAINTENANCE</t>
  </si>
  <si>
    <t xml:space="preserve">STAFF DEVELOPMENT/MAINT </t>
  </si>
  <si>
    <t>SUPPLIES/POLICE DEPT</t>
  </si>
  <si>
    <t>CATERING EXPENSE</t>
  </si>
  <si>
    <t>TABC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</si>
</sst>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A9C6A-D355-4DE0-AB69-13BAC8F3FCDF}">
  <dimension ref="A1:F1192"/>
  <sheetViews>
    <sheetView tabSelected="1" topLeftCell="A1168" workbookViewId="0">
      <selection activeCell="D1193" sqref="D1193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8.140625" bestFit="1" customWidth="1"/>
    <col min="6" max="6" width="24.8554687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20210412</v>
      </c>
      <c r="B2" t="str">
        <f>"001186"</f>
        <v>001186</v>
      </c>
      <c r="C2" t="s">
        <v>6</v>
      </c>
      <c r="D2" s="3">
        <v>2500</v>
      </c>
      <c r="E2" t="s">
        <v>7</v>
      </c>
      <c r="F2" t="s">
        <v>8</v>
      </c>
    </row>
    <row r="3" spans="1:6" x14ac:dyDescent="0.25">
      <c r="A3">
        <v>20210412</v>
      </c>
      <c r="B3" t="str">
        <f>"001187"</f>
        <v>001187</v>
      </c>
      <c r="C3" t="s">
        <v>9</v>
      </c>
      <c r="D3" s="3">
        <v>2500</v>
      </c>
      <c r="E3" t="s">
        <v>10</v>
      </c>
      <c r="F3" t="s">
        <v>11</v>
      </c>
    </row>
    <row r="4" spans="1:6" x14ac:dyDescent="0.25">
      <c r="A4">
        <v>20210412</v>
      </c>
      <c r="B4" t="str">
        <f>"001188"</f>
        <v>001188</v>
      </c>
      <c r="C4" t="s">
        <v>12</v>
      </c>
      <c r="D4" s="3">
        <v>1000</v>
      </c>
      <c r="E4" t="s">
        <v>13</v>
      </c>
      <c r="F4" t="s">
        <v>14</v>
      </c>
    </row>
    <row r="5" spans="1:6" x14ac:dyDescent="0.25">
      <c r="A5">
        <v>20210412</v>
      </c>
      <c r="B5" t="str">
        <f>"001189"</f>
        <v>001189</v>
      </c>
      <c r="C5" t="s">
        <v>15</v>
      </c>
      <c r="D5" s="3">
        <v>2500</v>
      </c>
      <c r="E5" t="s">
        <v>16</v>
      </c>
      <c r="F5" t="s">
        <v>11</v>
      </c>
    </row>
    <row r="6" spans="1:6" x14ac:dyDescent="0.25">
      <c r="A6">
        <v>20210412</v>
      </c>
      <c r="B6" t="str">
        <f>"001190"</f>
        <v>001190</v>
      </c>
      <c r="C6" t="s">
        <v>17</v>
      </c>
      <c r="D6" s="3">
        <v>1000</v>
      </c>
      <c r="E6" t="s">
        <v>18</v>
      </c>
      <c r="F6" t="s">
        <v>19</v>
      </c>
    </row>
    <row r="7" spans="1:6" x14ac:dyDescent="0.25">
      <c r="A7">
        <v>20210412</v>
      </c>
      <c r="B7" t="str">
        <f>"001191"</f>
        <v>001191</v>
      </c>
      <c r="C7" t="s">
        <v>20</v>
      </c>
      <c r="D7" s="3">
        <v>1000</v>
      </c>
      <c r="E7" t="s">
        <v>21</v>
      </c>
      <c r="F7" t="s">
        <v>19</v>
      </c>
    </row>
    <row r="8" spans="1:6" x14ac:dyDescent="0.25">
      <c r="A8">
        <v>20210412</v>
      </c>
      <c r="B8" t="str">
        <f>"001192"</f>
        <v>001192</v>
      </c>
      <c r="C8" t="s">
        <v>22</v>
      </c>
      <c r="D8" s="3">
        <v>2500</v>
      </c>
      <c r="E8" t="s">
        <v>23</v>
      </c>
      <c r="F8" t="s">
        <v>11</v>
      </c>
    </row>
    <row r="9" spans="1:6" x14ac:dyDescent="0.25">
      <c r="A9">
        <v>20210401</v>
      </c>
      <c r="B9" t="str">
        <f>"002077"</f>
        <v>002077</v>
      </c>
      <c r="C9" t="s">
        <v>24</v>
      </c>
      <c r="D9" s="3">
        <v>28887.42</v>
      </c>
      <c r="E9" t="s">
        <v>25</v>
      </c>
      <c r="F9" t="s">
        <v>26</v>
      </c>
    </row>
    <row r="10" spans="1:6" x14ac:dyDescent="0.25">
      <c r="A10">
        <v>20210415</v>
      </c>
      <c r="B10" t="str">
        <f>"002078"</f>
        <v>002078</v>
      </c>
      <c r="C10" t="s">
        <v>27</v>
      </c>
      <c r="D10" s="3">
        <v>905</v>
      </c>
      <c r="E10" t="s">
        <v>28</v>
      </c>
      <c r="F10" t="s">
        <v>26</v>
      </c>
    </row>
    <row r="11" spans="1:6" x14ac:dyDescent="0.25">
      <c r="A11">
        <v>20210421</v>
      </c>
      <c r="B11" t="str">
        <f>"002079"</f>
        <v>002079</v>
      </c>
      <c r="C11" t="s">
        <v>29</v>
      </c>
      <c r="D11" s="3">
        <v>45746.5</v>
      </c>
      <c r="E11" t="s">
        <v>30</v>
      </c>
      <c r="F11" t="s">
        <v>26</v>
      </c>
    </row>
    <row r="12" spans="1:6" x14ac:dyDescent="0.25">
      <c r="A12">
        <v>20210421</v>
      </c>
      <c r="B12" t="str">
        <f>"002079"</f>
        <v>002079</v>
      </c>
      <c r="C12" t="s">
        <v>29</v>
      </c>
      <c r="D12" s="3">
        <v>12293.27</v>
      </c>
      <c r="E12" t="s">
        <v>31</v>
      </c>
      <c r="F12" t="s">
        <v>26</v>
      </c>
    </row>
    <row r="13" spans="1:6" x14ac:dyDescent="0.25">
      <c r="A13">
        <v>20210419</v>
      </c>
      <c r="B13" t="str">
        <f>"004101"</f>
        <v>004101</v>
      </c>
      <c r="C13" t="s">
        <v>32</v>
      </c>
      <c r="D13" s="3">
        <v>143.01</v>
      </c>
      <c r="E13" t="s">
        <v>33</v>
      </c>
      <c r="F13" t="s">
        <v>34</v>
      </c>
    </row>
    <row r="14" spans="1:6" x14ac:dyDescent="0.25">
      <c r="A14">
        <v>20210401</v>
      </c>
      <c r="B14" t="str">
        <f>"031062"</f>
        <v>031062</v>
      </c>
      <c r="C14" t="s">
        <v>35</v>
      </c>
      <c r="D14" s="3">
        <v>120</v>
      </c>
      <c r="E14" t="s">
        <v>36</v>
      </c>
      <c r="F14" t="s">
        <v>37</v>
      </c>
    </row>
    <row r="15" spans="1:6" x14ac:dyDescent="0.25">
      <c r="A15">
        <v>20210401</v>
      </c>
      <c r="B15" t="str">
        <f>"031063"</f>
        <v>031063</v>
      </c>
      <c r="C15" t="s">
        <v>38</v>
      </c>
      <c r="D15" s="3">
        <v>473</v>
      </c>
      <c r="E15" t="s">
        <v>39</v>
      </c>
      <c r="F15" t="s">
        <v>37</v>
      </c>
    </row>
    <row r="16" spans="1:6" x14ac:dyDescent="0.25">
      <c r="A16">
        <v>20210401</v>
      </c>
      <c r="B16" t="str">
        <f>"031064"</f>
        <v>031064</v>
      </c>
      <c r="C16" t="s">
        <v>40</v>
      </c>
      <c r="D16" s="3">
        <v>1613.86</v>
      </c>
      <c r="E16" t="s">
        <v>41</v>
      </c>
      <c r="F16" t="s">
        <v>37</v>
      </c>
    </row>
    <row r="17" spans="1:6" x14ac:dyDescent="0.25">
      <c r="A17">
        <v>20210401</v>
      </c>
      <c r="B17" t="str">
        <f>"031065"</f>
        <v>031065</v>
      </c>
      <c r="C17" t="s">
        <v>42</v>
      </c>
      <c r="D17" s="3">
        <v>649.25</v>
      </c>
      <c r="E17" t="s">
        <v>36</v>
      </c>
      <c r="F17" t="s">
        <v>37</v>
      </c>
    </row>
    <row r="18" spans="1:6" x14ac:dyDescent="0.25">
      <c r="A18">
        <v>20210401</v>
      </c>
      <c r="B18" t="str">
        <f>"031065"</f>
        <v>031065</v>
      </c>
      <c r="C18" t="s">
        <v>42</v>
      </c>
      <c r="D18" s="3">
        <v>1619.5</v>
      </c>
      <c r="E18" t="s">
        <v>36</v>
      </c>
      <c r="F18" t="s">
        <v>37</v>
      </c>
    </row>
    <row r="19" spans="1:6" x14ac:dyDescent="0.25">
      <c r="A19">
        <v>20210401</v>
      </c>
      <c r="B19" t="str">
        <f>"031066"</f>
        <v>031066</v>
      </c>
      <c r="C19" t="s">
        <v>43</v>
      </c>
      <c r="D19" s="3">
        <v>595</v>
      </c>
      <c r="E19" t="s">
        <v>36</v>
      </c>
      <c r="F19" t="s">
        <v>37</v>
      </c>
    </row>
    <row r="20" spans="1:6" x14ac:dyDescent="0.25">
      <c r="A20">
        <v>20210401</v>
      </c>
      <c r="B20" t="str">
        <f>"031066"</f>
        <v>031066</v>
      </c>
      <c r="C20" t="s">
        <v>43</v>
      </c>
      <c r="D20" s="3">
        <v>45.35</v>
      </c>
      <c r="E20" t="s">
        <v>36</v>
      </c>
      <c r="F20" t="s">
        <v>37</v>
      </c>
    </row>
    <row r="21" spans="1:6" x14ac:dyDescent="0.25">
      <c r="A21">
        <v>20210401</v>
      </c>
      <c r="B21" t="str">
        <f>"031066"</f>
        <v>031066</v>
      </c>
      <c r="C21" t="s">
        <v>43</v>
      </c>
      <c r="D21" s="3">
        <v>158.5</v>
      </c>
      <c r="E21" t="s">
        <v>36</v>
      </c>
      <c r="F21" t="s">
        <v>37</v>
      </c>
    </row>
    <row r="22" spans="1:6" x14ac:dyDescent="0.25">
      <c r="A22">
        <v>20210401</v>
      </c>
      <c r="B22" t="str">
        <f>"031067"</f>
        <v>031067</v>
      </c>
      <c r="C22" t="s">
        <v>44</v>
      </c>
      <c r="D22" s="3">
        <v>244.5</v>
      </c>
      <c r="E22" t="s">
        <v>45</v>
      </c>
      <c r="F22" t="s">
        <v>37</v>
      </c>
    </row>
    <row r="23" spans="1:6" x14ac:dyDescent="0.25">
      <c r="A23">
        <v>20210401</v>
      </c>
      <c r="B23" t="str">
        <f>"031068"</f>
        <v>031068</v>
      </c>
      <c r="C23" t="s">
        <v>46</v>
      </c>
      <c r="D23" s="3">
        <v>500</v>
      </c>
      <c r="E23" t="s">
        <v>39</v>
      </c>
      <c r="F23" t="s">
        <v>37</v>
      </c>
    </row>
    <row r="24" spans="1:6" x14ac:dyDescent="0.25">
      <c r="A24">
        <v>20210401</v>
      </c>
      <c r="B24" t="str">
        <f>"031069"</f>
        <v>031069</v>
      </c>
      <c r="C24" t="s">
        <v>47</v>
      </c>
      <c r="D24" s="3">
        <v>241.69</v>
      </c>
      <c r="E24" t="s">
        <v>48</v>
      </c>
      <c r="F24" t="s">
        <v>37</v>
      </c>
    </row>
    <row r="25" spans="1:6" x14ac:dyDescent="0.25">
      <c r="A25">
        <v>20210401</v>
      </c>
      <c r="B25" t="str">
        <f>"031070"</f>
        <v>031070</v>
      </c>
      <c r="C25" t="s">
        <v>49</v>
      </c>
      <c r="D25" s="3">
        <v>3975.67</v>
      </c>
      <c r="E25" t="s">
        <v>50</v>
      </c>
      <c r="F25" t="s">
        <v>37</v>
      </c>
    </row>
    <row r="26" spans="1:6" x14ac:dyDescent="0.25">
      <c r="A26">
        <v>20210401</v>
      </c>
      <c r="B26" t="str">
        <f>"031071"</f>
        <v>031071</v>
      </c>
      <c r="C26" t="s">
        <v>51</v>
      </c>
      <c r="D26" s="3">
        <v>142.68</v>
      </c>
      <c r="E26" t="s">
        <v>36</v>
      </c>
      <c r="F26" t="s">
        <v>37</v>
      </c>
    </row>
    <row r="27" spans="1:6" x14ac:dyDescent="0.25">
      <c r="A27">
        <v>20210401</v>
      </c>
      <c r="B27" t="str">
        <f>"031071"</f>
        <v>031071</v>
      </c>
      <c r="C27" t="s">
        <v>51</v>
      </c>
      <c r="D27" s="3">
        <v>83.88</v>
      </c>
      <c r="E27" t="s">
        <v>36</v>
      </c>
      <c r="F27" t="s">
        <v>37</v>
      </c>
    </row>
    <row r="28" spans="1:6" x14ac:dyDescent="0.25">
      <c r="A28">
        <v>20210401</v>
      </c>
      <c r="B28" t="str">
        <f>"031071"</f>
        <v>031071</v>
      </c>
      <c r="C28" t="s">
        <v>51</v>
      </c>
      <c r="D28" s="3">
        <v>535.05999999999995</v>
      </c>
      <c r="E28" t="s">
        <v>52</v>
      </c>
      <c r="F28" t="s">
        <v>37</v>
      </c>
    </row>
    <row r="29" spans="1:6" x14ac:dyDescent="0.25">
      <c r="A29">
        <v>20210401</v>
      </c>
      <c r="B29" t="str">
        <f>"031072"</f>
        <v>031072</v>
      </c>
      <c r="C29" t="s">
        <v>53</v>
      </c>
      <c r="D29" s="3">
        <v>468.4</v>
      </c>
      <c r="E29" t="s">
        <v>39</v>
      </c>
      <c r="F29" t="s">
        <v>37</v>
      </c>
    </row>
    <row r="30" spans="1:6" x14ac:dyDescent="0.25">
      <c r="A30">
        <v>20210401</v>
      </c>
      <c r="B30" t="str">
        <f>"031073"</f>
        <v>031073</v>
      </c>
      <c r="C30" t="s">
        <v>54</v>
      </c>
      <c r="D30" s="3">
        <v>554.52</v>
      </c>
      <c r="E30" t="s">
        <v>36</v>
      </c>
      <c r="F30" t="s">
        <v>37</v>
      </c>
    </row>
    <row r="31" spans="1:6" x14ac:dyDescent="0.25">
      <c r="A31">
        <v>20210401</v>
      </c>
      <c r="B31" t="str">
        <f>"031074"</f>
        <v>031074</v>
      </c>
      <c r="C31" t="s">
        <v>55</v>
      </c>
      <c r="D31" s="3">
        <v>200</v>
      </c>
      <c r="E31" t="s">
        <v>56</v>
      </c>
      <c r="F31" t="s">
        <v>37</v>
      </c>
    </row>
    <row r="32" spans="1:6" x14ac:dyDescent="0.25">
      <c r="A32">
        <v>20210401</v>
      </c>
      <c r="B32" t="str">
        <f>"031075"</f>
        <v>031075</v>
      </c>
      <c r="C32" t="s">
        <v>57</v>
      </c>
      <c r="D32" s="3">
        <v>149.5</v>
      </c>
      <c r="E32" t="s">
        <v>36</v>
      </c>
      <c r="F32" t="s">
        <v>37</v>
      </c>
    </row>
    <row r="33" spans="1:6" x14ac:dyDescent="0.25">
      <c r="A33">
        <v>20210401</v>
      </c>
      <c r="B33" t="str">
        <f>"031075"</f>
        <v>031075</v>
      </c>
      <c r="C33" t="s">
        <v>57</v>
      </c>
      <c r="D33" s="3">
        <v>67</v>
      </c>
      <c r="E33" t="s">
        <v>36</v>
      </c>
      <c r="F33" t="s">
        <v>37</v>
      </c>
    </row>
    <row r="34" spans="1:6" x14ac:dyDescent="0.25">
      <c r="A34">
        <v>20210401</v>
      </c>
      <c r="B34" t="str">
        <f>"031075"</f>
        <v>031075</v>
      </c>
      <c r="C34" t="s">
        <v>57</v>
      </c>
      <c r="D34" s="3">
        <v>111</v>
      </c>
      <c r="E34" t="s">
        <v>36</v>
      </c>
      <c r="F34" t="s">
        <v>37</v>
      </c>
    </row>
    <row r="35" spans="1:6" x14ac:dyDescent="0.25">
      <c r="A35">
        <v>20210401</v>
      </c>
      <c r="B35" t="str">
        <f>"031076"</f>
        <v>031076</v>
      </c>
      <c r="C35" t="s">
        <v>58</v>
      </c>
      <c r="D35" s="3">
        <v>715</v>
      </c>
      <c r="E35" t="s">
        <v>59</v>
      </c>
      <c r="F35" t="s">
        <v>37</v>
      </c>
    </row>
    <row r="36" spans="1:6" x14ac:dyDescent="0.25">
      <c r="A36">
        <v>20210401</v>
      </c>
      <c r="B36" t="str">
        <f>"031077"</f>
        <v>031077</v>
      </c>
      <c r="C36" t="s">
        <v>60</v>
      </c>
      <c r="D36" s="3">
        <v>122.95</v>
      </c>
      <c r="E36" t="s">
        <v>36</v>
      </c>
      <c r="F36" t="s">
        <v>37</v>
      </c>
    </row>
    <row r="37" spans="1:6" x14ac:dyDescent="0.25">
      <c r="A37">
        <v>20210401</v>
      </c>
      <c r="B37" t="str">
        <f>"031078"</f>
        <v>031078</v>
      </c>
      <c r="C37" t="s">
        <v>61</v>
      </c>
      <c r="D37" s="3">
        <v>600</v>
      </c>
      <c r="E37" t="s">
        <v>62</v>
      </c>
      <c r="F37" t="s">
        <v>37</v>
      </c>
    </row>
    <row r="38" spans="1:6" x14ac:dyDescent="0.25">
      <c r="A38">
        <v>20210401</v>
      </c>
      <c r="B38" t="str">
        <f>"031079"</f>
        <v>031079</v>
      </c>
      <c r="C38" t="s">
        <v>61</v>
      </c>
      <c r="D38" s="3">
        <v>600</v>
      </c>
      <c r="E38" t="s">
        <v>56</v>
      </c>
      <c r="F38" t="s">
        <v>37</v>
      </c>
    </row>
    <row r="39" spans="1:6" x14ac:dyDescent="0.25">
      <c r="A39">
        <v>20210401</v>
      </c>
      <c r="B39" t="str">
        <f>"031080"</f>
        <v>031080</v>
      </c>
      <c r="C39" t="s">
        <v>63</v>
      </c>
      <c r="D39" s="3">
        <v>195.39</v>
      </c>
      <c r="E39" t="s">
        <v>36</v>
      </c>
      <c r="F39" t="s">
        <v>37</v>
      </c>
    </row>
    <row r="40" spans="1:6" x14ac:dyDescent="0.25">
      <c r="A40">
        <v>20210401</v>
      </c>
      <c r="B40" t="str">
        <f>"031080"</f>
        <v>031080</v>
      </c>
      <c r="C40" t="s">
        <v>63</v>
      </c>
      <c r="D40" s="3">
        <v>399.15</v>
      </c>
      <c r="E40" t="s">
        <v>36</v>
      </c>
      <c r="F40" t="s">
        <v>37</v>
      </c>
    </row>
    <row r="41" spans="1:6" x14ac:dyDescent="0.25">
      <c r="A41">
        <v>20210401</v>
      </c>
      <c r="B41" t="str">
        <f>"031080"</f>
        <v>031080</v>
      </c>
      <c r="C41" t="s">
        <v>63</v>
      </c>
      <c r="D41" s="3">
        <v>74.69</v>
      </c>
      <c r="E41" t="s">
        <v>36</v>
      </c>
      <c r="F41" t="s">
        <v>37</v>
      </c>
    </row>
    <row r="42" spans="1:6" x14ac:dyDescent="0.25">
      <c r="A42">
        <v>20210401</v>
      </c>
      <c r="B42" t="str">
        <f>"031081"</f>
        <v>031081</v>
      </c>
      <c r="C42" t="s">
        <v>64</v>
      </c>
      <c r="D42" s="3">
        <v>1055.2</v>
      </c>
      <c r="E42" t="s">
        <v>39</v>
      </c>
      <c r="F42" t="s">
        <v>37</v>
      </c>
    </row>
    <row r="43" spans="1:6" x14ac:dyDescent="0.25">
      <c r="A43">
        <v>20210401</v>
      </c>
      <c r="B43" t="str">
        <f>"031082"</f>
        <v>031082</v>
      </c>
      <c r="C43" t="s">
        <v>65</v>
      </c>
      <c r="D43" s="3">
        <v>483.35</v>
      </c>
      <c r="E43" t="s">
        <v>39</v>
      </c>
      <c r="F43" t="s">
        <v>37</v>
      </c>
    </row>
    <row r="44" spans="1:6" x14ac:dyDescent="0.25">
      <c r="A44">
        <v>20210401</v>
      </c>
      <c r="B44" t="str">
        <f>"031083"</f>
        <v>031083</v>
      </c>
      <c r="C44" t="s">
        <v>66</v>
      </c>
      <c r="D44" s="3">
        <v>800</v>
      </c>
      <c r="E44" t="s">
        <v>36</v>
      </c>
      <c r="F44" t="s">
        <v>37</v>
      </c>
    </row>
    <row r="45" spans="1:6" x14ac:dyDescent="0.25">
      <c r="A45">
        <v>20210401</v>
      </c>
      <c r="B45" t="str">
        <f>"031084"</f>
        <v>031084</v>
      </c>
      <c r="C45" t="s">
        <v>67</v>
      </c>
      <c r="D45" s="3">
        <v>660</v>
      </c>
      <c r="E45" t="s">
        <v>36</v>
      </c>
      <c r="F45" t="s">
        <v>68</v>
      </c>
    </row>
    <row r="46" spans="1:6" x14ac:dyDescent="0.25">
      <c r="A46">
        <v>20210401</v>
      </c>
      <c r="B46" t="str">
        <f>"031084"</f>
        <v>031084</v>
      </c>
      <c r="C46" t="s">
        <v>67</v>
      </c>
      <c r="D46" s="3">
        <v>3561.6</v>
      </c>
      <c r="E46" t="s">
        <v>36</v>
      </c>
      <c r="F46" t="s">
        <v>68</v>
      </c>
    </row>
    <row r="47" spans="1:6" x14ac:dyDescent="0.25">
      <c r="A47">
        <v>20210401</v>
      </c>
      <c r="B47" t="str">
        <f>"031084"</f>
        <v>031084</v>
      </c>
      <c r="C47" t="s">
        <v>67</v>
      </c>
      <c r="D47" s="3">
        <v>742</v>
      </c>
      <c r="E47" t="s">
        <v>36</v>
      </c>
      <c r="F47" t="s">
        <v>68</v>
      </c>
    </row>
    <row r="48" spans="1:6" x14ac:dyDescent="0.25">
      <c r="A48">
        <v>20210401</v>
      </c>
      <c r="B48" t="str">
        <f>"031084"</f>
        <v>031084</v>
      </c>
      <c r="C48" t="s">
        <v>67</v>
      </c>
      <c r="D48" s="3">
        <v>922.29</v>
      </c>
      <c r="E48" t="s">
        <v>36</v>
      </c>
      <c r="F48" t="s">
        <v>68</v>
      </c>
    </row>
    <row r="49" spans="1:6" x14ac:dyDescent="0.25">
      <c r="A49">
        <v>20210401</v>
      </c>
      <c r="B49" t="str">
        <f>"031085"</f>
        <v>031085</v>
      </c>
      <c r="C49" t="s">
        <v>67</v>
      </c>
      <c r="D49" s="3">
        <v>135</v>
      </c>
      <c r="E49" t="s">
        <v>36</v>
      </c>
      <c r="F49" t="s">
        <v>68</v>
      </c>
    </row>
    <row r="50" spans="1:6" x14ac:dyDescent="0.25">
      <c r="A50">
        <v>20210401</v>
      </c>
      <c r="B50" t="str">
        <f>"031086"</f>
        <v>031086</v>
      </c>
      <c r="C50" t="s">
        <v>67</v>
      </c>
      <c r="D50" s="3">
        <v>165</v>
      </c>
      <c r="E50" t="s">
        <v>36</v>
      </c>
      <c r="F50" t="s">
        <v>68</v>
      </c>
    </row>
    <row r="51" spans="1:6" x14ac:dyDescent="0.25">
      <c r="A51">
        <v>20210401</v>
      </c>
      <c r="B51" t="str">
        <f>"031087"</f>
        <v>031087</v>
      </c>
      <c r="C51" t="s">
        <v>69</v>
      </c>
      <c r="D51" s="3">
        <v>101.5</v>
      </c>
      <c r="E51" t="s">
        <v>36</v>
      </c>
      <c r="F51" t="s">
        <v>68</v>
      </c>
    </row>
    <row r="52" spans="1:6" x14ac:dyDescent="0.25">
      <c r="A52">
        <v>20210401</v>
      </c>
      <c r="B52" t="str">
        <f>"031087"</f>
        <v>031087</v>
      </c>
      <c r="C52" t="s">
        <v>69</v>
      </c>
      <c r="D52" s="3">
        <v>58</v>
      </c>
      <c r="E52" t="s">
        <v>36</v>
      </c>
      <c r="F52" t="s">
        <v>68</v>
      </c>
    </row>
    <row r="53" spans="1:6" x14ac:dyDescent="0.25">
      <c r="A53">
        <v>20210401</v>
      </c>
      <c r="B53" t="str">
        <f>"031088"</f>
        <v>031088</v>
      </c>
      <c r="C53" t="s">
        <v>70</v>
      </c>
      <c r="D53" s="3">
        <v>100</v>
      </c>
      <c r="E53" t="s">
        <v>36</v>
      </c>
      <c r="F53" t="s">
        <v>68</v>
      </c>
    </row>
    <row r="54" spans="1:6" x14ac:dyDescent="0.25">
      <c r="A54">
        <v>20210401</v>
      </c>
      <c r="B54" t="str">
        <f>"031089"</f>
        <v>031089</v>
      </c>
      <c r="C54" t="s">
        <v>71</v>
      </c>
      <c r="D54" s="3">
        <v>595</v>
      </c>
      <c r="E54" t="s">
        <v>62</v>
      </c>
      <c r="F54" t="s">
        <v>68</v>
      </c>
    </row>
    <row r="55" spans="1:6" x14ac:dyDescent="0.25">
      <c r="A55">
        <v>20210401</v>
      </c>
      <c r="B55" t="str">
        <f>"031090"</f>
        <v>031090</v>
      </c>
      <c r="C55" t="s">
        <v>72</v>
      </c>
      <c r="D55" s="3">
        <v>373.5</v>
      </c>
      <c r="E55" t="s">
        <v>36</v>
      </c>
      <c r="F55" t="s">
        <v>68</v>
      </c>
    </row>
    <row r="56" spans="1:6" x14ac:dyDescent="0.25">
      <c r="A56">
        <v>20210401</v>
      </c>
      <c r="B56" t="str">
        <f>"031091"</f>
        <v>031091</v>
      </c>
      <c r="C56" t="s">
        <v>73</v>
      </c>
      <c r="D56" s="3">
        <v>71.2</v>
      </c>
      <c r="E56" t="s">
        <v>36</v>
      </c>
      <c r="F56" t="s">
        <v>68</v>
      </c>
    </row>
    <row r="57" spans="1:6" x14ac:dyDescent="0.25">
      <c r="A57">
        <v>20210401</v>
      </c>
      <c r="B57" t="str">
        <f>"031092"</f>
        <v>031092</v>
      </c>
      <c r="C57" t="s">
        <v>74</v>
      </c>
      <c r="D57" s="3">
        <v>765.22</v>
      </c>
      <c r="E57" t="s">
        <v>36</v>
      </c>
      <c r="F57" t="s">
        <v>68</v>
      </c>
    </row>
    <row r="58" spans="1:6" x14ac:dyDescent="0.25">
      <c r="A58">
        <v>20210401</v>
      </c>
      <c r="B58" t="str">
        <f>"031093"</f>
        <v>031093</v>
      </c>
      <c r="C58" t="s">
        <v>75</v>
      </c>
      <c r="D58" s="3">
        <v>358.74</v>
      </c>
      <c r="E58" t="s">
        <v>36</v>
      </c>
      <c r="F58" t="s">
        <v>68</v>
      </c>
    </row>
    <row r="59" spans="1:6" x14ac:dyDescent="0.25">
      <c r="A59">
        <v>20210401</v>
      </c>
      <c r="B59" t="str">
        <f>"031094"</f>
        <v>031094</v>
      </c>
      <c r="C59" t="s">
        <v>63</v>
      </c>
      <c r="D59" s="3">
        <v>130.19</v>
      </c>
      <c r="E59" t="s">
        <v>36</v>
      </c>
      <c r="F59" t="s">
        <v>68</v>
      </c>
    </row>
    <row r="60" spans="1:6" x14ac:dyDescent="0.25">
      <c r="A60">
        <v>20210401</v>
      </c>
      <c r="B60" t="str">
        <f>"031094"</f>
        <v>031094</v>
      </c>
      <c r="C60" t="s">
        <v>63</v>
      </c>
      <c r="D60" s="3">
        <v>43.19</v>
      </c>
      <c r="E60" t="s">
        <v>36</v>
      </c>
      <c r="F60" t="s">
        <v>68</v>
      </c>
    </row>
    <row r="61" spans="1:6" x14ac:dyDescent="0.25">
      <c r="A61">
        <v>20210401</v>
      </c>
      <c r="B61" t="str">
        <f>"031094"</f>
        <v>031094</v>
      </c>
      <c r="C61" t="s">
        <v>63</v>
      </c>
      <c r="D61" s="3">
        <v>144.96</v>
      </c>
      <c r="E61" t="s">
        <v>36</v>
      </c>
      <c r="F61" t="s">
        <v>68</v>
      </c>
    </row>
    <row r="62" spans="1:6" x14ac:dyDescent="0.25">
      <c r="A62">
        <v>20210401</v>
      </c>
      <c r="B62" t="str">
        <f>"031094"</f>
        <v>031094</v>
      </c>
      <c r="C62" t="s">
        <v>63</v>
      </c>
      <c r="D62" s="3">
        <v>86.19</v>
      </c>
      <c r="E62" t="s">
        <v>36</v>
      </c>
      <c r="F62" t="s">
        <v>68</v>
      </c>
    </row>
    <row r="63" spans="1:6" x14ac:dyDescent="0.25">
      <c r="A63">
        <v>20210409</v>
      </c>
      <c r="B63" t="str">
        <f t="shared" ref="B63:B68" si="0">"031095"</f>
        <v>031095</v>
      </c>
      <c r="C63" t="s">
        <v>76</v>
      </c>
      <c r="D63" s="3">
        <v>575.14</v>
      </c>
      <c r="E63" t="s">
        <v>36</v>
      </c>
      <c r="F63" t="s">
        <v>37</v>
      </c>
    </row>
    <row r="64" spans="1:6" x14ac:dyDescent="0.25">
      <c r="A64">
        <v>20210409</v>
      </c>
      <c r="B64" t="str">
        <f t="shared" si="0"/>
        <v>031095</v>
      </c>
      <c r="C64" t="s">
        <v>76</v>
      </c>
      <c r="D64" s="3">
        <v>92.46</v>
      </c>
      <c r="E64" t="s">
        <v>36</v>
      </c>
      <c r="F64" t="s">
        <v>37</v>
      </c>
    </row>
    <row r="65" spans="1:6" x14ac:dyDescent="0.25">
      <c r="A65">
        <v>20210409</v>
      </c>
      <c r="B65" t="str">
        <f t="shared" si="0"/>
        <v>031095</v>
      </c>
      <c r="C65" t="s">
        <v>76</v>
      </c>
      <c r="D65" s="3">
        <v>19.97</v>
      </c>
      <c r="E65" t="s">
        <v>36</v>
      </c>
      <c r="F65" t="s">
        <v>37</v>
      </c>
    </row>
    <row r="66" spans="1:6" x14ac:dyDescent="0.25">
      <c r="A66">
        <v>20210409</v>
      </c>
      <c r="B66" t="str">
        <f t="shared" si="0"/>
        <v>031095</v>
      </c>
      <c r="C66" t="s">
        <v>76</v>
      </c>
      <c r="D66" s="3">
        <v>57.61</v>
      </c>
      <c r="E66" t="s">
        <v>36</v>
      </c>
      <c r="F66" t="s">
        <v>37</v>
      </c>
    </row>
    <row r="67" spans="1:6" x14ac:dyDescent="0.25">
      <c r="A67">
        <v>20210409</v>
      </c>
      <c r="B67" t="str">
        <f t="shared" si="0"/>
        <v>031095</v>
      </c>
      <c r="C67" t="s">
        <v>76</v>
      </c>
      <c r="D67" s="3">
        <v>346.86</v>
      </c>
      <c r="E67" t="s">
        <v>36</v>
      </c>
      <c r="F67" t="s">
        <v>37</v>
      </c>
    </row>
    <row r="68" spans="1:6" x14ac:dyDescent="0.25">
      <c r="A68">
        <v>20210409</v>
      </c>
      <c r="B68" t="str">
        <f t="shared" si="0"/>
        <v>031095</v>
      </c>
      <c r="C68" t="s">
        <v>76</v>
      </c>
      <c r="D68" s="3">
        <v>164.5</v>
      </c>
      <c r="E68" t="s">
        <v>36</v>
      </c>
      <c r="F68" t="s">
        <v>37</v>
      </c>
    </row>
    <row r="69" spans="1:6" x14ac:dyDescent="0.25">
      <c r="A69">
        <v>20210409</v>
      </c>
      <c r="B69" t="str">
        <f>"031096"</f>
        <v>031096</v>
      </c>
      <c r="C69" t="s">
        <v>77</v>
      </c>
      <c r="D69" s="3">
        <v>3447.5</v>
      </c>
      <c r="E69" t="s">
        <v>36</v>
      </c>
      <c r="F69" t="s">
        <v>37</v>
      </c>
    </row>
    <row r="70" spans="1:6" x14ac:dyDescent="0.25">
      <c r="A70">
        <v>20210409</v>
      </c>
      <c r="B70" t="str">
        <f>"031097"</f>
        <v>031097</v>
      </c>
      <c r="C70" t="s">
        <v>76</v>
      </c>
      <c r="D70" s="3">
        <v>55.3</v>
      </c>
      <c r="E70" t="s">
        <v>36</v>
      </c>
      <c r="F70" t="s">
        <v>68</v>
      </c>
    </row>
    <row r="71" spans="1:6" x14ac:dyDescent="0.25">
      <c r="A71">
        <v>20210409</v>
      </c>
      <c r="B71" t="str">
        <f>"031097"</f>
        <v>031097</v>
      </c>
      <c r="C71" t="s">
        <v>76</v>
      </c>
      <c r="D71" s="3">
        <v>430.07</v>
      </c>
      <c r="E71" t="s">
        <v>36</v>
      </c>
      <c r="F71" t="s">
        <v>68</v>
      </c>
    </row>
    <row r="72" spans="1:6" x14ac:dyDescent="0.25">
      <c r="A72">
        <v>20210409</v>
      </c>
      <c r="B72" t="str">
        <f>"031097"</f>
        <v>031097</v>
      </c>
      <c r="C72" t="s">
        <v>76</v>
      </c>
      <c r="D72" s="3">
        <v>39.99</v>
      </c>
      <c r="E72" t="s">
        <v>36</v>
      </c>
      <c r="F72" t="s">
        <v>68</v>
      </c>
    </row>
    <row r="73" spans="1:6" x14ac:dyDescent="0.25">
      <c r="A73">
        <v>20210409</v>
      </c>
      <c r="B73" t="str">
        <f>"031097"</f>
        <v>031097</v>
      </c>
      <c r="C73" t="s">
        <v>76</v>
      </c>
      <c r="D73" s="3">
        <v>38.119999999999997</v>
      </c>
      <c r="E73" t="s">
        <v>36</v>
      </c>
      <c r="F73" t="s">
        <v>68</v>
      </c>
    </row>
    <row r="74" spans="1:6" x14ac:dyDescent="0.25">
      <c r="A74">
        <v>20210415</v>
      </c>
      <c r="B74" t="str">
        <f>"031098"</f>
        <v>031098</v>
      </c>
      <c r="C74" t="s">
        <v>78</v>
      </c>
      <c r="D74" s="3">
        <v>100</v>
      </c>
      <c r="E74" t="s">
        <v>36</v>
      </c>
      <c r="F74" t="s">
        <v>37</v>
      </c>
    </row>
    <row r="75" spans="1:6" x14ac:dyDescent="0.25">
      <c r="A75">
        <v>20210415</v>
      </c>
      <c r="B75" t="str">
        <f>"031099"</f>
        <v>031099</v>
      </c>
      <c r="C75" t="s">
        <v>79</v>
      </c>
      <c r="D75" s="3">
        <v>470</v>
      </c>
      <c r="E75" t="s">
        <v>80</v>
      </c>
      <c r="F75" t="s">
        <v>37</v>
      </c>
    </row>
    <row r="76" spans="1:6" x14ac:dyDescent="0.25">
      <c r="A76">
        <v>20210415</v>
      </c>
      <c r="B76" t="str">
        <f>"031100"</f>
        <v>031100</v>
      </c>
      <c r="C76" t="s">
        <v>81</v>
      </c>
      <c r="D76" s="3">
        <v>500</v>
      </c>
      <c r="E76" t="s">
        <v>82</v>
      </c>
      <c r="F76" t="s">
        <v>37</v>
      </c>
    </row>
    <row r="77" spans="1:6" x14ac:dyDescent="0.25">
      <c r="A77">
        <v>20210415</v>
      </c>
      <c r="B77" t="str">
        <f>"031101"</f>
        <v>031101</v>
      </c>
      <c r="C77" t="s">
        <v>83</v>
      </c>
      <c r="D77" s="3">
        <v>300</v>
      </c>
      <c r="E77" t="s">
        <v>82</v>
      </c>
      <c r="F77" t="s">
        <v>37</v>
      </c>
    </row>
    <row r="78" spans="1:6" x14ac:dyDescent="0.25">
      <c r="A78">
        <v>20210415</v>
      </c>
      <c r="B78" t="str">
        <f>"031102"</f>
        <v>031102</v>
      </c>
      <c r="C78" t="s">
        <v>84</v>
      </c>
      <c r="D78" s="3">
        <v>150</v>
      </c>
      <c r="E78" t="s">
        <v>82</v>
      </c>
      <c r="F78" t="s">
        <v>37</v>
      </c>
    </row>
    <row r="79" spans="1:6" x14ac:dyDescent="0.25">
      <c r="A79">
        <v>20210415</v>
      </c>
      <c r="B79" t="str">
        <f>"031103"</f>
        <v>031103</v>
      </c>
      <c r="C79" t="s">
        <v>85</v>
      </c>
      <c r="D79" s="3">
        <v>300</v>
      </c>
      <c r="E79" t="s">
        <v>82</v>
      </c>
      <c r="F79" t="s">
        <v>37</v>
      </c>
    </row>
    <row r="80" spans="1:6" x14ac:dyDescent="0.25">
      <c r="A80">
        <v>20210415</v>
      </c>
      <c r="B80" t="str">
        <f>"031104"</f>
        <v>031104</v>
      </c>
      <c r="C80" t="s">
        <v>86</v>
      </c>
      <c r="D80" s="3">
        <v>300</v>
      </c>
      <c r="E80" t="s">
        <v>82</v>
      </c>
      <c r="F80" t="s">
        <v>37</v>
      </c>
    </row>
    <row r="81" spans="1:6" x14ac:dyDescent="0.25">
      <c r="A81">
        <v>20210415</v>
      </c>
      <c r="B81" t="str">
        <f>"031105"</f>
        <v>031105</v>
      </c>
      <c r="C81" t="s">
        <v>87</v>
      </c>
      <c r="D81" s="3">
        <v>300</v>
      </c>
      <c r="E81" t="s">
        <v>82</v>
      </c>
      <c r="F81" t="s">
        <v>37</v>
      </c>
    </row>
    <row r="82" spans="1:6" x14ac:dyDescent="0.25">
      <c r="A82">
        <v>20210415</v>
      </c>
      <c r="B82" t="str">
        <f>"031106"</f>
        <v>031106</v>
      </c>
      <c r="C82" t="s">
        <v>88</v>
      </c>
      <c r="D82" s="3">
        <v>300</v>
      </c>
      <c r="E82" t="s">
        <v>82</v>
      </c>
      <c r="F82" t="s">
        <v>37</v>
      </c>
    </row>
    <row r="83" spans="1:6" x14ac:dyDescent="0.25">
      <c r="A83">
        <v>20210415</v>
      </c>
      <c r="B83" t="str">
        <f>"031107"</f>
        <v>031107</v>
      </c>
      <c r="C83" t="s">
        <v>49</v>
      </c>
      <c r="D83" s="3">
        <v>58.41</v>
      </c>
      <c r="E83" t="s">
        <v>89</v>
      </c>
      <c r="F83" t="s">
        <v>37</v>
      </c>
    </row>
    <row r="84" spans="1:6" x14ac:dyDescent="0.25">
      <c r="A84">
        <v>20210415</v>
      </c>
      <c r="B84" t="str">
        <f>"031108"</f>
        <v>031108</v>
      </c>
      <c r="C84" t="s">
        <v>49</v>
      </c>
      <c r="D84" s="3">
        <v>2041.68</v>
      </c>
      <c r="E84" t="s">
        <v>89</v>
      </c>
      <c r="F84" t="s">
        <v>37</v>
      </c>
    </row>
    <row r="85" spans="1:6" x14ac:dyDescent="0.25">
      <c r="A85">
        <v>20210415</v>
      </c>
      <c r="B85" t="str">
        <f>"031109"</f>
        <v>031109</v>
      </c>
      <c r="C85" t="s">
        <v>90</v>
      </c>
      <c r="D85" s="3">
        <v>57</v>
      </c>
      <c r="E85" t="s">
        <v>91</v>
      </c>
      <c r="F85" t="s">
        <v>37</v>
      </c>
    </row>
    <row r="86" spans="1:6" x14ac:dyDescent="0.25">
      <c r="A86">
        <v>20210415</v>
      </c>
      <c r="B86" t="str">
        <f>"031110"</f>
        <v>031110</v>
      </c>
      <c r="C86" t="s">
        <v>92</v>
      </c>
      <c r="D86" s="3">
        <v>18.84</v>
      </c>
      <c r="E86" t="s">
        <v>36</v>
      </c>
      <c r="F86" t="s">
        <v>37</v>
      </c>
    </row>
    <row r="87" spans="1:6" x14ac:dyDescent="0.25">
      <c r="A87">
        <v>20210415</v>
      </c>
      <c r="B87" t="str">
        <f>"031111"</f>
        <v>031111</v>
      </c>
      <c r="C87" t="s">
        <v>93</v>
      </c>
      <c r="D87" s="3">
        <v>300</v>
      </c>
      <c r="E87" t="s">
        <v>82</v>
      </c>
      <c r="F87" t="s">
        <v>37</v>
      </c>
    </row>
    <row r="88" spans="1:6" x14ac:dyDescent="0.25">
      <c r="A88">
        <v>20210415</v>
      </c>
      <c r="B88" t="str">
        <f>"031112"</f>
        <v>031112</v>
      </c>
      <c r="C88" t="s">
        <v>94</v>
      </c>
      <c r="D88" s="3">
        <v>300</v>
      </c>
      <c r="E88" t="s">
        <v>82</v>
      </c>
      <c r="F88" t="s">
        <v>37</v>
      </c>
    </row>
    <row r="89" spans="1:6" x14ac:dyDescent="0.25">
      <c r="A89">
        <v>20210415</v>
      </c>
      <c r="B89" t="str">
        <f>"031113"</f>
        <v>031113</v>
      </c>
      <c r="C89" t="s">
        <v>95</v>
      </c>
      <c r="D89" s="3">
        <v>300</v>
      </c>
      <c r="E89" t="s">
        <v>82</v>
      </c>
      <c r="F89" t="s">
        <v>37</v>
      </c>
    </row>
    <row r="90" spans="1:6" x14ac:dyDescent="0.25">
      <c r="A90">
        <v>20210415</v>
      </c>
      <c r="B90" t="str">
        <f>"031114"</f>
        <v>031114</v>
      </c>
      <c r="C90" t="s">
        <v>96</v>
      </c>
      <c r="D90" s="3">
        <v>300</v>
      </c>
      <c r="E90" t="s">
        <v>82</v>
      </c>
      <c r="F90" t="s">
        <v>37</v>
      </c>
    </row>
    <row r="91" spans="1:6" x14ac:dyDescent="0.25">
      <c r="A91">
        <v>20210415</v>
      </c>
      <c r="B91" t="str">
        <f>"031115"</f>
        <v>031115</v>
      </c>
      <c r="C91" t="s">
        <v>97</v>
      </c>
      <c r="D91" s="3">
        <v>200</v>
      </c>
      <c r="E91" t="s">
        <v>82</v>
      </c>
      <c r="F91" t="s">
        <v>37</v>
      </c>
    </row>
    <row r="92" spans="1:6" x14ac:dyDescent="0.25">
      <c r="A92">
        <v>20210415</v>
      </c>
      <c r="B92" t="str">
        <f>"031116"</f>
        <v>031116</v>
      </c>
      <c r="C92" t="s">
        <v>98</v>
      </c>
      <c r="D92" s="3">
        <v>300</v>
      </c>
      <c r="E92" t="s">
        <v>82</v>
      </c>
      <c r="F92" t="s">
        <v>37</v>
      </c>
    </row>
    <row r="93" spans="1:6" x14ac:dyDescent="0.25">
      <c r="A93">
        <v>20210415</v>
      </c>
      <c r="B93" t="str">
        <f>"031117"</f>
        <v>031117</v>
      </c>
      <c r="C93" t="s">
        <v>99</v>
      </c>
      <c r="D93" s="3">
        <v>53.55</v>
      </c>
      <c r="E93" t="s">
        <v>100</v>
      </c>
      <c r="F93" t="s">
        <v>37</v>
      </c>
    </row>
    <row r="94" spans="1:6" x14ac:dyDescent="0.25">
      <c r="A94">
        <v>20210415</v>
      </c>
      <c r="B94" t="str">
        <f>"031118"</f>
        <v>031118</v>
      </c>
      <c r="C94" t="s">
        <v>101</v>
      </c>
      <c r="D94" s="3">
        <v>150</v>
      </c>
      <c r="E94" t="s">
        <v>102</v>
      </c>
      <c r="F94" t="s">
        <v>37</v>
      </c>
    </row>
    <row r="95" spans="1:6" x14ac:dyDescent="0.25">
      <c r="A95">
        <v>20210415</v>
      </c>
      <c r="B95" t="str">
        <f>"031119"</f>
        <v>031119</v>
      </c>
      <c r="C95" t="s">
        <v>103</v>
      </c>
      <c r="D95" s="3">
        <v>300</v>
      </c>
      <c r="E95" t="s">
        <v>82</v>
      </c>
      <c r="F95" t="s">
        <v>37</v>
      </c>
    </row>
    <row r="96" spans="1:6" x14ac:dyDescent="0.25">
      <c r="A96">
        <v>20210415</v>
      </c>
      <c r="B96" t="str">
        <f>"031120"</f>
        <v>031120</v>
      </c>
      <c r="C96" t="s">
        <v>104</v>
      </c>
      <c r="D96" s="3">
        <v>1222.28</v>
      </c>
      <c r="E96" t="s">
        <v>50</v>
      </c>
      <c r="F96" t="s">
        <v>37</v>
      </c>
    </row>
    <row r="97" spans="1:6" x14ac:dyDescent="0.25">
      <c r="A97">
        <v>20210415</v>
      </c>
      <c r="B97" t="str">
        <f>"031121"</f>
        <v>031121</v>
      </c>
      <c r="C97" t="s">
        <v>105</v>
      </c>
      <c r="D97" s="3">
        <v>800</v>
      </c>
      <c r="E97" t="s">
        <v>82</v>
      </c>
      <c r="F97" t="s">
        <v>37</v>
      </c>
    </row>
    <row r="98" spans="1:6" x14ac:dyDescent="0.25">
      <c r="A98">
        <v>20210415</v>
      </c>
      <c r="B98" t="str">
        <f>"031122"</f>
        <v>031122</v>
      </c>
      <c r="C98" t="s">
        <v>60</v>
      </c>
      <c r="D98" s="3">
        <v>122.95</v>
      </c>
      <c r="E98" t="s">
        <v>36</v>
      </c>
      <c r="F98" t="s">
        <v>37</v>
      </c>
    </row>
    <row r="99" spans="1:6" x14ac:dyDescent="0.25">
      <c r="A99">
        <v>20210415</v>
      </c>
      <c r="B99" t="str">
        <f>"031123"</f>
        <v>031123</v>
      </c>
      <c r="C99" t="s">
        <v>106</v>
      </c>
      <c r="D99" s="3">
        <v>300</v>
      </c>
      <c r="E99" t="s">
        <v>82</v>
      </c>
      <c r="F99" t="s">
        <v>37</v>
      </c>
    </row>
    <row r="100" spans="1:6" x14ac:dyDescent="0.25">
      <c r="A100">
        <v>20210415</v>
      </c>
      <c r="B100" t="str">
        <f>"031124"</f>
        <v>031124</v>
      </c>
      <c r="C100" t="s">
        <v>107</v>
      </c>
      <c r="D100" s="3">
        <v>150</v>
      </c>
      <c r="E100" t="s">
        <v>82</v>
      </c>
      <c r="F100" t="s">
        <v>37</v>
      </c>
    </row>
    <row r="101" spans="1:6" x14ac:dyDescent="0.25">
      <c r="A101">
        <v>20210415</v>
      </c>
      <c r="B101" t="str">
        <f>"031125"</f>
        <v>031125</v>
      </c>
      <c r="C101" t="s">
        <v>108</v>
      </c>
      <c r="D101" s="3">
        <v>200</v>
      </c>
      <c r="E101" t="s">
        <v>82</v>
      </c>
      <c r="F101" t="s">
        <v>37</v>
      </c>
    </row>
    <row r="102" spans="1:6" x14ac:dyDescent="0.25">
      <c r="A102">
        <v>20210415</v>
      </c>
      <c r="B102" t="str">
        <f>"031126"</f>
        <v>031126</v>
      </c>
      <c r="C102" t="s">
        <v>109</v>
      </c>
      <c r="D102" s="3">
        <v>595</v>
      </c>
      <c r="E102" t="s">
        <v>36</v>
      </c>
      <c r="F102" t="s">
        <v>37</v>
      </c>
    </row>
    <row r="103" spans="1:6" x14ac:dyDescent="0.25">
      <c r="A103">
        <v>20210415</v>
      </c>
      <c r="B103" t="str">
        <f>"031127"</f>
        <v>031127</v>
      </c>
      <c r="C103" t="s">
        <v>66</v>
      </c>
      <c r="D103" s="3">
        <v>50</v>
      </c>
      <c r="E103" t="s">
        <v>36</v>
      </c>
      <c r="F103" t="s">
        <v>37</v>
      </c>
    </row>
    <row r="104" spans="1:6" x14ac:dyDescent="0.25">
      <c r="A104">
        <v>20210415</v>
      </c>
      <c r="B104" t="str">
        <f>"031127"</f>
        <v>031127</v>
      </c>
      <c r="C104" t="s">
        <v>66</v>
      </c>
      <c r="D104" s="3">
        <v>77</v>
      </c>
      <c r="E104" t="s">
        <v>36</v>
      </c>
      <c r="F104" t="s">
        <v>37</v>
      </c>
    </row>
    <row r="105" spans="1:6" x14ac:dyDescent="0.25">
      <c r="A105">
        <v>20210415</v>
      </c>
      <c r="B105" t="str">
        <f>"031128"</f>
        <v>031128</v>
      </c>
      <c r="C105" t="s">
        <v>110</v>
      </c>
      <c r="D105" s="3">
        <v>53.05</v>
      </c>
      <c r="E105" t="s">
        <v>36</v>
      </c>
      <c r="F105" t="s">
        <v>37</v>
      </c>
    </row>
    <row r="106" spans="1:6" x14ac:dyDescent="0.25">
      <c r="A106">
        <v>20210415</v>
      </c>
      <c r="B106" t="str">
        <f>"031129"</f>
        <v>031129</v>
      </c>
      <c r="C106" t="s">
        <v>111</v>
      </c>
      <c r="D106" s="3">
        <v>200</v>
      </c>
      <c r="E106" t="s">
        <v>112</v>
      </c>
      <c r="F106" t="s">
        <v>68</v>
      </c>
    </row>
    <row r="107" spans="1:6" x14ac:dyDescent="0.25">
      <c r="A107">
        <v>20210415</v>
      </c>
      <c r="B107" t="str">
        <f>"031130"</f>
        <v>031130</v>
      </c>
      <c r="C107" t="s">
        <v>113</v>
      </c>
      <c r="D107" s="3">
        <v>362.5</v>
      </c>
      <c r="E107" t="s">
        <v>114</v>
      </c>
      <c r="F107" t="s">
        <v>68</v>
      </c>
    </row>
    <row r="108" spans="1:6" x14ac:dyDescent="0.25">
      <c r="A108">
        <v>20210415</v>
      </c>
      <c r="B108" t="str">
        <f>"031131"</f>
        <v>031131</v>
      </c>
      <c r="C108" t="s">
        <v>115</v>
      </c>
      <c r="D108" s="3">
        <v>200</v>
      </c>
      <c r="E108" t="s">
        <v>112</v>
      </c>
      <c r="F108" t="s">
        <v>68</v>
      </c>
    </row>
    <row r="109" spans="1:6" x14ac:dyDescent="0.25">
      <c r="A109">
        <v>20210415</v>
      </c>
      <c r="B109" t="str">
        <f>"031132"</f>
        <v>031132</v>
      </c>
      <c r="C109" t="s">
        <v>116</v>
      </c>
      <c r="D109" s="3">
        <v>13000</v>
      </c>
      <c r="E109" t="s">
        <v>117</v>
      </c>
      <c r="F109" t="s">
        <v>68</v>
      </c>
    </row>
    <row r="110" spans="1:6" x14ac:dyDescent="0.25">
      <c r="A110">
        <v>20210415</v>
      </c>
      <c r="B110" t="str">
        <f>"031133"</f>
        <v>031133</v>
      </c>
      <c r="C110" t="s">
        <v>118</v>
      </c>
      <c r="D110" s="3">
        <v>200</v>
      </c>
      <c r="E110" t="s">
        <v>112</v>
      </c>
      <c r="F110" t="s">
        <v>68</v>
      </c>
    </row>
    <row r="111" spans="1:6" x14ac:dyDescent="0.25">
      <c r="A111">
        <v>20210415</v>
      </c>
      <c r="B111" t="str">
        <f>"031134"</f>
        <v>031134</v>
      </c>
      <c r="C111" t="s">
        <v>119</v>
      </c>
      <c r="D111" s="3">
        <v>960</v>
      </c>
      <c r="E111" t="s">
        <v>36</v>
      </c>
      <c r="F111" t="s">
        <v>68</v>
      </c>
    </row>
    <row r="112" spans="1:6" x14ac:dyDescent="0.25">
      <c r="A112">
        <v>20210415</v>
      </c>
      <c r="B112" t="str">
        <f>"031135"</f>
        <v>031135</v>
      </c>
      <c r="C112" t="s">
        <v>120</v>
      </c>
      <c r="D112" s="3">
        <v>20</v>
      </c>
      <c r="E112" t="s">
        <v>121</v>
      </c>
      <c r="F112" t="s">
        <v>68</v>
      </c>
    </row>
    <row r="113" spans="1:6" x14ac:dyDescent="0.25">
      <c r="A113">
        <v>20210421</v>
      </c>
      <c r="B113" t="str">
        <f t="shared" ref="B113:B118" si="1">"031136"</f>
        <v>031136</v>
      </c>
      <c r="C113" t="s">
        <v>122</v>
      </c>
      <c r="D113" s="3">
        <v>197.82</v>
      </c>
      <c r="E113" t="s">
        <v>36</v>
      </c>
      <c r="F113" t="s">
        <v>37</v>
      </c>
    </row>
    <row r="114" spans="1:6" x14ac:dyDescent="0.25">
      <c r="A114">
        <v>20210421</v>
      </c>
      <c r="B114" t="str">
        <f t="shared" si="1"/>
        <v>031136</v>
      </c>
      <c r="C114" t="s">
        <v>122</v>
      </c>
      <c r="D114" s="3">
        <v>103.2</v>
      </c>
      <c r="E114" t="s">
        <v>36</v>
      </c>
      <c r="F114" t="s">
        <v>37</v>
      </c>
    </row>
    <row r="115" spans="1:6" x14ac:dyDescent="0.25">
      <c r="A115">
        <v>20210421</v>
      </c>
      <c r="B115" t="str">
        <f t="shared" si="1"/>
        <v>031136</v>
      </c>
      <c r="C115" t="s">
        <v>122</v>
      </c>
      <c r="D115" s="3">
        <v>75</v>
      </c>
      <c r="E115" t="s">
        <v>36</v>
      </c>
      <c r="F115" t="s">
        <v>37</v>
      </c>
    </row>
    <row r="116" spans="1:6" x14ac:dyDescent="0.25">
      <c r="A116">
        <v>20210421</v>
      </c>
      <c r="B116" t="str">
        <f t="shared" si="1"/>
        <v>031136</v>
      </c>
      <c r="C116" t="s">
        <v>122</v>
      </c>
      <c r="D116" s="3">
        <v>125</v>
      </c>
      <c r="E116" t="s">
        <v>36</v>
      </c>
      <c r="F116" t="s">
        <v>37</v>
      </c>
    </row>
    <row r="117" spans="1:6" x14ac:dyDescent="0.25">
      <c r="A117">
        <v>20210421</v>
      </c>
      <c r="B117" t="str">
        <f t="shared" si="1"/>
        <v>031136</v>
      </c>
      <c r="C117" t="s">
        <v>122</v>
      </c>
      <c r="D117" s="3">
        <v>80</v>
      </c>
      <c r="E117" t="s">
        <v>123</v>
      </c>
      <c r="F117" t="s">
        <v>37</v>
      </c>
    </row>
    <row r="118" spans="1:6" x14ac:dyDescent="0.25">
      <c r="A118">
        <v>20210421</v>
      </c>
      <c r="B118" t="str">
        <f t="shared" si="1"/>
        <v>031136</v>
      </c>
      <c r="C118" t="s">
        <v>122</v>
      </c>
      <c r="D118" s="3">
        <v>83.1</v>
      </c>
      <c r="E118" t="s">
        <v>123</v>
      </c>
      <c r="F118" t="s">
        <v>37</v>
      </c>
    </row>
    <row r="119" spans="1:6" x14ac:dyDescent="0.25">
      <c r="A119">
        <v>20210421</v>
      </c>
      <c r="B119" t="str">
        <f t="shared" ref="B119:B152" si="2">"031137"</f>
        <v>031137</v>
      </c>
      <c r="C119" t="s">
        <v>122</v>
      </c>
      <c r="D119" s="3">
        <v>301.20999999999998</v>
      </c>
      <c r="E119" t="s">
        <v>45</v>
      </c>
      <c r="F119" t="s">
        <v>68</v>
      </c>
    </row>
    <row r="120" spans="1:6" x14ac:dyDescent="0.25">
      <c r="A120">
        <v>20210421</v>
      </c>
      <c r="B120" t="str">
        <f t="shared" si="2"/>
        <v>031137</v>
      </c>
      <c r="C120" t="s">
        <v>122</v>
      </c>
      <c r="D120" s="3">
        <v>186.66</v>
      </c>
      <c r="E120" t="s">
        <v>45</v>
      </c>
      <c r="F120" t="s">
        <v>68</v>
      </c>
    </row>
    <row r="121" spans="1:6" x14ac:dyDescent="0.25">
      <c r="A121">
        <v>20210421</v>
      </c>
      <c r="B121" t="str">
        <f t="shared" si="2"/>
        <v>031137</v>
      </c>
      <c r="C121" t="s">
        <v>122</v>
      </c>
      <c r="D121" s="3">
        <v>60</v>
      </c>
      <c r="E121" t="s">
        <v>45</v>
      </c>
      <c r="F121" t="s">
        <v>68</v>
      </c>
    </row>
    <row r="122" spans="1:6" x14ac:dyDescent="0.25">
      <c r="A122">
        <v>20210421</v>
      </c>
      <c r="B122" t="str">
        <f t="shared" si="2"/>
        <v>031137</v>
      </c>
      <c r="C122" t="s">
        <v>122</v>
      </c>
      <c r="D122" s="3">
        <v>82.52</v>
      </c>
      <c r="E122" t="s">
        <v>45</v>
      </c>
      <c r="F122" t="s">
        <v>68</v>
      </c>
    </row>
    <row r="123" spans="1:6" x14ac:dyDescent="0.25">
      <c r="A123">
        <v>20210421</v>
      </c>
      <c r="B123" t="str">
        <f t="shared" si="2"/>
        <v>031137</v>
      </c>
      <c r="C123" t="s">
        <v>122</v>
      </c>
      <c r="D123" s="3">
        <v>34.159999999999997</v>
      </c>
      <c r="E123" t="s">
        <v>45</v>
      </c>
      <c r="F123" t="s">
        <v>68</v>
      </c>
    </row>
    <row r="124" spans="1:6" x14ac:dyDescent="0.25">
      <c r="A124">
        <v>20210421</v>
      </c>
      <c r="B124" t="str">
        <f t="shared" si="2"/>
        <v>031137</v>
      </c>
      <c r="C124" t="s">
        <v>122</v>
      </c>
      <c r="D124" s="3">
        <v>45.06</v>
      </c>
      <c r="E124" t="s">
        <v>45</v>
      </c>
      <c r="F124" t="s">
        <v>68</v>
      </c>
    </row>
    <row r="125" spans="1:6" x14ac:dyDescent="0.25">
      <c r="A125">
        <v>20210421</v>
      </c>
      <c r="B125" t="str">
        <f t="shared" si="2"/>
        <v>031137</v>
      </c>
      <c r="C125" t="s">
        <v>122</v>
      </c>
      <c r="D125" s="3">
        <v>148.65</v>
      </c>
      <c r="E125" t="s">
        <v>45</v>
      </c>
      <c r="F125" t="s">
        <v>68</v>
      </c>
    </row>
    <row r="126" spans="1:6" x14ac:dyDescent="0.25">
      <c r="A126">
        <v>20210421</v>
      </c>
      <c r="B126" t="str">
        <f t="shared" si="2"/>
        <v>031137</v>
      </c>
      <c r="C126" t="s">
        <v>122</v>
      </c>
      <c r="D126" s="3">
        <v>153</v>
      </c>
      <c r="E126" t="s">
        <v>124</v>
      </c>
      <c r="F126" t="s">
        <v>68</v>
      </c>
    </row>
    <row r="127" spans="1:6" x14ac:dyDescent="0.25">
      <c r="A127">
        <v>20210421</v>
      </c>
      <c r="B127" t="str">
        <f t="shared" si="2"/>
        <v>031137</v>
      </c>
      <c r="C127" t="s">
        <v>122</v>
      </c>
      <c r="D127" s="3">
        <v>51.73</v>
      </c>
      <c r="E127" t="s">
        <v>124</v>
      </c>
      <c r="F127" t="s">
        <v>68</v>
      </c>
    </row>
    <row r="128" spans="1:6" x14ac:dyDescent="0.25">
      <c r="A128">
        <v>20210421</v>
      </c>
      <c r="B128" t="str">
        <f t="shared" si="2"/>
        <v>031137</v>
      </c>
      <c r="C128" t="s">
        <v>122</v>
      </c>
      <c r="D128" s="3">
        <v>87.34</v>
      </c>
      <c r="E128" t="s">
        <v>124</v>
      </c>
      <c r="F128" t="s">
        <v>68</v>
      </c>
    </row>
    <row r="129" spans="1:6" x14ac:dyDescent="0.25">
      <c r="A129">
        <v>20210421</v>
      </c>
      <c r="B129" t="str">
        <f t="shared" si="2"/>
        <v>031137</v>
      </c>
      <c r="C129" t="s">
        <v>122</v>
      </c>
      <c r="D129" s="3">
        <v>92.5</v>
      </c>
      <c r="E129" t="s">
        <v>124</v>
      </c>
      <c r="F129" t="s">
        <v>68</v>
      </c>
    </row>
    <row r="130" spans="1:6" x14ac:dyDescent="0.25">
      <c r="A130">
        <v>20210421</v>
      </c>
      <c r="B130" t="str">
        <f t="shared" si="2"/>
        <v>031137</v>
      </c>
      <c r="C130" t="s">
        <v>122</v>
      </c>
      <c r="D130" s="3">
        <v>64</v>
      </c>
      <c r="E130" t="s">
        <v>124</v>
      </c>
      <c r="F130" t="s">
        <v>68</v>
      </c>
    </row>
    <row r="131" spans="1:6" x14ac:dyDescent="0.25">
      <c r="A131">
        <v>20210421</v>
      </c>
      <c r="B131" t="str">
        <f t="shared" si="2"/>
        <v>031137</v>
      </c>
      <c r="C131" t="s">
        <v>122</v>
      </c>
      <c r="D131" s="3">
        <v>1164.1199999999999</v>
      </c>
      <c r="E131" t="s">
        <v>124</v>
      </c>
      <c r="F131" t="s">
        <v>68</v>
      </c>
    </row>
    <row r="132" spans="1:6" x14ac:dyDescent="0.25">
      <c r="A132">
        <v>20210421</v>
      </c>
      <c r="B132" t="str">
        <f t="shared" si="2"/>
        <v>031137</v>
      </c>
      <c r="C132" t="s">
        <v>122</v>
      </c>
      <c r="D132" s="3">
        <v>40.4</v>
      </c>
      <c r="E132" t="s">
        <v>45</v>
      </c>
      <c r="F132" t="s">
        <v>68</v>
      </c>
    </row>
    <row r="133" spans="1:6" x14ac:dyDescent="0.25">
      <c r="A133">
        <v>20210421</v>
      </c>
      <c r="B133" t="str">
        <f t="shared" si="2"/>
        <v>031137</v>
      </c>
      <c r="C133" t="s">
        <v>122</v>
      </c>
      <c r="D133" s="3">
        <v>33.24</v>
      </c>
      <c r="E133" t="s">
        <v>45</v>
      </c>
      <c r="F133" t="s">
        <v>68</v>
      </c>
    </row>
    <row r="134" spans="1:6" x14ac:dyDescent="0.25">
      <c r="A134">
        <v>20210421</v>
      </c>
      <c r="B134" t="str">
        <f t="shared" si="2"/>
        <v>031137</v>
      </c>
      <c r="C134" t="s">
        <v>122</v>
      </c>
      <c r="D134" s="3">
        <v>217.36</v>
      </c>
      <c r="E134" t="s">
        <v>45</v>
      </c>
      <c r="F134" t="s">
        <v>68</v>
      </c>
    </row>
    <row r="135" spans="1:6" x14ac:dyDescent="0.25">
      <c r="A135">
        <v>20210421</v>
      </c>
      <c r="B135" t="str">
        <f t="shared" si="2"/>
        <v>031137</v>
      </c>
      <c r="C135" t="s">
        <v>122</v>
      </c>
      <c r="D135" s="3">
        <v>114.76</v>
      </c>
      <c r="E135" t="s">
        <v>45</v>
      </c>
      <c r="F135" t="s">
        <v>68</v>
      </c>
    </row>
    <row r="136" spans="1:6" x14ac:dyDescent="0.25">
      <c r="A136">
        <v>20210421</v>
      </c>
      <c r="B136" t="str">
        <f t="shared" si="2"/>
        <v>031137</v>
      </c>
      <c r="C136" t="s">
        <v>122</v>
      </c>
      <c r="D136" s="3">
        <v>107.77</v>
      </c>
      <c r="E136" t="s">
        <v>45</v>
      </c>
      <c r="F136" t="s">
        <v>68</v>
      </c>
    </row>
    <row r="137" spans="1:6" x14ac:dyDescent="0.25">
      <c r="A137">
        <v>20210421</v>
      </c>
      <c r="B137" t="str">
        <f t="shared" si="2"/>
        <v>031137</v>
      </c>
      <c r="C137" t="s">
        <v>122</v>
      </c>
      <c r="D137" s="3">
        <v>129.80000000000001</v>
      </c>
      <c r="E137" t="s">
        <v>45</v>
      </c>
      <c r="F137" t="s">
        <v>68</v>
      </c>
    </row>
    <row r="138" spans="1:6" x14ac:dyDescent="0.25">
      <c r="A138">
        <v>20210421</v>
      </c>
      <c r="B138" t="str">
        <f t="shared" si="2"/>
        <v>031137</v>
      </c>
      <c r="C138" t="s">
        <v>122</v>
      </c>
      <c r="D138" s="3">
        <v>39.979999999999997</v>
      </c>
      <c r="E138" t="s">
        <v>45</v>
      </c>
      <c r="F138" t="s">
        <v>68</v>
      </c>
    </row>
    <row r="139" spans="1:6" x14ac:dyDescent="0.25">
      <c r="A139">
        <v>20210421</v>
      </c>
      <c r="B139" t="str">
        <f t="shared" si="2"/>
        <v>031137</v>
      </c>
      <c r="C139" t="s">
        <v>122</v>
      </c>
      <c r="D139" s="3">
        <v>128.05000000000001</v>
      </c>
      <c r="E139" t="s">
        <v>45</v>
      </c>
      <c r="F139" t="s">
        <v>68</v>
      </c>
    </row>
    <row r="140" spans="1:6" x14ac:dyDescent="0.25">
      <c r="A140">
        <v>20210421</v>
      </c>
      <c r="B140" t="str">
        <f t="shared" si="2"/>
        <v>031137</v>
      </c>
      <c r="C140" t="s">
        <v>122</v>
      </c>
      <c r="D140" s="3">
        <v>125.47</v>
      </c>
      <c r="E140" t="s">
        <v>45</v>
      </c>
      <c r="F140" t="s">
        <v>68</v>
      </c>
    </row>
    <row r="141" spans="1:6" x14ac:dyDescent="0.25">
      <c r="A141">
        <v>20210421</v>
      </c>
      <c r="B141" t="str">
        <f t="shared" si="2"/>
        <v>031137</v>
      </c>
      <c r="C141" t="s">
        <v>122</v>
      </c>
      <c r="D141" s="3">
        <v>86.12</v>
      </c>
      <c r="E141" t="s">
        <v>45</v>
      </c>
      <c r="F141" t="s">
        <v>68</v>
      </c>
    </row>
    <row r="142" spans="1:6" x14ac:dyDescent="0.25">
      <c r="A142">
        <v>20210421</v>
      </c>
      <c r="B142" t="str">
        <f t="shared" si="2"/>
        <v>031137</v>
      </c>
      <c r="C142" t="s">
        <v>122</v>
      </c>
      <c r="D142" s="3">
        <v>108.58</v>
      </c>
      <c r="E142" t="s">
        <v>45</v>
      </c>
      <c r="F142" t="s">
        <v>68</v>
      </c>
    </row>
    <row r="143" spans="1:6" x14ac:dyDescent="0.25">
      <c r="A143">
        <v>20210421</v>
      </c>
      <c r="B143" t="str">
        <f t="shared" si="2"/>
        <v>031137</v>
      </c>
      <c r="C143" t="s">
        <v>122</v>
      </c>
      <c r="D143" s="3">
        <v>4.18</v>
      </c>
      <c r="E143" t="s">
        <v>45</v>
      </c>
      <c r="F143" t="s">
        <v>68</v>
      </c>
    </row>
    <row r="144" spans="1:6" x14ac:dyDescent="0.25">
      <c r="A144">
        <v>20210421</v>
      </c>
      <c r="B144" t="str">
        <f t="shared" si="2"/>
        <v>031137</v>
      </c>
      <c r="C144" t="s">
        <v>122</v>
      </c>
      <c r="D144" s="3">
        <v>82.06</v>
      </c>
      <c r="E144" t="s">
        <v>45</v>
      </c>
      <c r="F144" t="s">
        <v>68</v>
      </c>
    </row>
    <row r="145" spans="1:6" x14ac:dyDescent="0.25">
      <c r="A145">
        <v>20210421</v>
      </c>
      <c r="B145" t="str">
        <f t="shared" si="2"/>
        <v>031137</v>
      </c>
      <c r="C145" t="s">
        <v>122</v>
      </c>
      <c r="D145" s="3">
        <v>408</v>
      </c>
      <c r="E145" t="s">
        <v>45</v>
      </c>
      <c r="F145" t="s">
        <v>68</v>
      </c>
    </row>
    <row r="146" spans="1:6" x14ac:dyDescent="0.25">
      <c r="A146">
        <v>20210421</v>
      </c>
      <c r="B146" t="str">
        <f t="shared" si="2"/>
        <v>031137</v>
      </c>
      <c r="C146" t="s">
        <v>122</v>
      </c>
      <c r="D146" s="3">
        <v>408</v>
      </c>
      <c r="E146" t="s">
        <v>45</v>
      </c>
      <c r="F146" t="s">
        <v>68</v>
      </c>
    </row>
    <row r="147" spans="1:6" x14ac:dyDescent="0.25">
      <c r="A147">
        <v>20210421</v>
      </c>
      <c r="B147" t="str">
        <f t="shared" si="2"/>
        <v>031137</v>
      </c>
      <c r="C147" t="s">
        <v>122</v>
      </c>
      <c r="D147" s="3">
        <v>61.01</v>
      </c>
      <c r="E147" t="s">
        <v>36</v>
      </c>
      <c r="F147" t="s">
        <v>68</v>
      </c>
    </row>
    <row r="148" spans="1:6" x14ac:dyDescent="0.25">
      <c r="A148">
        <v>20210421</v>
      </c>
      <c r="B148" t="str">
        <f t="shared" si="2"/>
        <v>031137</v>
      </c>
      <c r="C148" t="s">
        <v>122</v>
      </c>
      <c r="D148" s="3">
        <v>77.45</v>
      </c>
      <c r="E148" t="s">
        <v>36</v>
      </c>
      <c r="F148" t="s">
        <v>68</v>
      </c>
    </row>
    <row r="149" spans="1:6" x14ac:dyDescent="0.25">
      <c r="A149">
        <v>20210421</v>
      </c>
      <c r="B149" t="str">
        <f t="shared" si="2"/>
        <v>031137</v>
      </c>
      <c r="C149" t="s">
        <v>122</v>
      </c>
      <c r="D149" s="3">
        <v>67.900000000000006</v>
      </c>
      <c r="E149" t="s">
        <v>36</v>
      </c>
      <c r="F149" t="s">
        <v>68</v>
      </c>
    </row>
    <row r="150" spans="1:6" x14ac:dyDescent="0.25">
      <c r="A150">
        <v>20210421</v>
      </c>
      <c r="B150" t="str">
        <f t="shared" si="2"/>
        <v>031137</v>
      </c>
      <c r="C150" t="s">
        <v>122</v>
      </c>
      <c r="D150" s="3">
        <v>119.28</v>
      </c>
      <c r="E150" t="s">
        <v>36</v>
      </c>
      <c r="F150" t="s">
        <v>68</v>
      </c>
    </row>
    <row r="151" spans="1:6" x14ac:dyDescent="0.25">
      <c r="A151">
        <v>20210421</v>
      </c>
      <c r="B151" t="str">
        <f t="shared" si="2"/>
        <v>031137</v>
      </c>
      <c r="C151" t="s">
        <v>122</v>
      </c>
      <c r="D151" s="3">
        <v>83.46</v>
      </c>
      <c r="E151" t="s">
        <v>36</v>
      </c>
      <c r="F151" t="s">
        <v>68</v>
      </c>
    </row>
    <row r="152" spans="1:6" x14ac:dyDescent="0.25">
      <c r="A152">
        <v>20210421</v>
      </c>
      <c r="B152" t="str">
        <f t="shared" si="2"/>
        <v>031137</v>
      </c>
      <c r="C152" t="s">
        <v>122</v>
      </c>
      <c r="D152" s="3">
        <v>855</v>
      </c>
      <c r="E152" t="s">
        <v>125</v>
      </c>
      <c r="F152" t="s">
        <v>68</v>
      </c>
    </row>
    <row r="153" spans="1:6" x14ac:dyDescent="0.25">
      <c r="A153">
        <v>20210423</v>
      </c>
      <c r="B153" t="str">
        <f>"031138"</f>
        <v>031138</v>
      </c>
      <c r="C153" t="s">
        <v>126</v>
      </c>
      <c r="D153" s="3">
        <v>400</v>
      </c>
      <c r="E153" t="s">
        <v>127</v>
      </c>
      <c r="F153" t="s">
        <v>68</v>
      </c>
    </row>
    <row r="154" spans="1:6" x14ac:dyDescent="0.25">
      <c r="A154">
        <v>20210507</v>
      </c>
      <c r="B154" t="str">
        <f>"031180"</f>
        <v>031180</v>
      </c>
      <c r="C154" t="s">
        <v>128</v>
      </c>
      <c r="D154" s="3">
        <v>400</v>
      </c>
      <c r="E154" t="s">
        <v>129</v>
      </c>
      <c r="F154" t="s">
        <v>37</v>
      </c>
    </row>
    <row r="155" spans="1:6" x14ac:dyDescent="0.25">
      <c r="A155">
        <v>20210414</v>
      </c>
      <c r="B155" t="str">
        <f>"041321"</f>
        <v>041321</v>
      </c>
      <c r="C155" t="s">
        <v>130</v>
      </c>
      <c r="D155" s="3">
        <v>38582.94</v>
      </c>
      <c r="E155" t="s">
        <v>131</v>
      </c>
      <c r="F155" t="s">
        <v>26</v>
      </c>
    </row>
    <row r="156" spans="1:6" x14ac:dyDescent="0.25">
      <c r="A156">
        <v>20210415</v>
      </c>
      <c r="B156" t="str">
        <f>"041501"</f>
        <v>041501</v>
      </c>
      <c r="C156" t="s">
        <v>132</v>
      </c>
      <c r="D156" s="3">
        <v>130.6</v>
      </c>
      <c r="E156" t="s">
        <v>133</v>
      </c>
      <c r="F156" t="s">
        <v>134</v>
      </c>
    </row>
    <row r="157" spans="1:6" x14ac:dyDescent="0.25">
      <c r="A157">
        <v>20210415</v>
      </c>
      <c r="B157" t="str">
        <f>"041502"</f>
        <v>041502</v>
      </c>
      <c r="C157" t="s">
        <v>47</v>
      </c>
      <c r="D157" s="3">
        <v>2239.25</v>
      </c>
      <c r="E157" t="s">
        <v>133</v>
      </c>
      <c r="F157" t="s">
        <v>134</v>
      </c>
    </row>
    <row r="158" spans="1:6" x14ac:dyDescent="0.25">
      <c r="A158">
        <v>20210416</v>
      </c>
      <c r="B158" t="str">
        <f>"041602"</f>
        <v>041602</v>
      </c>
      <c r="C158" t="s">
        <v>135</v>
      </c>
      <c r="D158" s="3">
        <v>1154190.1499999999</v>
      </c>
      <c r="E158" t="s">
        <v>136</v>
      </c>
      <c r="F158" t="s">
        <v>26</v>
      </c>
    </row>
    <row r="159" spans="1:6" x14ac:dyDescent="0.25">
      <c r="A159">
        <v>20210416</v>
      </c>
      <c r="B159" t="str">
        <f>"041603"</f>
        <v>041603</v>
      </c>
      <c r="C159" t="s">
        <v>135</v>
      </c>
      <c r="D159" s="3">
        <v>1126764.6000000001</v>
      </c>
      <c r="E159" t="s">
        <v>136</v>
      </c>
      <c r="F159" t="s">
        <v>26</v>
      </c>
    </row>
    <row r="160" spans="1:6" x14ac:dyDescent="0.25">
      <c r="A160">
        <v>20210416</v>
      </c>
      <c r="B160" t="str">
        <f>"041604"</f>
        <v>041604</v>
      </c>
      <c r="C160" t="s">
        <v>137</v>
      </c>
      <c r="D160" s="3">
        <v>41083.79</v>
      </c>
      <c r="E160" t="s">
        <v>138</v>
      </c>
      <c r="F160" t="s">
        <v>26</v>
      </c>
    </row>
    <row r="161" spans="1:6" x14ac:dyDescent="0.25">
      <c r="A161">
        <v>20210422</v>
      </c>
      <c r="B161" t="str">
        <f>"042201"</f>
        <v>042201</v>
      </c>
      <c r="C161" t="s">
        <v>139</v>
      </c>
      <c r="D161" s="3">
        <v>300048.88</v>
      </c>
      <c r="E161" t="s">
        <v>140</v>
      </c>
      <c r="F161" t="s">
        <v>26</v>
      </c>
    </row>
    <row r="162" spans="1:6" x14ac:dyDescent="0.25">
      <c r="A162">
        <v>20210428</v>
      </c>
      <c r="B162" t="str">
        <f>"042801"</f>
        <v>042801</v>
      </c>
      <c r="C162" t="s">
        <v>141</v>
      </c>
      <c r="D162" s="3">
        <v>600</v>
      </c>
      <c r="E162" t="s">
        <v>142</v>
      </c>
      <c r="F162" t="s">
        <v>143</v>
      </c>
    </row>
    <row r="163" spans="1:6" x14ac:dyDescent="0.25">
      <c r="A163">
        <v>20210401</v>
      </c>
      <c r="B163" t="str">
        <f>"136814"</f>
        <v>136814</v>
      </c>
      <c r="C163" t="s">
        <v>144</v>
      </c>
      <c r="D163" s="3">
        <v>2800</v>
      </c>
      <c r="E163" t="s">
        <v>145</v>
      </c>
      <c r="F163" t="s">
        <v>134</v>
      </c>
    </row>
    <row r="164" spans="1:6" x14ac:dyDescent="0.25">
      <c r="A164">
        <v>20210401</v>
      </c>
      <c r="B164" t="str">
        <f>"136815"</f>
        <v>136815</v>
      </c>
      <c r="C164" t="s">
        <v>146</v>
      </c>
      <c r="D164" s="3">
        <v>106.6</v>
      </c>
      <c r="E164" t="s">
        <v>36</v>
      </c>
      <c r="F164" t="s">
        <v>134</v>
      </c>
    </row>
    <row r="165" spans="1:6" x14ac:dyDescent="0.25">
      <c r="A165">
        <v>20210401</v>
      </c>
      <c r="B165" t="str">
        <f>"136815"</f>
        <v>136815</v>
      </c>
      <c r="C165" t="s">
        <v>146</v>
      </c>
      <c r="D165" s="3">
        <v>131.76</v>
      </c>
      <c r="E165" t="s">
        <v>147</v>
      </c>
      <c r="F165" t="s">
        <v>134</v>
      </c>
    </row>
    <row r="166" spans="1:6" x14ac:dyDescent="0.25">
      <c r="A166">
        <v>20210401</v>
      </c>
      <c r="B166" t="str">
        <f>"136816"</f>
        <v>136816</v>
      </c>
      <c r="C166" t="s">
        <v>148</v>
      </c>
      <c r="D166" s="3">
        <v>120</v>
      </c>
      <c r="E166" t="s">
        <v>149</v>
      </c>
      <c r="F166" t="s">
        <v>134</v>
      </c>
    </row>
    <row r="167" spans="1:6" x14ac:dyDescent="0.25">
      <c r="A167">
        <v>20210401</v>
      </c>
      <c r="B167" t="str">
        <f>"136817"</f>
        <v>136817</v>
      </c>
      <c r="C167" t="s">
        <v>150</v>
      </c>
      <c r="D167" s="3">
        <v>4500</v>
      </c>
      <c r="E167" t="s">
        <v>151</v>
      </c>
      <c r="F167" t="s">
        <v>134</v>
      </c>
    </row>
    <row r="168" spans="1:6" x14ac:dyDescent="0.25">
      <c r="A168">
        <v>20210401</v>
      </c>
      <c r="B168" t="str">
        <f>"136818"</f>
        <v>136818</v>
      </c>
      <c r="C168" t="s">
        <v>152</v>
      </c>
      <c r="D168" s="3">
        <v>7</v>
      </c>
      <c r="E168" t="s">
        <v>153</v>
      </c>
      <c r="F168" t="s">
        <v>134</v>
      </c>
    </row>
    <row r="169" spans="1:6" x14ac:dyDescent="0.25">
      <c r="A169">
        <v>20210401</v>
      </c>
      <c r="B169" t="str">
        <f>"136819"</f>
        <v>136819</v>
      </c>
      <c r="C169" t="s">
        <v>154</v>
      </c>
      <c r="D169" s="3">
        <v>469</v>
      </c>
      <c r="E169" t="s">
        <v>36</v>
      </c>
      <c r="F169" t="s">
        <v>134</v>
      </c>
    </row>
    <row r="170" spans="1:6" x14ac:dyDescent="0.25">
      <c r="A170">
        <v>20210401</v>
      </c>
      <c r="B170" t="str">
        <f>"136820"</f>
        <v>136820</v>
      </c>
      <c r="C170" t="s">
        <v>155</v>
      </c>
      <c r="D170" s="3">
        <v>211.65</v>
      </c>
      <c r="E170" t="s">
        <v>36</v>
      </c>
      <c r="F170" t="s">
        <v>134</v>
      </c>
    </row>
    <row r="171" spans="1:6" x14ac:dyDescent="0.25">
      <c r="A171">
        <v>20210401</v>
      </c>
      <c r="B171" t="str">
        <f>"136820"</f>
        <v>136820</v>
      </c>
      <c r="C171" t="s">
        <v>155</v>
      </c>
      <c r="D171" s="3">
        <v>214.56</v>
      </c>
      <c r="E171" t="s">
        <v>36</v>
      </c>
      <c r="F171" t="s">
        <v>134</v>
      </c>
    </row>
    <row r="172" spans="1:6" x14ac:dyDescent="0.25">
      <c r="A172">
        <v>20210401</v>
      </c>
      <c r="B172" t="str">
        <f>"136821"</f>
        <v>136821</v>
      </c>
      <c r="C172" t="s">
        <v>156</v>
      </c>
      <c r="D172" s="3">
        <v>1050</v>
      </c>
      <c r="E172" t="s">
        <v>157</v>
      </c>
      <c r="F172" t="s">
        <v>134</v>
      </c>
    </row>
    <row r="173" spans="1:6" x14ac:dyDescent="0.25">
      <c r="A173">
        <v>20210401</v>
      </c>
      <c r="B173" t="str">
        <f>"136822"</f>
        <v>136822</v>
      </c>
      <c r="C173" t="s">
        <v>158</v>
      </c>
      <c r="D173" s="3">
        <v>5394</v>
      </c>
      <c r="E173" t="s">
        <v>36</v>
      </c>
      <c r="F173" t="s">
        <v>134</v>
      </c>
    </row>
    <row r="174" spans="1:6" x14ac:dyDescent="0.25">
      <c r="A174">
        <v>20210401</v>
      </c>
      <c r="B174" t="str">
        <f>"136822"</f>
        <v>136822</v>
      </c>
      <c r="C174" t="s">
        <v>158</v>
      </c>
      <c r="D174" s="3">
        <v>696</v>
      </c>
      <c r="E174" t="s">
        <v>36</v>
      </c>
      <c r="F174" t="s">
        <v>134</v>
      </c>
    </row>
    <row r="175" spans="1:6" x14ac:dyDescent="0.25">
      <c r="A175">
        <v>20210401</v>
      </c>
      <c r="B175" t="str">
        <f>"136823"</f>
        <v>136823</v>
      </c>
      <c r="C175" t="s">
        <v>159</v>
      </c>
      <c r="D175" s="3">
        <v>3946.23</v>
      </c>
      <c r="E175" t="s">
        <v>160</v>
      </c>
      <c r="F175" t="s">
        <v>134</v>
      </c>
    </row>
    <row r="176" spans="1:6" x14ac:dyDescent="0.25">
      <c r="A176">
        <v>20210401</v>
      </c>
      <c r="B176" t="str">
        <f>"136823"</f>
        <v>136823</v>
      </c>
      <c r="C176" t="s">
        <v>159</v>
      </c>
      <c r="D176" s="3">
        <v>1246.8</v>
      </c>
      <c r="E176" t="s">
        <v>160</v>
      </c>
      <c r="F176" t="s">
        <v>134</v>
      </c>
    </row>
    <row r="177" spans="1:6" x14ac:dyDescent="0.25">
      <c r="A177">
        <v>20210401</v>
      </c>
      <c r="B177" t="str">
        <f>"136824"</f>
        <v>136824</v>
      </c>
      <c r="C177" t="s">
        <v>159</v>
      </c>
      <c r="D177" s="3">
        <v>1016.28</v>
      </c>
      <c r="E177" t="s">
        <v>161</v>
      </c>
      <c r="F177" t="s">
        <v>134</v>
      </c>
    </row>
    <row r="178" spans="1:6" x14ac:dyDescent="0.25">
      <c r="A178">
        <v>20210401</v>
      </c>
      <c r="B178" t="str">
        <f>"136825"</f>
        <v>136825</v>
      </c>
      <c r="C178" t="s">
        <v>162</v>
      </c>
      <c r="D178" s="3">
        <v>20</v>
      </c>
      <c r="E178" t="s">
        <v>163</v>
      </c>
      <c r="F178" t="s">
        <v>134</v>
      </c>
    </row>
    <row r="179" spans="1:6" x14ac:dyDescent="0.25">
      <c r="A179">
        <v>20210401</v>
      </c>
      <c r="B179" t="str">
        <f>"136826"</f>
        <v>136826</v>
      </c>
      <c r="C179" t="s">
        <v>164</v>
      </c>
      <c r="D179" s="3">
        <v>131.91999999999999</v>
      </c>
      <c r="E179" t="s">
        <v>165</v>
      </c>
      <c r="F179" t="s">
        <v>134</v>
      </c>
    </row>
    <row r="180" spans="1:6" x14ac:dyDescent="0.25">
      <c r="A180">
        <v>20210401</v>
      </c>
      <c r="B180" t="str">
        <f>"136827"</f>
        <v>136827</v>
      </c>
      <c r="C180" t="s">
        <v>166</v>
      </c>
      <c r="D180" s="3">
        <v>330</v>
      </c>
      <c r="E180" t="s">
        <v>167</v>
      </c>
      <c r="F180" t="s">
        <v>134</v>
      </c>
    </row>
    <row r="181" spans="1:6" x14ac:dyDescent="0.25">
      <c r="A181">
        <v>20210401</v>
      </c>
      <c r="B181" t="str">
        <f>"136828"</f>
        <v>136828</v>
      </c>
      <c r="C181" t="s">
        <v>168</v>
      </c>
      <c r="D181" s="3">
        <v>276.39</v>
      </c>
      <c r="E181" t="s">
        <v>36</v>
      </c>
      <c r="F181" t="s">
        <v>134</v>
      </c>
    </row>
    <row r="182" spans="1:6" x14ac:dyDescent="0.25">
      <c r="A182">
        <v>20210401</v>
      </c>
      <c r="B182" t="str">
        <f>"136829"</f>
        <v>136829</v>
      </c>
      <c r="C182" t="s">
        <v>169</v>
      </c>
      <c r="D182" s="3">
        <v>40</v>
      </c>
      <c r="E182" t="s">
        <v>149</v>
      </c>
      <c r="F182" t="s">
        <v>134</v>
      </c>
    </row>
    <row r="183" spans="1:6" x14ac:dyDescent="0.25">
      <c r="A183">
        <v>20210401</v>
      </c>
      <c r="B183" t="str">
        <f>"136830"</f>
        <v>136830</v>
      </c>
      <c r="C183" t="s">
        <v>43</v>
      </c>
      <c r="D183" s="3">
        <v>500</v>
      </c>
      <c r="E183" t="s">
        <v>36</v>
      </c>
      <c r="F183" t="s">
        <v>134</v>
      </c>
    </row>
    <row r="184" spans="1:6" x14ac:dyDescent="0.25">
      <c r="A184">
        <v>20210401</v>
      </c>
      <c r="B184" t="str">
        <f>"136830"</f>
        <v>136830</v>
      </c>
      <c r="C184" t="s">
        <v>43</v>
      </c>
      <c r="D184" s="3">
        <v>142.1</v>
      </c>
      <c r="E184" t="s">
        <v>170</v>
      </c>
      <c r="F184" t="s">
        <v>134</v>
      </c>
    </row>
    <row r="185" spans="1:6" x14ac:dyDescent="0.25">
      <c r="A185">
        <v>20210401</v>
      </c>
      <c r="B185" t="str">
        <f>"136831"</f>
        <v>136831</v>
      </c>
      <c r="C185" t="s">
        <v>171</v>
      </c>
      <c r="D185" s="3">
        <v>70</v>
      </c>
      <c r="E185" t="s">
        <v>172</v>
      </c>
      <c r="F185" t="s">
        <v>143</v>
      </c>
    </row>
    <row r="186" spans="1:6" x14ac:dyDescent="0.25">
      <c r="A186">
        <v>20210401</v>
      </c>
      <c r="B186" t="str">
        <f>"136832"</f>
        <v>136832</v>
      </c>
      <c r="C186" t="s">
        <v>173</v>
      </c>
      <c r="D186" s="3">
        <v>768.52</v>
      </c>
      <c r="E186" t="s">
        <v>36</v>
      </c>
      <c r="F186" t="s">
        <v>134</v>
      </c>
    </row>
    <row r="187" spans="1:6" x14ac:dyDescent="0.25">
      <c r="A187">
        <v>20210401</v>
      </c>
      <c r="B187" t="str">
        <f>"136833"</f>
        <v>136833</v>
      </c>
      <c r="C187" t="s">
        <v>173</v>
      </c>
      <c r="D187" s="3">
        <v>681.87</v>
      </c>
      <c r="E187" t="s">
        <v>36</v>
      </c>
      <c r="F187" t="s">
        <v>134</v>
      </c>
    </row>
    <row r="188" spans="1:6" x14ac:dyDescent="0.25">
      <c r="A188">
        <v>20210401</v>
      </c>
      <c r="B188" t="str">
        <f>"136833"</f>
        <v>136833</v>
      </c>
      <c r="C188" t="s">
        <v>173</v>
      </c>
      <c r="D188" s="3">
        <v>41.5</v>
      </c>
      <c r="E188" t="s">
        <v>36</v>
      </c>
      <c r="F188" t="s">
        <v>134</v>
      </c>
    </row>
    <row r="189" spans="1:6" x14ac:dyDescent="0.25">
      <c r="A189">
        <v>20210401</v>
      </c>
      <c r="B189" t="str">
        <f>"136833"</f>
        <v>136833</v>
      </c>
      <c r="C189" t="s">
        <v>173</v>
      </c>
      <c r="D189" s="3">
        <v>7.83</v>
      </c>
      <c r="E189" t="s">
        <v>36</v>
      </c>
      <c r="F189" t="s">
        <v>134</v>
      </c>
    </row>
    <row r="190" spans="1:6" x14ac:dyDescent="0.25">
      <c r="A190">
        <v>20210401</v>
      </c>
      <c r="B190" t="str">
        <f>"136834"</f>
        <v>136834</v>
      </c>
      <c r="C190" t="s">
        <v>174</v>
      </c>
      <c r="D190" s="3">
        <v>350</v>
      </c>
      <c r="E190" t="s">
        <v>149</v>
      </c>
      <c r="F190" t="s">
        <v>134</v>
      </c>
    </row>
    <row r="191" spans="1:6" x14ac:dyDescent="0.25">
      <c r="A191">
        <v>20210401</v>
      </c>
      <c r="B191" t="str">
        <f>"136834"</f>
        <v>136834</v>
      </c>
      <c r="C191" t="s">
        <v>174</v>
      </c>
      <c r="D191" s="3">
        <v>695</v>
      </c>
      <c r="E191" t="s">
        <v>149</v>
      </c>
      <c r="F191" t="s">
        <v>134</v>
      </c>
    </row>
    <row r="192" spans="1:6" x14ac:dyDescent="0.25">
      <c r="A192">
        <v>20210401</v>
      </c>
      <c r="B192" t="str">
        <f t="shared" ref="B192:B198" si="3">"136835"</f>
        <v>136835</v>
      </c>
      <c r="C192" t="s">
        <v>67</v>
      </c>
      <c r="D192" s="3">
        <v>600</v>
      </c>
      <c r="E192" t="s">
        <v>36</v>
      </c>
      <c r="F192" t="s">
        <v>143</v>
      </c>
    </row>
    <row r="193" spans="1:6" x14ac:dyDescent="0.25">
      <c r="A193">
        <v>20210401</v>
      </c>
      <c r="B193" t="str">
        <f t="shared" si="3"/>
        <v>136835</v>
      </c>
      <c r="C193" t="s">
        <v>67</v>
      </c>
      <c r="D193" s="3">
        <v>3365.2</v>
      </c>
      <c r="E193" t="s">
        <v>36</v>
      </c>
      <c r="F193" t="s">
        <v>143</v>
      </c>
    </row>
    <row r="194" spans="1:6" x14ac:dyDescent="0.25">
      <c r="A194">
        <v>20210401</v>
      </c>
      <c r="B194" t="str">
        <f t="shared" si="3"/>
        <v>136835</v>
      </c>
      <c r="C194" t="s">
        <v>67</v>
      </c>
      <c r="D194" s="3">
        <v>750</v>
      </c>
      <c r="E194" t="s">
        <v>175</v>
      </c>
      <c r="F194" t="s">
        <v>143</v>
      </c>
    </row>
    <row r="195" spans="1:6" x14ac:dyDescent="0.25">
      <c r="A195">
        <v>20210401</v>
      </c>
      <c r="B195" t="str">
        <f t="shared" si="3"/>
        <v>136835</v>
      </c>
      <c r="C195" t="s">
        <v>67</v>
      </c>
      <c r="D195" s="3">
        <v>1850</v>
      </c>
      <c r="E195" t="s">
        <v>175</v>
      </c>
      <c r="F195" t="s">
        <v>143</v>
      </c>
    </row>
    <row r="196" spans="1:6" x14ac:dyDescent="0.25">
      <c r="A196">
        <v>20210401</v>
      </c>
      <c r="B196" t="str">
        <f t="shared" si="3"/>
        <v>136835</v>
      </c>
      <c r="C196" t="s">
        <v>67</v>
      </c>
      <c r="D196" s="3">
        <v>2720</v>
      </c>
      <c r="E196" t="s">
        <v>175</v>
      </c>
      <c r="F196" t="s">
        <v>143</v>
      </c>
    </row>
    <row r="197" spans="1:6" x14ac:dyDescent="0.25">
      <c r="A197">
        <v>20210401</v>
      </c>
      <c r="B197" t="str">
        <f t="shared" si="3"/>
        <v>136835</v>
      </c>
      <c r="C197" t="s">
        <v>67</v>
      </c>
      <c r="D197" s="3">
        <v>350</v>
      </c>
      <c r="E197" t="s">
        <v>36</v>
      </c>
      <c r="F197" t="s">
        <v>134</v>
      </c>
    </row>
    <row r="198" spans="1:6" x14ac:dyDescent="0.25">
      <c r="A198">
        <v>20210401</v>
      </c>
      <c r="B198" t="str">
        <f t="shared" si="3"/>
        <v>136835</v>
      </c>
      <c r="C198" t="s">
        <v>67</v>
      </c>
      <c r="D198" s="3">
        <v>1750</v>
      </c>
      <c r="E198" t="s">
        <v>36</v>
      </c>
      <c r="F198" t="s">
        <v>134</v>
      </c>
    </row>
    <row r="199" spans="1:6" x14ac:dyDescent="0.25">
      <c r="A199">
        <v>20210401</v>
      </c>
      <c r="B199" t="str">
        <f>"136836"</f>
        <v>136836</v>
      </c>
      <c r="C199" t="s">
        <v>176</v>
      </c>
      <c r="D199" s="3">
        <v>594</v>
      </c>
      <c r="E199" t="s">
        <v>177</v>
      </c>
      <c r="F199" t="s">
        <v>134</v>
      </c>
    </row>
    <row r="200" spans="1:6" x14ac:dyDescent="0.25">
      <c r="A200">
        <v>20210401</v>
      </c>
      <c r="B200" t="str">
        <f>"136837"</f>
        <v>136837</v>
      </c>
      <c r="C200" t="s">
        <v>178</v>
      </c>
      <c r="D200" s="3">
        <v>560.71</v>
      </c>
      <c r="E200" t="s">
        <v>179</v>
      </c>
      <c r="F200" t="s">
        <v>143</v>
      </c>
    </row>
    <row r="201" spans="1:6" x14ac:dyDescent="0.25">
      <c r="A201">
        <v>20210401</v>
      </c>
      <c r="B201" t="str">
        <f>"136838"</f>
        <v>136838</v>
      </c>
      <c r="C201" t="s">
        <v>180</v>
      </c>
      <c r="D201" s="3">
        <v>476</v>
      </c>
      <c r="E201" t="s">
        <v>36</v>
      </c>
      <c r="F201" t="s">
        <v>143</v>
      </c>
    </row>
    <row r="202" spans="1:6" x14ac:dyDescent="0.25">
      <c r="A202">
        <v>20210401</v>
      </c>
      <c r="B202" t="str">
        <f>"136838"</f>
        <v>136838</v>
      </c>
      <c r="C202" t="s">
        <v>180</v>
      </c>
      <c r="D202" s="3">
        <v>201</v>
      </c>
      <c r="E202" t="s">
        <v>36</v>
      </c>
      <c r="F202" t="s">
        <v>143</v>
      </c>
    </row>
    <row r="203" spans="1:6" x14ac:dyDescent="0.25">
      <c r="A203">
        <v>20210401</v>
      </c>
      <c r="B203" t="str">
        <f>"136839"</f>
        <v>136839</v>
      </c>
      <c r="C203" t="s">
        <v>181</v>
      </c>
      <c r="D203" s="3">
        <v>60</v>
      </c>
      <c r="E203" t="s">
        <v>182</v>
      </c>
      <c r="F203" t="s">
        <v>134</v>
      </c>
    </row>
    <row r="204" spans="1:6" x14ac:dyDescent="0.25">
      <c r="A204">
        <v>20210401</v>
      </c>
      <c r="B204" t="str">
        <f>"136840"</f>
        <v>136840</v>
      </c>
      <c r="C204" t="s">
        <v>183</v>
      </c>
      <c r="D204" s="3">
        <v>216.26</v>
      </c>
      <c r="E204" t="s">
        <v>36</v>
      </c>
      <c r="F204" t="s">
        <v>134</v>
      </c>
    </row>
    <row r="205" spans="1:6" x14ac:dyDescent="0.25">
      <c r="A205">
        <v>20210401</v>
      </c>
      <c r="B205" t="str">
        <f>"136841"</f>
        <v>136841</v>
      </c>
      <c r="C205" t="s">
        <v>184</v>
      </c>
      <c r="D205" s="3">
        <v>200</v>
      </c>
      <c r="E205" t="s">
        <v>185</v>
      </c>
      <c r="F205" t="s">
        <v>134</v>
      </c>
    </row>
    <row r="206" spans="1:6" x14ac:dyDescent="0.25">
      <c r="A206">
        <v>20210401</v>
      </c>
      <c r="B206" t="str">
        <f>"136842"</f>
        <v>136842</v>
      </c>
      <c r="C206" t="s">
        <v>186</v>
      </c>
      <c r="D206" s="3">
        <v>4200</v>
      </c>
      <c r="E206" t="s">
        <v>187</v>
      </c>
      <c r="F206" t="s">
        <v>134</v>
      </c>
    </row>
    <row r="207" spans="1:6" x14ac:dyDescent="0.25">
      <c r="A207">
        <v>20210401</v>
      </c>
      <c r="B207" t="str">
        <f>"136842"</f>
        <v>136842</v>
      </c>
      <c r="C207" t="s">
        <v>186</v>
      </c>
      <c r="D207" s="3">
        <v>400</v>
      </c>
      <c r="E207" t="s">
        <v>188</v>
      </c>
      <c r="F207" t="s">
        <v>134</v>
      </c>
    </row>
    <row r="208" spans="1:6" x14ac:dyDescent="0.25">
      <c r="A208">
        <v>20210401</v>
      </c>
      <c r="B208" t="str">
        <f>"136843"</f>
        <v>136843</v>
      </c>
      <c r="C208" t="s">
        <v>189</v>
      </c>
      <c r="D208" s="3">
        <v>250</v>
      </c>
      <c r="E208" t="s">
        <v>190</v>
      </c>
      <c r="F208" t="s">
        <v>191</v>
      </c>
    </row>
    <row r="209" spans="1:6" x14ac:dyDescent="0.25">
      <c r="A209">
        <v>20210401</v>
      </c>
      <c r="B209" t="str">
        <f>"136844"</f>
        <v>136844</v>
      </c>
      <c r="C209" t="s">
        <v>192</v>
      </c>
      <c r="D209" s="3">
        <v>475</v>
      </c>
      <c r="E209" t="s">
        <v>193</v>
      </c>
      <c r="F209" t="s">
        <v>134</v>
      </c>
    </row>
    <row r="210" spans="1:6" x14ac:dyDescent="0.25">
      <c r="A210">
        <v>20210401</v>
      </c>
      <c r="B210" t="str">
        <f>"136845"</f>
        <v>136845</v>
      </c>
      <c r="C210" t="s">
        <v>69</v>
      </c>
      <c r="D210" s="3">
        <v>1141.6500000000001</v>
      </c>
      <c r="E210" t="s">
        <v>45</v>
      </c>
      <c r="F210" t="s">
        <v>143</v>
      </c>
    </row>
    <row r="211" spans="1:6" x14ac:dyDescent="0.25">
      <c r="A211">
        <v>20210401</v>
      </c>
      <c r="B211" t="str">
        <f>"136846"</f>
        <v>136846</v>
      </c>
      <c r="C211" t="s">
        <v>194</v>
      </c>
      <c r="D211" s="3">
        <v>3885.38</v>
      </c>
      <c r="E211" t="s">
        <v>165</v>
      </c>
      <c r="F211" t="s">
        <v>134</v>
      </c>
    </row>
    <row r="212" spans="1:6" x14ac:dyDescent="0.25">
      <c r="A212">
        <v>20210401</v>
      </c>
      <c r="B212" t="str">
        <f>"136847"</f>
        <v>136847</v>
      </c>
      <c r="C212" t="s">
        <v>195</v>
      </c>
      <c r="D212" s="3">
        <v>308</v>
      </c>
      <c r="E212" t="s">
        <v>36</v>
      </c>
      <c r="F212" t="s">
        <v>134</v>
      </c>
    </row>
    <row r="213" spans="1:6" x14ac:dyDescent="0.25">
      <c r="A213">
        <v>20210401</v>
      </c>
      <c r="B213" t="str">
        <f>"136848"</f>
        <v>136848</v>
      </c>
      <c r="C213" t="s">
        <v>196</v>
      </c>
      <c r="D213" s="3">
        <v>1250</v>
      </c>
      <c r="E213" t="s">
        <v>197</v>
      </c>
      <c r="F213" t="s">
        <v>143</v>
      </c>
    </row>
    <row r="214" spans="1:6" x14ac:dyDescent="0.25">
      <c r="A214">
        <v>20210401</v>
      </c>
      <c r="B214" t="str">
        <f>"136848"</f>
        <v>136848</v>
      </c>
      <c r="C214" t="s">
        <v>196</v>
      </c>
      <c r="D214" s="3">
        <v>1375</v>
      </c>
      <c r="E214" t="s">
        <v>197</v>
      </c>
      <c r="F214" t="s">
        <v>143</v>
      </c>
    </row>
    <row r="215" spans="1:6" x14ac:dyDescent="0.25">
      <c r="A215">
        <v>20210401</v>
      </c>
      <c r="B215" t="str">
        <f>"136849"</f>
        <v>136849</v>
      </c>
      <c r="C215" t="s">
        <v>198</v>
      </c>
      <c r="D215" s="3">
        <v>4518</v>
      </c>
      <c r="E215" t="s">
        <v>199</v>
      </c>
      <c r="F215" t="s">
        <v>134</v>
      </c>
    </row>
    <row r="216" spans="1:6" x14ac:dyDescent="0.25">
      <c r="A216">
        <v>20210401</v>
      </c>
      <c r="B216" t="str">
        <f>"136849"</f>
        <v>136849</v>
      </c>
      <c r="C216" t="s">
        <v>198</v>
      </c>
      <c r="D216" s="3">
        <v>6162</v>
      </c>
      <c r="E216" t="s">
        <v>200</v>
      </c>
      <c r="F216" t="s">
        <v>134</v>
      </c>
    </row>
    <row r="217" spans="1:6" x14ac:dyDescent="0.25">
      <c r="A217">
        <v>20210401</v>
      </c>
      <c r="B217" t="str">
        <f>"136850"</f>
        <v>136850</v>
      </c>
      <c r="C217" t="s">
        <v>201</v>
      </c>
      <c r="D217" s="3">
        <v>1188.94</v>
      </c>
      <c r="E217" t="s">
        <v>202</v>
      </c>
      <c r="F217" t="s">
        <v>134</v>
      </c>
    </row>
    <row r="218" spans="1:6" x14ac:dyDescent="0.25">
      <c r="A218">
        <v>20210401</v>
      </c>
      <c r="B218" t="str">
        <f>"136851"</f>
        <v>136851</v>
      </c>
      <c r="C218" t="s">
        <v>203</v>
      </c>
      <c r="D218" s="3">
        <v>205.99</v>
      </c>
      <c r="E218" t="s">
        <v>204</v>
      </c>
      <c r="F218" t="s">
        <v>134</v>
      </c>
    </row>
    <row r="219" spans="1:6" x14ac:dyDescent="0.25">
      <c r="A219">
        <v>20210401</v>
      </c>
      <c r="B219" t="str">
        <f>"136852"</f>
        <v>136852</v>
      </c>
      <c r="C219" t="s">
        <v>205</v>
      </c>
      <c r="D219" s="3">
        <v>925</v>
      </c>
      <c r="E219" t="s">
        <v>206</v>
      </c>
      <c r="F219" t="s">
        <v>143</v>
      </c>
    </row>
    <row r="220" spans="1:6" x14ac:dyDescent="0.25">
      <c r="A220">
        <v>20210401</v>
      </c>
      <c r="B220" t="str">
        <f>"136853"</f>
        <v>136853</v>
      </c>
      <c r="C220" t="s">
        <v>207</v>
      </c>
      <c r="D220" s="3">
        <v>160503.60999999999</v>
      </c>
      <c r="E220" t="s">
        <v>208</v>
      </c>
      <c r="F220" t="s">
        <v>134</v>
      </c>
    </row>
    <row r="221" spans="1:6" x14ac:dyDescent="0.25">
      <c r="A221">
        <v>20210401</v>
      </c>
      <c r="B221" t="str">
        <f>"136853"</f>
        <v>136853</v>
      </c>
      <c r="C221" t="s">
        <v>207</v>
      </c>
      <c r="D221" s="3">
        <v>10439.26</v>
      </c>
      <c r="E221" t="s">
        <v>209</v>
      </c>
      <c r="F221" t="s">
        <v>134</v>
      </c>
    </row>
    <row r="222" spans="1:6" x14ac:dyDescent="0.25">
      <c r="A222">
        <v>20210401</v>
      </c>
      <c r="B222" t="str">
        <f>"136854"</f>
        <v>136854</v>
      </c>
      <c r="C222" t="s">
        <v>210</v>
      </c>
      <c r="D222" s="3">
        <v>2707</v>
      </c>
      <c r="E222" t="s">
        <v>211</v>
      </c>
      <c r="F222" t="s">
        <v>134</v>
      </c>
    </row>
    <row r="223" spans="1:6" x14ac:dyDescent="0.25">
      <c r="A223">
        <v>20210401</v>
      </c>
      <c r="B223" t="str">
        <f>"136855"</f>
        <v>136855</v>
      </c>
      <c r="C223" t="s">
        <v>212</v>
      </c>
      <c r="D223" s="3">
        <v>207.09</v>
      </c>
      <c r="E223" t="s">
        <v>36</v>
      </c>
      <c r="F223" t="s">
        <v>134</v>
      </c>
    </row>
    <row r="224" spans="1:6" x14ac:dyDescent="0.25">
      <c r="A224">
        <v>20210401</v>
      </c>
      <c r="B224" t="str">
        <f>"136855"</f>
        <v>136855</v>
      </c>
      <c r="C224" t="s">
        <v>212</v>
      </c>
      <c r="D224" s="3">
        <v>140.53</v>
      </c>
      <c r="E224" t="s">
        <v>36</v>
      </c>
      <c r="F224" t="s">
        <v>134</v>
      </c>
    </row>
    <row r="225" spans="1:6" x14ac:dyDescent="0.25">
      <c r="A225">
        <v>20210401</v>
      </c>
      <c r="B225" t="str">
        <f>"136856"</f>
        <v>136856</v>
      </c>
      <c r="C225" t="s">
        <v>213</v>
      </c>
      <c r="D225" s="3">
        <v>119.8</v>
      </c>
      <c r="E225" t="s">
        <v>41</v>
      </c>
      <c r="F225" t="s">
        <v>134</v>
      </c>
    </row>
    <row r="226" spans="1:6" x14ac:dyDescent="0.25">
      <c r="A226">
        <v>20210401</v>
      </c>
      <c r="B226" t="str">
        <f>"136857"</f>
        <v>136857</v>
      </c>
      <c r="C226" t="s">
        <v>214</v>
      </c>
      <c r="D226" s="3">
        <v>551.79999999999995</v>
      </c>
      <c r="E226" t="s">
        <v>179</v>
      </c>
      <c r="F226" t="s">
        <v>143</v>
      </c>
    </row>
    <row r="227" spans="1:6" x14ac:dyDescent="0.25">
      <c r="A227">
        <v>20210401</v>
      </c>
      <c r="B227" t="str">
        <f>"136858"</f>
        <v>136858</v>
      </c>
      <c r="C227" t="s">
        <v>215</v>
      </c>
      <c r="D227" s="3">
        <v>2900</v>
      </c>
      <c r="E227" t="s">
        <v>157</v>
      </c>
      <c r="F227" t="s">
        <v>134</v>
      </c>
    </row>
    <row r="228" spans="1:6" x14ac:dyDescent="0.25">
      <c r="A228">
        <v>20210401</v>
      </c>
      <c r="B228" t="str">
        <f t="shared" ref="B228:B238" si="4">"136859"</f>
        <v>136859</v>
      </c>
      <c r="C228" t="s">
        <v>216</v>
      </c>
      <c r="D228" s="3">
        <v>856.88</v>
      </c>
      <c r="E228" t="s">
        <v>217</v>
      </c>
      <c r="F228" t="s">
        <v>218</v>
      </c>
    </row>
    <row r="229" spans="1:6" x14ac:dyDescent="0.25">
      <c r="A229">
        <v>20210401</v>
      </c>
      <c r="B229" t="str">
        <f t="shared" si="4"/>
        <v>136859</v>
      </c>
      <c r="C229" t="s">
        <v>216</v>
      </c>
      <c r="D229" s="3">
        <v>460.82</v>
      </c>
      <c r="E229" t="s">
        <v>36</v>
      </c>
      <c r="F229" t="s">
        <v>218</v>
      </c>
    </row>
    <row r="230" spans="1:6" x14ac:dyDescent="0.25">
      <c r="A230">
        <v>20210401</v>
      </c>
      <c r="B230" t="str">
        <f t="shared" si="4"/>
        <v>136859</v>
      </c>
      <c r="C230" t="s">
        <v>216</v>
      </c>
      <c r="D230" s="3">
        <v>268.3</v>
      </c>
      <c r="E230" t="s">
        <v>36</v>
      </c>
      <c r="F230" t="s">
        <v>218</v>
      </c>
    </row>
    <row r="231" spans="1:6" x14ac:dyDescent="0.25">
      <c r="A231">
        <v>20210401</v>
      </c>
      <c r="B231" t="str">
        <f t="shared" si="4"/>
        <v>136859</v>
      </c>
      <c r="C231" t="s">
        <v>216</v>
      </c>
      <c r="D231" s="3">
        <v>155.15</v>
      </c>
      <c r="E231" t="s">
        <v>36</v>
      </c>
      <c r="F231" t="s">
        <v>218</v>
      </c>
    </row>
    <row r="232" spans="1:6" x14ac:dyDescent="0.25">
      <c r="A232">
        <v>20210401</v>
      </c>
      <c r="B232" t="str">
        <f t="shared" si="4"/>
        <v>136859</v>
      </c>
      <c r="C232" t="s">
        <v>216</v>
      </c>
      <c r="D232" s="3">
        <v>462.56</v>
      </c>
      <c r="E232" t="s">
        <v>36</v>
      </c>
      <c r="F232" t="s">
        <v>218</v>
      </c>
    </row>
    <row r="233" spans="1:6" x14ac:dyDescent="0.25">
      <c r="A233">
        <v>20210401</v>
      </c>
      <c r="B233" t="str">
        <f t="shared" si="4"/>
        <v>136859</v>
      </c>
      <c r="C233" t="s">
        <v>216</v>
      </c>
      <c r="D233" s="3">
        <v>406.69</v>
      </c>
      <c r="E233" t="s">
        <v>36</v>
      </c>
      <c r="F233" t="s">
        <v>218</v>
      </c>
    </row>
    <row r="234" spans="1:6" x14ac:dyDescent="0.25">
      <c r="A234">
        <v>20210401</v>
      </c>
      <c r="B234" t="str">
        <f t="shared" si="4"/>
        <v>136859</v>
      </c>
      <c r="C234" t="s">
        <v>216</v>
      </c>
      <c r="D234" s="3">
        <v>502.16</v>
      </c>
      <c r="E234" t="s">
        <v>36</v>
      </c>
      <c r="F234" t="s">
        <v>218</v>
      </c>
    </row>
    <row r="235" spans="1:6" x14ac:dyDescent="0.25">
      <c r="A235">
        <v>20210401</v>
      </c>
      <c r="B235" t="str">
        <f t="shared" si="4"/>
        <v>136859</v>
      </c>
      <c r="C235" t="s">
        <v>216</v>
      </c>
      <c r="D235" s="3">
        <v>1117.83</v>
      </c>
      <c r="E235" t="s">
        <v>36</v>
      </c>
      <c r="F235" t="s">
        <v>218</v>
      </c>
    </row>
    <row r="236" spans="1:6" x14ac:dyDescent="0.25">
      <c r="A236">
        <v>20210401</v>
      </c>
      <c r="B236" t="str">
        <f t="shared" si="4"/>
        <v>136859</v>
      </c>
      <c r="C236" t="s">
        <v>216</v>
      </c>
      <c r="D236" s="3">
        <v>57.66</v>
      </c>
      <c r="E236" t="s">
        <v>36</v>
      </c>
      <c r="F236" t="s">
        <v>218</v>
      </c>
    </row>
    <row r="237" spans="1:6" x14ac:dyDescent="0.25">
      <c r="A237">
        <v>20210401</v>
      </c>
      <c r="B237" t="str">
        <f t="shared" si="4"/>
        <v>136859</v>
      </c>
      <c r="C237" t="s">
        <v>216</v>
      </c>
      <c r="D237" s="3">
        <v>864.59</v>
      </c>
      <c r="E237" t="s">
        <v>36</v>
      </c>
      <c r="F237" t="s">
        <v>218</v>
      </c>
    </row>
    <row r="238" spans="1:6" x14ac:dyDescent="0.25">
      <c r="A238">
        <v>20210401</v>
      </c>
      <c r="B238" t="str">
        <f t="shared" si="4"/>
        <v>136859</v>
      </c>
      <c r="C238" t="s">
        <v>216</v>
      </c>
      <c r="D238" s="3">
        <v>57.66</v>
      </c>
      <c r="E238" t="s">
        <v>36</v>
      </c>
      <c r="F238" t="s">
        <v>218</v>
      </c>
    </row>
    <row r="239" spans="1:6" x14ac:dyDescent="0.25">
      <c r="A239">
        <v>20210401</v>
      </c>
      <c r="B239" t="str">
        <f t="shared" ref="B239:B244" si="5">"136860"</f>
        <v>136860</v>
      </c>
      <c r="C239" t="s">
        <v>219</v>
      </c>
      <c r="D239" s="3">
        <v>160</v>
      </c>
      <c r="E239" t="s">
        <v>36</v>
      </c>
      <c r="F239" t="s">
        <v>218</v>
      </c>
    </row>
    <row r="240" spans="1:6" x14ac:dyDescent="0.25">
      <c r="A240">
        <v>20210401</v>
      </c>
      <c r="B240" t="str">
        <f t="shared" si="5"/>
        <v>136860</v>
      </c>
      <c r="C240" t="s">
        <v>219</v>
      </c>
      <c r="D240" s="3">
        <v>148.35</v>
      </c>
      <c r="E240" t="s">
        <v>36</v>
      </c>
      <c r="F240" t="s">
        <v>218</v>
      </c>
    </row>
    <row r="241" spans="1:6" x14ac:dyDescent="0.25">
      <c r="A241">
        <v>20210401</v>
      </c>
      <c r="B241" t="str">
        <f t="shared" si="5"/>
        <v>136860</v>
      </c>
      <c r="C241" t="s">
        <v>219</v>
      </c>
      <c r="D241" s="3">
        <v>160</v>
      </c>
      <c r="E241" t="s">
        <v>36</v>
      </c>
      <c r="F241" t="s">
        <v>218</v>
      </c>
    </row>
    <row r="242" spans="1:6" x14ac:dyDescent="0.25">
      <c r="A242">
        <v>20210401</v>
      </c>
      <c r="B242" t="str">
        <f t="shared" si="5"/>
        <v>136860</v>
      </c>
      <c r="C242" t="s">
        <v>219</v>
      </c>
      <c r="D242" s="3">
        <v>150.9</v>
      </c>
      <c r="E242" t="s">
        <v>36</v>
      </c>
      <c r="F242" t="s">
        <v>218</v>
      </c>
    </row>
    <row r="243" spans="1:6" x14ac:dyDescent="0.25">
      <c r="A243">
        <v>20210401</v>
      </c>
      <c r="B243" t="str">
        <f t="shared" si="5"/>
        <v>136860</v>
      </c>
      <c r="C243" t="s">
        <v>219</v>
      </c>
      <c r="D243" s="3">
        <v>195</v>
      </c>
      <c r="E243" t="s">
        <v>36</v>
      </c>
      <c r="F243" t="s">
        <v>218</v>
      </c>
    </row>
    <row r="244" spans="1:6" x14ac:dyDescent="0.25">
      <c r="A244">
        <v>20210401</v>
      </c>
      <c r="B244" t="str">
        <f t="shared" si="5"/>
        <v>136860</v>
      </c>
      <c r="C244" t="s">
        <v>219</v>
      </c>
      <c r="D244" s="3">
        <v>86.13</v>
      </c>
      <c r="E244" t="s">
        <v>220</v>
      </c>
      <c r="F244" t="s">
        <v>218</v>
      </c>
    </row>
    <row r="245" spans="1:6" x14ac:dyDescent="0.25">
      <c r="A245">
        <v>20210401</v>
      </c>
      <c r="B245" t="str">
        <f>"136861"</f>
        <v>136861</v>
      </c>
      <c r="C245" t="s">
        <v>221</v>
      </c>
      <c r="D245" s="3">
        <v>32276</v>
      </c>
      <c r="E245" t="s">
        <v>222</v>
      </c>
      <c r="F245" t="s">
        <v>134</v>
      </c>
    </row>
    <row r="246" spans="1:6" x14ac:dyDescent="0.25">
      <c r="A246">
        <v>20210401</v>
      </c>
      <c r="B246" t="str">
        <f>"136862"</f>
        <v>136862</v>
      </c>
      <c r="C246" t="s">
        <v>223</v>
      </c>
      <c r="D246" s="3">
        <v>135</v>
      </c>
      <c r="E246" t="s">
        <v>224</v>
      </c>
      <c r="F246" t="s">
        <v>134</v>
      </c>
    </row>
    <row r="247" spans="1:6" x14ac:dyDescent="0.25">
      <c r="A247">
        <v>20210401</v>
      </c>
      <c r="B247" t="str">
        <f>"136863"</f>
        <v>136863</v>
      </c>
      <c r="C247" t="s">
        <v>225</v>
      </c>
      <c r="D247" s="3">
        <v>120</v>
      </c>
      <c r="E247" t="s">
        <v>226</v>
      </c>
      <c r="F247" t="s">
        <v>134</v>
      </c>
    </row>
    <row r="248" spans="1:6" x14ac:dyDescent="0.25">
      <c r="A248">
        <v>20210401</v>
      </c>
      <c r="B248" t="str">
        <f>"136864"</f>
        <v>136864</v>
      </c>
      <c r="C248" t="s">
        <v>227</v>
      </c>
      <c r="D248" s="3">
        <v>1445</v>
      </c>
      <c r="E248" t="s">
        <v>228</v>
      </c>
      <c r="F248" t="s">
        <v>34</v>
      </c>
    </row>
    <row r="249" spans="1:6" x14ac:dyDescent="0.25">
      <c r="A249">
        <v>20210401</v>
      </c>
      <c r="B249" t="str">
        <f>"136865"</f>
        <v>136865</v>
      </c>
      <c r="C249" t="s">
        <v>229</v>
      </c>
      <c r="D249" s="3">
        <v>1078.28</v>
      </c>
      <c r="E249" t="s">
        <v>230</v>
      </c>
      <c r="F249" t="s">
        <v>134</v>
      </c>
    </row>
    <row r="250" spans="1:6" x14ac:dyDescent="0.25">
      <c r="A250">
        <v>20210401</v>
      </c>
      <c r="B250" t="str">
        <f>"136865"</f>
        <v>136865</v>
      </c>
      <c r="C250" t="s">
        <v>229</v>
      </c>
      <c r="D250" s="3">
        <v>169.69</v>
      </c>
      <c r="E250" t="s">
        <v>230</v>
      </c>
      <c r="F250" t="s">
        <v>134</v>
      </c>
    </row>
    <row r="251" spans="1:6" x14ac:dyDescent="0.25">
      <c r="A251">
        <v>20210401</v>
      </c>
      <c r="B251" t="str">
        <f>"136865"</f>
        <v>136865</v>
      </c>
      <c r="C251" t="s">
        <v>229</v>
      </c>
      <c r="D251" s="3">
        <v>1857.73</v>
      </c>
      <c r="E251" t="s">
        <v>230</v>
      </c>
      <c r="F251" t="s">
        <v>134</v>
      </c>
    </row>
    <row r="252" spans="1:6" x14ac:dyDescent="0.25">
      <c r="A252">
        <v>20210401</v>
      </c>
      <c r="B252" t="str">
        <f t="shared" ref="B252:B264" si="6">"136866"</f>
        <v>136866</v>
      </c>
      <c r="C252" t="s">
        <v>70</v>
      </c>
      <c r="D252" s="3">
        <v>45</v>
      </c>
      <c r="E252" t="s">
        <v>56</v>
      </c>
      <c r="F252" t="s">
        <v>134</v>
      </c>
    </row>
    <row r="253" spans="1:6" x14ac:dyDescent="0.25">
      <c r="A253">
        <v>20210401</v>
      </c>
      <c r="B253" t="str">
        <f t="shared" si="6"/>
        <v>136866</v>
      </c>
      <c r="C253" t="s">
        <v>70</v>
      </c>
      <c r="D253" s="3">
        <v>44</v>
      </c>
      <c r="E253" t="s">
        <v>56</v>
      </c>
      <c r="F253" t="s">
        <v>134</v>
      </c>
    </row>
    <row r="254" spans="1:6" x14ac:dyDescent="0.25">
      <c r="A254">
        <v>20210401</v>
      </c>
      <c r="B254" t="str">
        <f t="shared" si="6"/>
        <v>136866</v>
      </c>
      <c r="C254" t="s">
        <v>70</v>
      </c>
      <c r="D254" s="3">
        <v>192</v>
      </c>
      <c r="E254" t="s">
        <v>56</v>
      </c>
      <c r="F254" t="s">
        <v>134</v>
      </c>
    </row>
    <row r="255" spans="1:6" x14ac:dyDescent="0.25">
      <c r="A255">
        <v>20210401</v>
      </c>
      <c r="B255" t="str">
        <f t="shared" si="6"/>
        <v>136866</v>
      </c>
      <c r="C255" t="s">
        <v>70</v>
      </c>
      <c r="D255" s="3">
        <v>498</v>
      </c>
      <c r="E255" t="s">
        <v>56</v>
      </c>
      <c r="F255" t="s">
        <v>134</v>
      </c>
    </row>
    <row r="256" spans="1:6" x14ac:dyDescent="0.25">
      <c r="A256">
        <v>20210401</v>
      </c>
      <c r="B256" t="str">
        <f t="shared" si="6"/>
        <v>136866</v>
      </c>
      <c r="C256" t="s">
        <v>70</v>
      </c>
      <c r="D256" s="3">
        <v>540</v>
      </c>
      <c r="E256" t="s">
        <v>56</v>
      </c>
      <c r="F256" t="s">
        <v>134</v>
      </c>
    </row>
    <row r="257" spans="1:6" x14ac:dyDescent="0.25">
      <c r="A257">
        <v>20210401</v>
      </c>
      <c r="B257" t="str">
        <f t="shared" si="6"/>
        <v>136866</v>
      </c>
      <c r="C257" t="s">
        <v>70</v>
      </c>
      <c r="D257" s="3">
        <v>240</v>
      </c>
      <c r="E257" t="s">
        <v>56</v>
      </c>
      <c r="F257" t="s">
        <v>134</v>
      </c>
    </row>
    <row r="258" spans="1:6" x14ac:dyDescent="0.25">
      <c r="A258">
        <v>20210401</v>
      </c>
      <c r="B258" t="str">
        <f t="shared" si="6"/>
        <v>136866</v>
      </c>
      <c r="C258" t="s">
        <v>70</v>
      </c>
      <c r="D258" s="3">
        <v>130</v>
      </c>
      <c r="E258" t="s">
        <v>56</v>
      </c>
      <c r="F258" t="s">
        <v>134</v>
      </c>
    </row>
    <row r="259" spans="1:6" x14ac:dyDescent="0.25">
      <c r="A259">
        <v>20210401</v>
      </c>
      <c r="B259" t="str">
        <f t="shared" si="6"/>
        <v>136866</v>
      </c>
      <c r="C259" t="s">
        <v>70</v>
      </c>
      <c r="D259" s="3">
        <v>12</v>
      </c>
      <c r="E259" t="s">
        <v>56</v>
      </c>
      <c r="F259" t="s">
        <v>134</v>
      </c>
    </row>
    <row r="260" spans="1:6" x14ac:dyDescent="0.25">
      <c r="A260">
        <v>20210401</v>
      </c>
      <c r="B260" t="str">
        <f t="shared" si="6"/>
        <v>136866</v>
      </c>
      <c r="C260" t="s">
        <v>70</v>
      </c>
      <c r="D260" s="3">
        <v>40</v>
      </c>
      <c r="E260" t="s">
        <v>56</v>
      </c>
      <c r="F260" t="s">
        <v>134</v>
      </c>
    </row>
    <row r="261" spans="1:6" x14ac:dyDescent="0.25">
      <c r="A261">
        <v>20210401</v>
      </c>
      <c r="B261" t="str">
        <f t="shared" si="6"/>
        <v>136866</v>
      </c>
      <c r="C261" t="s">
        <v>70</v>
      </c>
      <c r="D261" s="3">
        <v>56</v>
      </c>
      <c r="E261" t="s">
        <v>56</v>
      </c>
      <c r="F261" t="s">
        <v>134</v>
      </c>
    </row>
    <row r="262" spans="1:6" x14ac:dyDescent="0.25">
      <c r="A262">
        <v>20210401</v>
      </c>
      <c r="B262" t="str">
        <f t="shared" si="6"/>
        <v>136866</v>
      </c>
      <c r="C262" t="s">
        <v>70</v>
      </c>
      <c r="D262" s="3">
        <v>432</v>
      </c>
      <c r="E262" t="s">
        <v>56</v>
      </c>
      <c r="F262" t="s">
        <v>134</v>
      </c>
    </row>
    <row r="263" spans="1:6" x14ac:dyDescent="0.25">
      <c r="A263">
        <v>20210401</v>
      </c>
      <c r="B263" t="str">
        <f t="shared" si="6"/>
        <v>136866</v>
      </c>
      <c r="C263" t="s">
        <v>70</v>
      </c>
      <c r="D263" s="3">
        <v>432</v>
      </c>
      <c r="E263" t="s">
        <v>56</v>
      </c>
      <c r="F263" t="s">
        <v>134</v>
      </c>
    </row>
    <row r="264" spans="1:6" x14ac:dyDescent="0.25">
      <c r="A264">
        <v>20210401</v>
      </c>
      <c r="B264" t="str">
        <f t="shared" si="6"/>
        <v>136866</v>
      </c>
      <c r="C264" t="s">
        <v>70</v>
      </c>
      <c r="D264" s="3">
        <v>60</v>
      </c>
      <c r="E264" t="s">
        <v>56</v>
      </c>
      <c r="F264" t="s">
        <v>134</v>
      </c>
    </row>
    <row r="265" spans="1:6" x14ac:dyDescent="0.25">
      <c r="A265">
        <v>20210401</v>
      </c>
      <c r="B265" t="str">
        <f>"136867"</f>
        <v>136867</v>
      </c>
      <c r="C265" t="s">
        <v>231</v>
      </c>
      <c r="D265" s="3">
        <v>3795</v>
      </c>
      <c r="E265" t="s">
        <v>36</v>
      </c>
      <c r="F265" t="s">
        <v>134</v>
      </c>
    </row>
    <row r="266" spans="1:6" x14ac:dyDescent="0.25">
      <c r="A266">
        <v>20210401</v>
      </c>
      <c r="B266" t="str">
        <f>"136868"</f>
        <v>136868</v>
      </c>
      <c r="C266" t="s">
        <v>232</v>
      </c>
      <c r="D266" s="3">
        <v>45.07</v>
      </c>
      <c r="E266" t="s">
        <v>233</v>
      </c>
      <c r="F266" t="s">
        <v>134</v>
      </c>
    </row>
    <row r="267" spans="1:6" x14ac:dyDescent="0.25">
      <c r="A267">
        <v>20210401</v>
      </c>
      <c r="B267" t="str">
        <f>"136869"</f>
        <v>136869</v>
      </c>
      <c r="C267" t="s">
        <v>47</v>
      </c>
      <c r="D267" s="3">
        <v>400</v>
      </c>
      <c r="E267" t="s">
        <v>234</v>
      </c>
      <c r="F267" t="s">
        <v>143</v>
      </c>
    </row>
    <row r="268" spans="1:6" x14ac:dyDescent="0.25">
      <c r="A268">
        <v>20210401</v>
      </c>
      <c r="B268" t="str">
        <f>"136870"</f>
        <v>136870</v>
      </c>
      <c r="C268" t="s">
        <v>47</v>
      </c>
      <c r="D268" s="3">
        <v>300</v>
      </c>
      <c r="E268" t="s">
        <v>234</v>
      </c>
      <c r="F268" t="s">
        <v>143</v>
      </c>
    </row>
    <row r="269" spans="1:6" x14ac:dyDescent="0.25">
      <c r="A269">
        <v>20210401</v>
      </c>
      <c r="B269" t="str">
        <f>"136871"</f>
        <v>136871</v>
      </c>
      <c r="C269" t="s">
        <v>47</v>
      </c>
      <c r="D269" s="3">
        <v>400</v>
      </c>
      <c r="E269" t="s">
        <v>234</v>
      </c>
      <c r="F269" t="s">
        <v>143</v>
      </c>
    </row>
    <row r="270" spans="1:6" x14ac:dyDescent="0.25">
      <c r="A270">
        <v>20210401</v>
      </c>
      <c r="B270" t="str">
        <f>"136872"</f>
        <v>136872</v>
      </c>
      <c r="C270" t="s">
        <v>47</v>
      </c>
      <c r="D270" s="3">
        <v>300</v>
      </c>
      <c r="E270" t="s">
        <v>234</v>
      </c>
      <c r="F270" t="s">
        <v>143</v>
      </c>
    </row>
    <row r="271" spans="1:6" x14ac:dyDescent="0.25">
      <c r="A271">
        <v>20210401</v>
      </c>
      <c r="B271" t="str">
        <f>"136873"</f>
        <v>136873</v>
      </c>
      <c r="C271" t="s">
        <v>47</v>
      </c>
      <c r="D271" s="3">
        <v>400</v>
      </c>
      <c r="E271" t="s">
        <v>234</v>
      </c>
      <c r="F271" t="s">
        <v>143</v>
      </c>
    </row>
    <row r="272" spans="1:6" x14ac:dyDescent="0.25">
      <c r="A272">
        <v>20210401</v>
      </c>
      <c r="B272" t="str">
        <f>"136874"</f>
        <v>136874</v>
      </c>
      <c r="C272" t="s">
        <v>47</v>
      </c>
      <c r="D272" s="3">
        <v>300</v>
      </c>
      <c r="E272" t="s">
        <v>234</v>
      </c>
      <c r="F272" t="s">
        <v>143</v>
      </c>
    </row>
    <row r="273" spans="1:6" x14ac:dyDescent="0.25">
      <c r="A273">
        <v>20210401</v>
      </c>
      <c r="B273" t="str">
        <f>"136875"</f>
        <v>136875</v>
      </c>
      <c r="C273" t="s">
        <v>47</v>
      </c>
      <c r="D273" s="3">
        <v>400</v>
      </c>
      <c r="E273" t="s">
        <v>234</v>
      </c>
      <c r="F273" t="s">
        <v>143</v>
      </c>
    </row>
    <row r="274" spans="1:6" x14ac:dyDescent="0.25">
      <c r="A274">
        <v>20210401</v>
      </c>
      <c r="B274" t="str">
        <f>"136876"</f>
        <v>136876</v>
      </c>
      <c r="C274" t="s">
        <v>47</v>
      </c>
      <c r="D274" s="3">
        <v>300</v>
      </c>
      <c r="E274" t="s">
        <v>234</v>
      </c>
      <c r="F274" t="s">
        <v>143</v>
      </c>
    </row>
    <row r="275" spans="1:6" x14ac:dyDescent="0.25">
      <c r="A275">
        <v>20210401</v>
      </c>
      <c r="B275" t="str">
        <f>"136877"</f>
        <v>136877</v>
      </c>
      <c r="C275" t="s">
        <v>47</v>
      </c>
      <c r="D275" s="3">
        <v>300</v>
      </c>
      <c r="E275" t="s">
        <v>234</v>
      </c>
      <c r="F275" t="s">
        <v>143</v>
      </c>
    </row>
    <row r="276" spans="1:6" x14ac:dyDescent="0.25">
      <c r="A276">
        <v>20210401</v>
      </c>
      <c r="B276" t="str">
        <f>"136878"</f>
        <v>136878</v>
      </c>
      <c r="C276" t="s">
        <v>47</v>
      </c>
      <c r="D276" s="3">
        <v>300</v>
      </c>
      <c r="E276" t="s">
        <v>234</v>
      </c>
      <c r="F276" t="s">
        <v>143</v>
      </c>
    </row>
    <row r="277" spans="1:6" x14ac:dyDescent="0.25">
      <c r="A277">
        <v>20210401</v>
      </c>
      <c r="B277" t="str">
        <f>"136879"</f>
        <v>136879</v>
      </c>
      <c r="C277" t="s">
        <v>47</v>
      </c>
      <c r="D277" s="3">
        <v>300</v>
      </c>
      <c r="E277" t="s">
        <v>234</v>
      </c>
      <c r="F277" t="s">
        <v>143</v>
      </c>
    </row>
    <row r="278" spans="1:6" x14ac:dyDescent="0.25">
      <c r="A278">
        <v>20210401</v>
      </c>
      <c r="B278" t="str">
        <f>"136880"</f>
        <v>136880</v>
      </c>
      <c r="C278" t="s">
        <v>47</v>
      </c>
      <c r="D278" s="3">
        <v>400</v>
      </c>
      <c r="E278" t="s">
        <v>234</v>
      </c>
      <c r="F278" t="s">
        <v>143</v>
      </c>
    </row>
    <row r="279" spans="1:6" x14ac:dyDescent="0.25">
      <c r="A279">
        <v>20210401</v>
      </c>
      <c r="B279" t="str">
        <f>"136881"</f>
        <v>136881</v>
      </c>
      <c r="C279" t="s">
        <v>47</v>
      </c>
      <c r="D279" s="3">
        <v>300</v>
      </c>
      <c r="E279" t="s">
        <v>234</v>
      </c>
      <c r="F279" t="s">
        <v>143</v>
      </c>
    </row>
    <row r="280" spans="1:6" x14ac:dyDescent="0.25">
      <c r="A280">
        <v>20210401</v>
      </c>
      <c r="B280" t="str">
        <f>"136882"</f>
        <v>136882</v>
      </c>
      <c r="C280" t="s">
        <v>47</v>
      </c>
      <c r="D280" s="3">
        <v>400</v>
      </c>
      <c r="E280" t="s">
        <v>234</v>
      </c>
      <c r="F280" t="s">
        <v>143</v>
      </c>
    </row>
    <row r="281" spans="1:6" x14ac:dyDescent="0.25">
      <c r="A281">
        <v>20210401</v>
      </c>
      <c r="B281" t="str">
        <f>"136883"</f>
        <v>136883</v>
      </c>
      <c r="C281" t="s">
        <v>47</v>
      </c>
      <c r="D281" s="3">
        <v>300</v>
      </c>
      <c r="E281" t="s">
        <v>234</v>
      </c>
      <c r="F281" t="s">
        <v>143</v>
      </c>
    </row>
    <row r="282" spans="1:6" x14ac:dyDescent="0.25">
      <c r="A282">
        <v>20210401</v>
      </c>
      <c r="B282" t="str">
        <f>"136884"</f>
        <v>136884</v>
      </c>
      <c r="C282" t="s">
        <v>47</v>
      </c>
      <c r="D282" s="3">
        <v>600</v>
      </c>
      <c r="E282" t="s">
        <v>234</v>
      </c>
      <c r="F282" t="s">
        <v>143</v>
      </c>
    </row>
    <row r="283" spans="1:6" x14ac:dyDescent="0.25">
      <c r="A283">
        <v>20210401</v>
      </c>
      <c r="B283" t="str">
        <f>"136885"</f>
        <v>136885</v>
      </c>
      <c r="C283" t="s">
        <v>47</v>
      </c>
      <c r="D283" s="3">
        <v>600</v>
      </c>
      <c r="E283" t="s">
        <v>234</v>
      </c>
      <c r="F283" t="s">
        <v>143</v>
      </c>
    </row>
    <row r="284" spans="1:6" x14ac:dyDescent="0.25">
      <c r="A284">
        <v>20210401</v>
      </c>
      <c r="B284" t="str">
        <f>"136886"</f>
        <v>136886</v>
      </c>
      <c r="C284" t="s">
        <v>47</v>
      </c>
      <c r="D284" s="3">
        <v>300</v>
      </c>
      <c r="E284" t="s">
        <v>234</v>
      </c>
      <c r="F284" t="s">
        <v>143</v>
      </c>
    </row>
    <row r="285" spans="1:6" x14ac:dyDescent="0.25">
      <c r="A285">
        <v>20210401</v>
      </c>
      <c r="B285" t="str">
        <f>"136887"</f>
        <v>136887</v>
      </c>
      <c r="C285" t="s">
        <v>47</v>
      </c>
      <c r="D285" s="3">
        <v>300</v>
      </c>
      <c r="E285" t="s">
        <v>234</v>
      </c>
      <c r="F285" t="s">
        <v>143</v>
      </c>
    </row>
    <row r="286" spans="1:6" x14ac:dyDescent="0.25">
      <c r="A286">
        <v>20210401</v>
      </c>
      <c r="B286" t="str">
        <f>"136888"</f>
        <v>136888</v>
      </c>
      <c r="C286" t="s">
        <v>47</v>
      </c>
      <c r="D286" s="3">
        <v>10</v>
      </c>
      <c r="E286" t="s">
        <v>124</v>
      </c>
      <c r="F286" t="s">
        <v>134</v>
      </c>
    </row>
    <row r="287" spans="1:6" x14ac:dyDescent="0.25">
      <c r="A287">
        <v>20210401</v>
      </c>
      <c r="B287" t="str">
        <f>"136888"</f>
        <v>136888</v>
      </c>
      <c r="C287" t="s">
        <v>47</v>
      </c>
      <c r="D287" s="3">
        <v>50</v>
      </c>
      <c r="E287" t="s">
        <v>124</v>
      </c>
      <c r="F287" t="s">
        <v>134</v>
      </c>
    </row>
    <row r="288" spans="1:6" x14ac:dyDescent="0.25">
      <c r="A288">
        <v>20210401</v>
      </c>
      <c r="B288" t="str">
        <f>"136889"</f>
        <v>136889</v>
      </c>
      <c r="C288" t="s">
        <v>47</v>
      </c>
      <c r="D288" s="3">
        <v>60</v>
      </c>
      <c r="E288" t="s">
        <v>124</v>
      </c>
      <c r="F288" t="s">
        <v>134</v>
      </c>
    </row>
    <row r="289" spans="1:6" x14ac:dyDescent="0.25">
      <c r="A289">
        <v>20210401</v>
      </c>
      <c r="B289" t="str">
        <f t="shared" ref="B289:B296" si="7">"136890"</f>
        <v>136890</v>
      </c>
      <c r="C289" t="s">
        <v>49</v>
      </c>
      <c r="D289" s="3">
        <v>118.47</v>
      </c>
      <c r="E289" t="s">
        <v>89</v>
      </c>
      <c r="F289" t="s">
        <v>134</v>
      </c>
    </row>
    <row r="290" spans="1:6" x14ac:dyDescent="0.25">
      <c r="A290">
        <v>20210401</v>
      </c>
      <c r="B290" t="str">
        <f t="shared" si="7"/>
        <v>136890</v>
      </c>
      <c r="C290" t="s">
        <v>49</v>
      </c>
      <c r="D290" s="3">
        <v>188.92</v>
      </c>
      <c r="E290" t="s">
        <v>89</v>
      </c>
      <c r="F290" t="s">
        <v>134</v>
      </c>
    </row>
    <row r="291" spans="1:6" x14ac:dyDescent="0.25">
      <c r="A291">
        <v>20210401</v>
      </c>
      <c r="B291" t="str">
        <f t="shared" si="7"/>
        <v>136890</v>
      </c>
      <c r="C291" t="s">
        <v>49</v>
      </c>
      <c r="D291" s="3">
        <v>149.88</v>
      </c>
      <c r="E291" t="s">
        <v>89</v>
      </c>
      <c r="F291" t="s">
        <v>134</v>
      </c>
    </row>
    <row r="292" spans="1:6" x14ac:dyDescent="0.25">
      <c r="A292">
        <v>20210401</v>
      </c>
      <c r="B292" t="str">
        <f t="shared" si="7"/>
        <v>136890</v>
      </c>
      <c r="C292" t="s">
        <v>49</v>
      </c>
      <c r="D292" s="3">
        <v>67.459999999999994</v>
      </c>
      <c r="E292" t="s">
        <v>89</v>
      </c>
      <c r="F292" t="s">
        <v>134</v>
      </c>
    </row>
    <row r="293" spans="1:6" x14ac:dyDescent="0.25">
      <c r="A293">
        <v>20210401</v>
      </c>
      <c r="B293" t="str">
        <f t="shared" si="7"/>
        <v>136890</v>
      </c>
      <c r="C293" t="s">
        <v>49</v>
      </c>
      <c r="D293" s="3">
        <v>182.43</v>
      </c>
      <c r="E293" t="s">
        <v>89</v>
      </c>
      <c r="F293" t="s">
        <v>134</v>
      </c>
    </row>
    <row r="294" spans="1:6" x14ac:dyDescent="0.25">
      <c r="A294">
        <v>20210401</v>
      </c>
      <c r="B294" t="str">
        <f t="shared" si="7"/>
        <v>136890</v>
      </c>
      <c r="C294" t="s">
        <v>49</v>
      </c>
      <c r="D294" s="3">
        <v>348.49</v>
      </c>
      <c r="E294" t="s">
        <v>89</v>
      </c>
      <c r="F294" t="s">
        <v>134</v>
      </c>
    </row>
    <row r="295" spans="1:6" x14ac:dyDescent="0.25">
      <c r="A295">
        <v>20210401</v>
      </c>
      <c r="B295" t="str">
        <f t="shared" si="7"/>
        <v>136890</v>
      </c>
      <c r="C295" t="s">
        <v>49</v>
      </c>
      <c r="D295" s="3">
        <v>68.7</v>
      </c>
      <c r="E295" t="s">
        <v>89</v>
      </c>
      <c r="F295" t="s">
        <v>134</v>
      </c>
    </row>
    <row r="296" spans="1:6" x14ac:dyDescent="0.25">
      <c r="A296">
        <v>20210401</v>
      </c>
      <c r="B296" t="str">
        <f t="shared" si="7"/>
        <v>136890</v>
      </c>
      <c r="C296" t="s">
        <v>49</v>
      </c>
      <c r="D296" s="3">
        <v>11.2</v>
      </c>
      <c r="E296" t="s">
        <v>36</v>
      </c>
      <c r="F296" t="s">
        <v>134</v>
      </c>
    </row>
    <row r="297" spans="1:6" x14ac:dyDescent="0.25">
      <c r="A297">
        <v>20210401</v>
      </c>
      <c r="B297" t="str">
        <f>"136891"</f>
        <v>136891</v>
      </c>
      <c r="C297" t="s">
        <v>235</v>
      </c>
      <c r="D297" s="3">
        <v>207.02</v>
      </c>
      <c r="E297" t="s">
        <v>236</v>
      </c>
      <c r="F297" t="s">
        <v>134</v>
      </c>
    </row>
    <row r="298" spans="1:6" x14ac:dyDescent="0.25">
      <c r="A298">
        <v>20210401</v>
      </c>
      <c r="B298" t="str">
        <f>"136891"</f>
        <v>136891</v>
      </c>
      <c r="C298" t="s">
        <v>235</v>
      </c>
      <c r="D298" s="3">
        <v>7.12</v>
      </c>
      <c r="E298" t="s">
        <v>236</v>
      </c>
      <c r="F298" t="s">
        <v>134</v>
      </c>
    </row>
    <row r="299" spans="1:6" x14ac:dyDescent="0.25">
      <c r="A299">
        <v>20210401</v>
      </c>
      <c r="B299" t="str">
        <f>"136892"</f>
        <v>136892</v>
      </c>
      <c r="C299" t="s">
        <v>237</v>
      </c>
      <c r="D299" s="3">
        <v>16500</v>
      </c>
      <c r="E299" t="s">
        <v>238</v>
      </c>
      <c r="F299" t="s">
        <v>239</v>
      </c>
    </row>
    <row r="300" spans="1:6" x14ac:dyDescent="0.25">
      <c r="A300">
        <v>20210401</v>
      </c>
      <c r="B300" t="str">
        <f>"136893"</f>
        <v>136893</v>
      </c>
      <c r="C300" t="s">
        <v>240</v>
      </c>
      <c r="D300" s="3">
        <v>111.21</v>
      </c>
      <c r="E300" t="s">
        <v>36</v>
      </c>
      <c r="F300" t="s">
        <v>134</v>
      </c>
    </row>
    <row r="301" spans="1:6" x14ac:dyDescent="0.25">
      <c r="A301">
        <v>20210401</v>
      </c>
      <c r="B301" t="str">
        <f>"136893"</f>
        <v>136893</v>
      </c>
      <c r="C301" t="s">
        <v>240</v>
      </c>
      <c r="D301" s="3">
        <v>597.79999999999995</v>
      </c>
      <c r="E301" t="s">
        <v>145</v>
      </c>
      <c r="F301" t="s">
        <v>134</v>
      </c>
    </row>
    <row r="302" spans="1:6" x14ac:dyDescent="0.25">
      <c r="A302">
        <v>20210401</v>
      </c>
      <c r="B302" t="str">
        <f>"136894"</f>
        <v>136894</v>
      </c>
      <c r="C302" t="s">
        <v>241</v>
      </c>
      <c r="D302" s="3">
        <v>600</v>
      </c>
      <c r="E302" t="s">
        <v>157</v>
      </c>
      <c r="F302" t="s">
        <v>134</v>
      </c>
    </row>
    <row r="303" spans="1:6" x14ac:dyDescent="0.25">
      <c r="A303">
        <v>20210401</v>
      </c>
      <c r="B303" t="str">
        <f>"136895"</f>
        <v>136895</v>
      </c>
      <c r="C303" t="s">
        <v>242</v>
      </c>
      <c r="D303" s="3">
        <v>4867.26</v>
      </c>
      <c r="E303" t="s">
        <v>243</v>
      </c>
      <c r="F303" t="s">
        <v>134</v>
      </c>
    </row>
    <row r="304" spans="1:6" x14ac:dyDescent="0.25">
      <c r="A304">
        <v>20210401</v>
      </c>
      <c r="B304" t="str">
        <f>"136895"</f>
        <v>136895</v>
      </c>
      <c r="C304" t="s">
        <v>242</v>
      </c>
      <c r="D304" s="3">
        <v>2438.5700000000002</v>
      </c>
      <c r="E304" t="s">
        <v>243</v>
      </c>
      <c r="F304" t="s">
        <v>134</v>
      </c>
    </row>
    <row r="305" spans="1:6" x14ac:dyDescent="0.25">
      <c r="A305">
        <v>20210401</v>
      </c>
      <c r="B305" t="str">
        <f>"136895"</f>
        <v>136895</v>
      </c>
      <c r="C305" t="s">
        <v>242</v>
      </c>
      <c r="D305" s="3">
        <v>1697.16</v>
      </c>
      <c r="E305" t="s">
        <v>243</v>
      </c>
      <c r="F305" t="s">
        <v>134</v>
      </c>
    </row>
    <row r="306" spans="1:6" x14ac:dyDescent="0.25">
      <c r="A306">
        <v>20210401</v>
      </c>
      <c r="B306" t="str">
        <f>"136895"</f>
        <v>136895</v>
      </c>
      <c r="C306" t="s">
        <v>242</v>
      </c>
      <c r="D306" s="3">
        <v>4023.35</v>
      </c>
      <c r="E306" t="s">
        <v>243</v>
      </c>
      <c r="F306" t="s">
        <v>134</v>
      </c>
    </row>
    <row r="307" spans="1:6" x14ac:dyDescent="0.25">
      <c r="A307">
        <v>20210401</v>
      </c>
      <c r="B307" t="str">
        <f>"136895"</f>
        <v>136895</v>
      </c>
      <c r="C307" t="s">
        <v>242</v>
      </c>
      <c r="D307" s="3">
        <v>26</v>
      </c>
      <c r="E307" t="s">
        <v>145</v>
      </c>
      <c r="F307" t="s">
        <v>134</v>
      </c>
    </row>
    <row r="308" spans="1:6" x14ac:dyDescent="0.25">
      <c r="A308">
        <v>20210401</v>
      </c>
      <c r="B308" t="str">
        <f>"136896"</f>
        <v>136896</v>
      </c>
      <c r="C308" t="s">
        <v>244</v>
      </c>
      <c r="D308" s="3">
        <v>147.1</v>
      </c>
      <c r="E308" t="s">
        <v>245</v>
      </c>
      <c r="F308" t="s">
        <v>134</v>
      </c>
    </row>
    <row r="309" spans="1:6" x14ac:dyDescent="0.25">
      <c r="A309">
        <v>20210401</v>
      </c>
      <c r="B309" t="str">
        <f>"136897"</f>
        <v>136897</v>
      </c>
      <c r="C309" t="s">
        <v>246</v>
      </c>
      <c r="D309" s="3">
        <v>87.99</v>
      </c>
      <c r="E309" t="s">
        <v>36</v>
      </c>
      <c r="F309" t="s">
        <v>134</v>
      </c>
    </row>
    <row r="310" spans="1:6" x14ac:dyDescent="0.25">
      <c r="A310">
        <v>20210401</v>
      </c>
      <c r="B310" t="str">
        <f>"136898"</f>
        <v>136898</v>
      </c>
      <c r="C310" t="s">
        <v>247</v>
      </c>
      <c r="D310" s="3">
        <v>113.97</v>
      </c>
      <c r="E310" t="s">
        <v>36</v>
      </c>
      <c r="F310" t="s">
        <v>134</v>
      </c>
    </row>
    <row r="311" spans="1:6" x14ac:dyDescent="0.25">
      <c r="A311">
        <v>20210401</v>
      </c>
      <c r="B311" t="str">
        <f>"136898"</f>
        <v>136898</v>
      </c>
      <c r="C311" t="s">
        <v>247</v>
      </c>
      <c r="D311" s="3">
        <v>80.5</v>
      </c>
      <c r="E311" t="s">
        <v>248</v>
      </c>
      <c r="F311" t="s">
        <v>134</v>
      </c>
    </row>
    <row r="312" spans="1:6" x14ac:dyDescent="0.25">
      <c r="A312">
        <v>20210401</v>
      </c>
      <c r="B312" t="str">
        <f>"136898"</f>
        <v>136898</v>
      </c>
      <c r="C312" t="s">
        <v>247</v>
      </c>
      <c r="D312" s="3">
        <v>465.44</v>
      </c>
      <c r="E312" t="s">
        <v>248</v>
      </c>
      <c r="F312" t="s">
        <v>134</v>
      </c>
    </row>
    <row r="313" spans="1:6" x14ac:dyDescent="0.25">
      <c r="A313">
        <v>20210401</v>
      </c>
      <c r="B313" t="str">
        <f>"136899"</f>
        <v>136899</v>
      </c>
      <c r="C313" t="s">
        <v>249</v>
      </c>
      <c r="D313" s="3">
        <v>1322.5</v>
      </c>
      <c r="E313" t="s">
        <v>250</v>
      </c>
      <c r="F313" t="s">
        <v>134</v>
      </c>
    </row>
    <row r="314" spans="1:6" x14ac:dyDescent="0.25">
      <c r="A314">
        <v>20210401</v>
      </c>
      <c r="B314" t="str">
        <f>"136900"</f>
        <v>136900</v>
      </c>
      <c r="C314" t="s">
        <v>251</v>
      </c>
      <c r="D314" s="3">
        <v>70</v>
      </c>
      <c r="E314" t="s">
        <v>172</v>
      </c>
      <c r="F314" t="s">
        <v>143</v>
      </c>
    </row>
    <row r="315" spans="1:6" x14ac:dyDescent="0.25">
      <c r="A315">
        <v>20210401</v>
      </c>
      <c r="B315" t="str">
        <f>"136901"</f>
        <v>136901</v>
      </c>
      <c r="C315" t="s">
        <v>252</v>
      </c>
      <c r="D315" s="3">
        <v>3000</v>
      </c>
      <c r="E315" t="s">
        <v>149</v>
      </c>
      <c r="F315" t="s">
        <v>134</v>
      </c>
    </row>
    <row r="316" spans="1:6" x14ac:dyDescent="0.25">
      <c r="A316">
        <v>20210401</v>
      </c>
      <c r="B316" t="str">
        <f>"136902"</f>
        <v>136902</v>
      </c>
      <c r="C316" t="s">
        <v>253</v>
      </c>
      <c r="D316" s="3">
        <v>388.75</v>
      </c>
      <c r="E316" t="s">
        <v>36</v>
      </c>
      <c r="F316" t="s">
        <v>134</v>
      </c>
    </row>
    <row r="317" spans="1:6" x14ac:dyDescent="0.25">
      <c r="A317">
        <v>20210401</v>
      </c>
      <c r="B317" t="str">
        <f>"136902"</f>
        <v>136902</v>
      </c>
      <c r="C317" t="s">
        <v>253</v>
      </c>
      <c r="D317" s="3">
        <v>17.989999999999998</v>
      </c>
      <c r="E317" t="s">
        <v>254</v>
      </c>
      <c r="F317" t="s">
        <v>134</v>
      </c>
    </row>
    <row r="318" spans="1:6" x14ac:dyDescent="0.25">
      <c r="A318">
        <v>20210401</v>
      </c>
      <c r="B318" t="str">
        <f>"136903"</f>
        <v>136903</v>
      </c>
      <c r="C318" t="s">
        <v>255</v>
      </c>
      <c r="D318" s="3">
        <v>340</v>
      </c>
      <c r="E318" t="s">
        <v>149</v>
      </c>
      <c r="F318" t="s">
        <v>134</v>
      </c>
    </row>
    <row r="319" spans="1:6" x14ac:dyDescent="0.25">
      <c r="A319">
        <v>20210401</v>
      </c>
      <c r="B319" t="str">
        <f>"136904"</f>
        <v>136904</v>
      </c>
      <c r="C319" t="s">
        <v>256</v>
      </c>
      <c r="D319" s="3">
        <v>1025</v>
      </c>
      <c r="E319" t="s">
        <v>257</v>
      </c>
      <c r="F319" t="s">
        <v>134</v>
      </c>
    </row>
    <row r="320" spans="1:6" x14ac:dyDescent="0.25">
      <c r="A320">
        <v>20210401</v>
      </c>
      <c r="B320" t="str">
        <f>"136905"</f>
        <v>136905</v>
      </c>
      <c r="C320" t="s">
        <v>258</v>
      </c>
      <c r="D320" s="3">
        <v>1734</v>
      </c>
      <c r="E320" t="s">
        <v>36</v>
      </c>
      <c r="F320" t="s">
        <v>134</v>
      </c>
    </row>
    <row r="321" spans="1:6" x14ac:dyDescent="0.25">
      <c r="A321">
        <v>20210401</v>
      </c>
      <c r="B321" t="str">
        <f>"136906"</f>
        <v>136906</v>
      </c>
      <c r="C321" t="s">
        <v>259</v>
      </c>
      <c r="D321" s="3">
        <v>895</v>
      </c>
      <c r="E321" t="s">
        <v>36</v>
      </c>
      <c r="F321" t="s">
        <v>134</v>
      </c>
    </row>
    <row r="322" spans="1:6" x14ac:dyDescent="0.25">
      <c r="A322">
        <v>20210401</v>
      </c>
      <c r="B322" t="str">
        <f>"136907"</f>
        <v>136907</v>
      </c>
      <c r="C322" t="s">
        <v>260</v>
      </c>
      <c r="D322" s="3">
        <v>92.33</v>
      </c>
      <c r="E322" t="s">
        <v>36</v>
      </c>
      <c r="F322" t="s">
        <v>134</v>
      </c>
    </row>
    <row r="323" spans="1:6" x14ac:dyDescent="0.25">
      <c r="A323">
        <v>20210401</v>
      </c>
      <c r="B323" t="str">
        <f>"136908"</f>
        <v>136908</v>
      </c>
      <c r="C323" t="s">
        <v>261</v>
      </c>
      <c r="D323" s="3">
        <v>555</v>
      </c>
      <c r="E323" t="s">
        <v>228</v>
      </c>
      <c r="F323" t="s">
        <v>34</v>
      </c>
    </row>
    <row r="324" spans="1:6" x14ac:dyDescent="0.25">
      <c r="A324">
        <v>20210401</v>
      </c>
      <c r="B324" t="str">
        <f>"136909"</f>
        <v>136909</v>
      </c>
      <c r="C324" t="s">
        <v>262</v>
      </c>
      <c r="D324" s="3">
        <v>1271.8900000000001</v>
      </c>
      <c r="E324" t="s">
        <v>36</v>
      </c>
      <c r="F324" t="s">
        <v>134</v>
      </c>
    </row>
    <row r="325" spans="1:6" x14ac:dyDescent="0.25">
      <c r="A325">
        <v>20210401</v>
      </c>
      <c r="B325" t="str">
        <f>"136909"</f>
        <v>136909</v>
      </c>
      <c r="C325" t="s">
        <v>262</v>
      </c>
      <c r="D325" s="3">
        <v>1298.5999999999999</v>
      </c>
      <c r="E325" t="s">
        <v>263</v>
      </c>
      <c r="F325" t="s">
        <v>134</v>
      </c>
    </row>
    <row r="326" spans="1:6" x14ac:dyDescent="0.25">
      <c r="A326">
        <v>20210401</v>
      </c>
      <c r="B326" t="str">
        <f>"136909"</f>
        <v>136909</v>
      </c>
      <c r="C326" t="s">
        <v>262</v>
      </c>
      <c r="D326" s="3">
        <v>353.81</v>
      </c>
      <c r="E326" t="s">
        <v>263</v>
      </c>
      <c r="F326" t="s">
        <v>134</v>
      </c>
    </row>
    <row r="327" spans="1:6" x14ac:dyDescent="0.25">
      <c r="A327">
        <v>20210401</v>
      </c>
      <c r="B327" t="str">
        <f>"136909"</f>
        <v>136909</v>
      </c>
      <c r="C327" t="s">
        <v>262</v>
      </c>
      <c r="D327" s="3">
        <v>253.56</v>
      </c>
      <c r="E327" t="s">
        <v>263</v>
      </c>
      <c r="F327" t="s">
        <v>134</v>
      </c>
    </row>
    <row r="328" spans="1:6" x14ac:dyDescent="0.25">
      <c r="A328">
        <v>20210401</v>
      </c>
      <c r="B328" t="str">
        <f>"136909"</f>
        <v>136909</v>
      </c>
      <c r="C328" t="s">
        <v>262</v>
      </c>
      <c r="D328" s="3">
        <v>85.66</v>
      </c>
      <c r="E328" t="s">
        <v>263</v>
      </c>
      <c r="F328" t="s">
        <v>134</v>
      </c>
    </row>
    <row r="329" spans="1:6" x14ac:dyDescent="0.25">
      <c r="A329">
        <v>20210401</v>
      </c>
      <c r="B329" t="str">
        <f>"136910"</f>
        <v>136910</v>
      </c>
      <c r="C329" t="s">
        <v>264</v>
      </c>
      <c r="D329" s="3">
        <v>26419.66</v>
      </c>
      <c r="E329" t="s">
        <v>265</v>
      </c>
      <c r="F329" t="s">
        <v>134</v>
      </c>
    </row>
    <row r="330" spans="1:6" x14ac:dyDescent="0.25">
      <c r="A330">
        <v>20210401</v>
      </c>
      <c r="B330" t="str">
        <f>"136910"</f>
        <v>136910</v>
      </c>
      <c r="C330" t="s">
        <v>264</v>
      </c>
      <c r="D330" s="3">
        <v>24.5</v>
      </c>
      <c r="E330" t="s">
        <v>266</v>
      </c>
      <c r="F330" t="s">
        <v>134</v>
      </c>
    </row>
    <row r="331" spans="1:6" x14ac:dyDescent="0.25">
      <c r="A331">
        <v>20210401</v>
      </c>
      <c r="B331" t="str">
        <f>"136911"</f>
        <v>136911</v>
      </c>
      <c r="C331" t="s">
        <v>267</v>
      </c>
      <c r="D331" s="3">
        <v>123.96</v>
      </c>
      <c r="E331" t="s">
        <v>268</v>
      </c>
      <c r="F331" t="s">
        <v>134</v>
      </c>
    </row>
    <row r="332" spans="1:6" x14ac:dyDescent="0.25">
      <c r="A332">
        <v>20210401</v>
      </c>
      <c r="B332" t="str">
        <f>"136912"</f>
        <v>136912</v>
      </c>
      <c r="C332" t="s">
        <v>73</v>
      </c>
      <c r="D332" s="3">
        <v>1152</v>
      </c>
      <c r="E332" t="s">
        <v>36</v>
      </c>
      <c r="F332" t="s">
        <v>134</v>
      </c>
    </row>
    <row r="333" spans="1:6" x14ac:dyDescent="0.25">
      <c r="A333">
        <v>20210401</v>
      </c>
      <c r="B333" t="str">
        <f>"136913"</f>
        <v>136913</v>
      </c>
      <c r="C333" t="s">
        <v>269</v>
      </c>
      <c r="D333" s="3">
        <v>119.78</v>
      </c>
      <c r="E333" t="s">
        <v>270</v>
      </c>
      <c r="F333" t="s">
        <v>134</v>
      </c>
    </row>
    <row r="334" spans="1:6" x14ac:dyDescent="0.25">
      <c r="A334">
        <v>20210401</v>
      </c>
      <c r="B334" t="str">
        <f>"136913"</f>
        <v>136913</v>
      </c>
      <c r="C334" t="s">
        <v>269</v>
      </c>
      <c r="D334" s="3">
        <v>1489</v>
      </c>
      <c r="E334" t="s">
        <v>36</v>
      </c>
      <c r="F334" t="s">
        <v>134</v>
      </c>
    </row>
    <row r="335" spans="1:6" x14ac:dyDescent="0.25">
      <c r="A335">
        <v>20210401</v>
      </c>
      <c r="B335" t="str">
        <f>"136914"</f>
        <v>136914</v>
      </c>
      <c r="C335" t="s">
        <v>271</v>
      </c>
      <c r="D335" s="3">
        <v>16137.32</v>
      </c>
      <c r="E335" t="s">
        <v>272</v>
      </c>
      <c r="F335" t="s">
        <v>134</v>
      </c>
    </row>
    <row r="336" spans="1:6" x14ac:dyDescent="0.25">
      <c r="A336">
        <v>20210401</v>
      </c>
      <c r="B336" t="str">
        <f>"136915"</f>
        <v>136915</v>
      </c>
      <c r="C336" t="s">
        <v>273</v>
      </c>
      <c r="D336" s="3">
        <v>176.96</v>
      </c>
      <c r="E336" t="s">
        <v>36</v>
      </c>
      <c r="F336" t="s">
        <v>134</v>
      </c>
    </row>
    <row r="337" spans="1:6" x14ac:dyDescent="0.25">
      <c r="A337">
        <v>20210401</v>
      </c>
      <c r="B337" t="str">
        <f>"136915"</f>
        <v>136915</v>
      </c>
      <c r="C337" t="s">
        <v>273</v>
      </c>
      <c r="D337" s="3">
        <v>907.04</v>
      </c>
      <c r="E337" t="s">
        <v>36</v>
      </c>
      <c r="F337" t="s">
        <v>134</v>
      </c>
    </row>
    <row r="338" spans="1:6" x14ac:dyDescent="0.25">
      <c r="A338">
        <v>20210401</v>
      </c>
      <c r="B338" t="str">
        <f>"136915"</f>
        <v>136915</v>
      </c>
      <c r="C338" t="s">
        <v>273</v>
      </c>
      <c r="D338" s="3">
        <v>76.98</v>
      </c>
      <c r="E338" t="s">
        <v>263</v>
      </c>
      <c r="F338" t="s">
        <v>134</v>
      </c>
    </row>
    <row r="339" spans="1:6" x14ac:dyDescent="0.25">
      <c r="A339">
        <v>20210401</v>
      </c>
      <c r="B339" t="str">
        <f>"136915"</f>
        <v>136915</v>
      </c>
      <c r="C339" t="s">
        <v>273</v>
      </c>
      <c r="D339" s="3">
        <v>254.53</v>
      </c>
      <c r="E339" t="s">
        <v>263</v>
      </c>
      <c r="F339" t="s">
        <v>134</v>
      </c>
    </row>
    <row r="340" spans="1:6" x14ac:dyDescent="0.25">
      <c r="A340">
        <v>20210401</v>
      </c>
      <c r="B340" t="str">
        <f>"136915"</f>
        <v>136915</v>
      </c>
      <c r="C340" t="s">
        <v>273</v>
      </c>
      <c r="D340" s="3">
        <v>-5</v>
      </c>
      <c r="E340" t="s">
        <v>274</v>
      </c>
      <c r="F340" t="s">
        <v>134</v>
      </c>
    </row>
    <row r="341" spans="1:6" x14ac:dyDescent="0.25">
      <c r="A341">
        <v>20210401</v>
      </c>
      <c r="B341" t="str">
        <f>"136916"</f>
        <v>136916</v>
      </c>
      <c r="C341" t="s">
        <v>275</v>
      </c>
      <c r="D341" s="3">
        <v>109.89</v>
      </c>
      <c r="E341" t="s">
        <v>36</v>
      </c>
      <c r="F341" t="s">
        <v>134</v>
      </c>
    </row>
    <row r="342" spans="1:6" x14ac:dyDescent="0.25">
      <c r="A342">
        <v>20210401</v>
      </c>
      <c r="B342" t="str">
        <f>"136917"</f>
        <v>136917</v>
      </c>
      <c r="C342" t="s">
        <v>276</v>
      </c>
      <c r="D342" s="3">
        <v>54.96</v>
      </c>
      <c r="E342" t="s">
        <v>36</v>
      </c>
      <c r="F342" t="s">
        <v>134</v>
      </c>
    </row>
    <row r="343" spans="1:6" x14ac:dyDescent="0.25">
      <c r="A343">
        <v>20210401</v>
      </c>
      <c r="B343" t="str">
        <f>"136918"</f>
        <v>136918</v>
      </c>
      <c r="C343" t="s">
        <v>277</v>
      </c>
      <c r="D343" s="3">
        <v>3685</v>
      </c>
      <c r="E343" t="s">
        <v>36</v>
      </c>
      <c r="F343" t="s">
        <v>134</v>
      </c>
    </row>
    <row r="344" spans="1:6" x14ac:dyDescent="0.25">
      <c r="A344">
        <v>20210401</v>
      </c>
      <c r="B344" t="str">
        <f>"136919"</f>
        <v>136919</v>
      </c>
      <c r="C344" t="s">
        <v>278</v>
      </c>
      <c r="D344" s="3">
        <v>54500</v>
      </c>
      <c r="E344" t="s">
        <v>279</v>
      </c>
      <c r="F344" t="s">
        <v>134</v>
      </c>
    </row>
    <row r="345" spans="1:6" x14ac:dyDescent="0.25">
      <c r="A345">
        <v>20210401</v>
      </c>
      <c r="B345" t="str">
        <f>"136919"</f>
        <v>136919</v>
      </c>
      <c r="C345" t="s">
        <v>278</v>
      </c>
      <c r="D345" s="3">
        <v>10000</v>
      </c>
      <c r="E345" t="s">
        <v>280</v>
      </c>
      <c r="F345" t="s">
        <v>134</v>
      </c>
    </row>
    <row r="346" spans="1:6" x14ac:dyDescent="0.25">
      <c r="A346">
        <v>20210401</v>
      </c>
      <c r="B346" t="str">
        <f t="shared" ref="B346:B358" si="8">"136920"</f>
        <v>136920</v>
      </c>
      <c r="C346" t="s">
        <v>281</v>
      </c>
      <c r="D346" s="3">
        <v>349.21</v>
      </c>
      <c r="E346" t="s">
        <v>36</v>
      </c>
      <c r="F346" t="s">
        <v>143</v>
      </c>
    </row>
    <row r="347" spans="1:6" x14ac:dyDescent="0.25">
      <c r="A347">
        <v>20210401</v>
      </c>
      <c r="B347" t="str">
        <f t="shared" si="8"/>
        <v>136920</v>
      </c>
      <c r="C347" t="s">
        <v>281</v>
      </c>
      <c r="D347" s="3">
        <v>27.55</v>
      </c>
      <c r="E347" t="s">
        <v>36</v>
      </c>
      <c r="F347" t="s">
        <v>143</v>
      </c>
    </row>
    <row r="348" spans="1:6" x14ac:dyDescent="0.25">
      <c r="A348">
        <v>20210401</v>
      </c>
      <c r="B348" t="str">
        <f t="shared" si="8"/>
        <v>136920</v>
      </c>
      <c r="C348" t="s">
        <v>281</v>
      </c>
      <c r="D348" s="3">
        <v>385.86</v>
      </c>
      <c r="E348" t="s">
        <v>36</v>
      </c>
      <c r="F348" t="s">
        <v>143</v>
      </c>
    </row>
    <row r="349" spans="1:6" x14ac:dyDescent="0.25">
      <c r="A349">
        <v>20210401</v>
      </c>
      <c r="B349" t="str">
        <f t="shared" si="8"/>
        <v>136920</v>
      </c>
      <c r="C349" t="s">
        <v>281</v>
      </c>
      <c r="D349" s="3">
        <v>227.03</v>
      </c>
      <c r="E349" t="s">
        <v>36</v>
      </c>
      <c r="F349" t="s">
        <v>134</v>
      </c>
    </row>
    <row r="350" spans="1:6" x14ac:dyDescent="0.25">
      <c r="A350">
        <v>20210401</v>
      </c>
      <c r="B350" t="str">
        <f t="shared" si="8"/>
        <v>136920</v>
      </c>
      <c r="C350" t="s">
        <v>281</v>
      </c>
      <c r="D350" s="3">
        <v>16.47</v>
      </c>
      <c r="E350" t="s">
        <v>36</v>
      </c>
      <c r="F350" t="s">
        <v>134</v>
      </c>
    </row>
    <row r="351" spans="1:6" x14ac:dyDescent="0.25">
      <c r="A351">
        <v>20210401</v>
      </c>
      <c r="B351" t="str">
        <f t="shared" si="8"/>
        <v>136920</v>
      </c>
      <c r="C351" t="s">
        <v>281</v>
      </c>
      <c r="D351" s="3">
        <v>359.79</v>
      </c>
      <c r="E351" t="s">
        <v>36</v>
      </c>
      <c r="F351" t="s">
        <v>134</v>
      </c>
    </row>
    <row r="352" spans="1:6" x14ac:dyDescent="0.25">
      <c r="A352">
        <v>20210401</v>
      </c>
      <c r="B352" t="str">
        <f t="shared" si="8"/>
        <v>136920</v>
      </c>
      <c r="C352" t="s">
        <v>281</v>
      </c>
      <c r="D352" s="3">
        <v>23.2</v>
      </c>
      <c r="E352" t="s">
        <v>36</v>
      </c>
      <c r="F352" t="s">
        <v>134</v>
      </c>
    </row>
    <row r="353" spans="1:6" x14ac:dyDescent="0.25">
      <c r="A353">
        <v>20210401</v>
      </c>
      <c r="B353" t="str">
        <f t="shared" si="8"/>
        <v>136920</v>
      </c>
      <c r="C353" t="s">
        <v>281</v>
      </c>
      <c r="D353" s="3">
        <v>11.28</v>
      </c>
      <c r="E353" t="s">
        <v>36</v>
      </c>
      <c r="F353" t="s">
        <v>134</v>
      </c>
    </row>
    <row r="354" spans="1:6" x14ac:dyDescent="0.25">
      <c r="A354">
        <v>20210401</v>
      </c>
      <c r="B354" t="str">
        <f t="shared" si="8"/>
        <v>136920</v>
      </c>
      <c r="C354" t="s">
        <v>281</v>
      </c>
      <c r="D354" s="3">
        <v>59.4</v>
      </c>
      <c r="E354" t="s">
        <v>282</v>
      </c>
      <c r="F354" t="s">
        <v>134</v>
      </c>
    </row>
    <row r="355" spans="1:6" x14ac:dyDescent="0.25">
      <c r="A355">
        <v>20210401</v>
      </c>
      <c r="B355" t="str">
        <f t="shared" si="8"/>
        <v>136920</v>
      </c>
      <c r="C355" t="s">
        <v>281</v>
      </c>
      <c r="D355" s="3">
        <v>347.47</v>
      </c>
      <c r="E355" t="s">
        <v>282</v>
      </c>
      <c r="F355" t="s">
        <v>134</v>
      </c>
    </row>
    <row r="356" spans="1:6" x14ac:dyDescent="0.25">
      <c r="A356">
        <v>20210401</v>
      </c>
      <c r="B356" t="str">
        <f t="shared" si="8"/>
        <v>136920</v>
      </c>
      <c r="C356" t="s">
        <v>281</v>
      </c>
      <c r="D356" s="3">
        <v>44.39</v>
      </c>
      <c r="E356" t="s">
        <v>282</v>
      </c>
      <c r="F356" t="s">
        <v>134</v>
      </c>
    </row>
    <row r="357" spans="1:6" x14ac:dyDescent="0.25">
      <c r="A357">
        <v>20210401</v>
      </c>
      <c r="B357" t="str">
        <f t="shared" si="8"/>
        <v>136920</v>
      </c>
      <c r="C357" t="s">
        <v>281</v>
      </c>
      <c r="D357" s="3">
        <v>101.55</v>
      </c>
      <c r="E357" t="s">
        <v>282</v>
      </c>
      <c r="F357" t="s">
        <v>134</v>
      </c>
    </row>
    <row r="358" spans="1:6" x14ac:dyDescent="0.25">
      <c r="A358">
        <v>20210401</v>
      </c>
      <c r="B358" t="str">
        <f t="shared" si="8"/>
        <v>136920</v>
      </c>
      <c r="C358" t="s">
        <v>281</v>
      </c>
      <c r="D358" s="3">
        <v>257.77</v>
      </c>
      <c r="E358" t="s">
        <v>283</v>
      </c>
      <c r="F358" t="s">
        <v>134</v>
      </c>
    </row>
    <row r="359" spans="1:6" x14ac:dyDescent="0.25">
      <c r="A359">
        <v>20210401</v>
      </c>
      <c r="B359" t="str">
        <f>"136921"</f>
        <v>136921</v>
      </c>
      <c r="C359" t="s">
        <v>284</v>
      </c>
      <c r="D359" s="3">
        <v>1000</v>
      </c>
      <c r="E359" t="s">
        <v>36</v>
      </c>
      <c r="F359" t="s">
        <v>143</v>
      </c>
    </row>
    <row r="360" spans="1:6" x14ac:dyDescent="0.25">
      <c r="A360">
        <v>20210401</v>
      </c>
      <c r="B360" t="str">
        <f>"136922"</f>
        <v>136922</v>
      </c>
      <c r="C360" t="s">
        <v>285</v>
      </c>
      <c r="D360" s="3">
        <v>50</v>
      </c>
      <c r="E360" t="s">
        <v>149</v>
      </c>
      <c r="F360" t="s">
        <v>134</v>
      </c>
    </row>
    <row r="361" spans="1:6" x14ac:dyDescent="0.25">
      <c r="A361">
        <v>20210401</v>
      </c>
      <c r="B361" t="str">
        <f>"136923"</f>
        <v>136923</v>
      </c>
      <c r="C361" t="s">
        <v>286</v>
      </c>
      <c r="D361" s="3">
        <v>250</v>
      </c>
      <c r="E361" t="s">
        <v>62</v>
      </c>
      <c r="F361" t="s">
        <v>134</v>
      </c>
    </row>
    <row r="362" spans="1:6" x14ac:dyDescent="0.25">
      <c r="A362">
        <v>20210401</v>
      </c>
      <c r="B362" t="str">
        <f>"136924"</f>
        <v>136924</v>
      </c>
      <c r="C362" t="s">
        <v>287</v>
      </c>
      <c r="D362" s="3">
        <v>66.52</v>
      </c>
      <c r="E362" t="s">
        <v>36</v>
      </c>
      <c r="F362" t="s">
        <v>134</v>
      </c>
    </row>
    <row r="363" spans="1:6" x14ac:dyDescent="0.25">
      <c r="A363">
        <v>20210401</v>
      </c>
      <c r="B363" t="str">
        <f>"136924"</f>
        <v>136924</v>
      </c>
      <c r="C363" t="s">
        <v>287</v>
      </c>
      <c r="D363" s="3">
        <v>665.2</v>
      </c>
      <c r="E363" t="s">
        <v>36</v>
      </c>
      <c r="F363" t="s">
        <v>134</v>
      </c>
    </row>
    <row r="364" spans="1:6" x14ac:dyDescent="0.25">
      <c r="A364">
        <v>20210401</v>
      </c>
      <c r="B364" t="str">
        <f>"136924"</f>
        <v>136924</v>
      </c>
      <c r="C364" t="s">
        <v>287</v>
      </c>
      <c r="D364" s="3">
        <v>200</v>
      </c>
      <c r="E364" t="s">
        <v>36</v>
      </c>
      <c r="F364" t="s">
        <v>134</v>
      </c>
    </row>
    <row r="365" spans="1:6" x14ac:dyDescent="0.25">
      <c r="A365">
        <v>20210401</v>
      </c>
      <c r="B365" t="str">
        <f t="shared" ref="B365:B370" si="9">"136925"</f>
        <v>136925</v>
      </c>
      <c r="C365" t="s">
        <v>288</v>
      </c>
      <c r="D365" s="3">
        <v>631.88</v>
      </c>
      <c r="E365" t="s">
        <v>36</v>
      </c>
      <c r="F365" t="s">
        <v>134</v>
      </c>
    </row>
    <row r="366" spans="1:6" x14ac:dyDescent="0.25">
      <c r="A366">
        <v>20210401</v>
      </c>
      <c r="B366" t="str">
        <f t="shared" si="9"/>
        <v>136925</v>
      </c>
      <c r="C366" t="s">
        <v>288</v>
      </c>
      <c r="D366" s="3">
        <v>282.52</v>
      </c>
      <c r="E366" t="s">
        <v>36</v>
      </c>
      <c r="F366" t="s">
        <v>134</v>
      </c>
    </row>
    <row r="367" spans="1:6" x14ac:dyDescent="0.25">
      <c r="A367">
        <v>20210401</v>
      </c>
      <c r="B367" t="str">
        <f t="shared" si="9"/>
        <v>136925</v>
      </c>
      <c r="C367" t="s">
        <v>288</v>
      </c>
      <c r="D367" s="3">
        <v>5.14</v>
      </c>
      <c r="E367" t="s">
        <v>289</v>
      </c>
      <c r="F367" t="s">
        <v>134</v>
      </c>
    </row>
    <row r="368" spans="1:6" x14ac:dyDescent="0.25">
      <c r="A368">
        <v>20210401</v>
      </c>
      <c r="B368" t="str">
        <f t="shared" si="9"/>
        <v>136925</v>
      </c>
      <c r="C368" t="s">
        <v>288</v>
      </c>
      <c r="D368" s="3">
        <v>288.99</v>
      </c>
      <c r="E368" t="s">
        <v>36</v>
      </c>
      <c r="F368" t="s">
        <v>134</v>
      </c>
    </row>
    <row r="369" spans="1:6" x14ac:dyDescent="0.25">
      <c r="A369">
        <v>20210401</v>
      </c>
      <c r="B369" t="str">
        <f t="shared" si="9"/>
        <v>136925</v>
      </c>
      <c r="C369" t="s">
        <v>288</v>
      </c>
      <c r="D369" s="3">
        <v>73.38</v>
      </c>
      <c r="E369" t="s">
        <v>36</v>
      </c>
      <c r="F369" t="s">
        <v>134</v>
      </c>
    </row>
    <row r="370" spans="1:6" x14ac:dyDescent="0.25">
      <c r="A370">
        <v>20210401</v>
      </c>
      <c r="B370" t="str">
        <f t="shared" si="9"/>
        <v>136925</v>
      </c>
      <c r="C370" t="s">
        <v>288</v>
      </c>
      <c r="D370" s="3">
        <v>206.43</v>
      </c>
      <c r="E370" t="s">
        <v>36</v>
      </c>
      <c r="F370" t="s">
        <v>134</v>
      </c>
    </row>
    <row r="371" spans="1:6" x14ac:dyDescent="0.25">
      <c r="A371">
        <v>20210401</v>
      </c>
      <c r="B371" t="str">
        <f>"136926"</f>
        <v>136926</v>
      </c>
      <c r="C371" t="s">
        <v>290</v>
      </c>
      <c r="D371" s="3">
        <v>101.83</v>
      </c>
      <c r="E371" t="s">
        <v>36</v>
      </c>
      <c r="F371" t="s">
        <v>134</v>
      </c>
    </row>
    <row r="372" spans="1:6" x14ac:dyDescent="0.25">
      <c r="A372">
        <v>20210401</v>
      </c>
      <c r="B372" t="str">
        <f>"136926"</f>
        <v>136926</v>
      </c>
      <c r="C372" t="s">
        <v>290</v>
      </c>
      <c r="D372" s="3">
        <v>297.14</v>
      </c>
      <c r="E372" t="s">
        <v>36</v>
      </c>
      <c r="F372" t="s">
        <v>134</v>
      </c>
    </row>
    <row r="373" spans="1:6" x14ac:dyDescent="0.25">
      <c r="A373">
        <v>20210401</v>
      </c>
      <c r="B373" t="str">
        <f>"136926"</f>
        <v>136926</v>
      </c>
      <c r="C373" t="s">
        <v>290</v>
      </c>
      <c r="D373" s="3">
        <v>75.010000000000005</v>
      </c>
      <c r="E373" t="s">
        <v>36</v>
      </c>
      <c r="F373" t="s">
        <v>134</v>
      </c>
    </row>
    <row r="374" spans="1:6" x14ac:dyDescent="0.25">
      <c r="A374">
        <v>20210401</v>
      </c>
      <c r="B374" t="str">
        <f>"136927"</f>
        <v>136927</v>
      </c>
      <c r="C374" t="s">
        <v>291</v>
      </c>
      <c r="D374" s="3">
        <v>175.5</v>
      </c>
      <c r="E374" t="s">
        <v>292</v>
      </c>
      <c r="F374" t="s">
        <v>218</v>
      </c>
    </row>
    <row r="375" spans="1:6" x14ac:dyDescent="0.25">
      <c r="A375">
        <v>20210401</v>
      </c>
      <c r="B375" t="str">
        <f>"136928"</f>
        <v>136928</v>
      </c>
      <c r="C375" t="s">
        <v>293</v>
      </c>
      <c r="D375" s="3">
        <v>171.98</v>
      </c>
      <c r="E375" t="s">
        <v>36</v>
      </c>
      <c r="F375" t="s">
        <v>134</v>
      </c>
    </row>
    <row r="376" spans="1:6" x14ac:dyDescent="0.25">
      <c r="A376">
        <v>20210401</v>
      </c>
      <c r="B376" t="str">
        <f>"136929"</f>
        <v>136929</v>
      </c>
      <c r="C376" t="s">
        <v>294</v>
      </c>
      <c r="D376" s="3">
        <v>12000</v>
      </c>
      <c r="E376" t="s">
        <v>295</v>
      </c>
      <c r="F376" t="s">
        <v>134</v>
      </c>
    </row>
    <row r="377" spans="1:6" x14ac:dyDescent="0.25">
      <c r="A377">
        <v>20210401</v>
      </c>
      <c r="B377" t="str">
        <f>"136930"</f>
        <v>136930</v>
      </c>
      <c r="C377" t="s">
        <v>296</v>
      </c>
      <c r="D377" s="3">
        <v>2350</v>
      </c>
      <c r="E377" t="s">
        <v>157</v>
      </c>
      <c r="F377" t="s">
        <v>134</v>
      </c>
    </row>
    <row r="378" spans="1:6" x14ac:dyDescent="0.25">
      <c r="A378">
        <v>20210401</v>
      </c>
      <c r="B378" t="str">
        <f>"136931"</f>
        <v>136931</v>
      </c>
      <c r="C378" t="s">
        <v>297</v>
      </c>
      <c r="D378" s="3">
        <v>100</v>
      </c>
      <c r="E378" t="s">
        <v>298</v>
      </c>
      <c r="F378" t="s">
        <v>134</v>
      </c>
    </row>
    <row r="379" spans="1:6" x14ac:dyDescent="0.25">
      <c r="A379">
        <v>20210401</v>
      </c>
      <c r="B379" t="str">
        <f>"136932"</f>
        <v>136932</v>
      </c>
      <c r="C379" t="s">
        <v>299</v>
      </c>
      <c r="D379" s="3">
        <v>745.55</v>
      </c>
      <c r="E379" t="s">
        <v>41</v>
      </c>
      <c r="F379" t="s">
        <v>134</v>
      </c>
    </row>
    <row r="380" spans="1:6" x14ac:dyDescent="0.25">
      <c r="A380">
        <v>20210401</v>
      </c>
      <c r="B380" t="str">
        <f>"136933"</f>
        <v>136933</v>
      </c>
      <c r="C380" t="s">
        <v>300</v>
      </c>
      <c r="D380" s="3">
        <v>295.60000000000002</v>
      </c>
      <c r="E380" t="s">
        <v>36</v>
      </c>
      <c r="F380" t="s">
        <v>134</v>
      </c>
    </row>
    <row r="381" spans="1:6" x14ac:dyDescent="0.25">
      <c r="A381">
        <v>20210401</v>
      </c>
      <c r="B381" t="str">
        <f>"136934"</f>
        <v>136934</v>
      </c>
      <c r="C381" t="s">
        <v>301</v>
      </c>
      <c r="D381" s="3">
        <v>2374.8000000000002</v>
      </c>
      <c r="E381" t="s">
        <v>302</v>
      </c>
      <c r="F381" t="s">
        <v>303</v>
      </c>
    </row>
    <row r="382" spans="1:6" x14ac:dyDescent="0.25">
      <c r="A382">
        <v>20210401</v>
      </c>
      <c r="B382" t="str">
        <f>"136934"</f>
        <v>136934</v>
      </c>
      <c r="C382" t="s">
        <v>301</v>
      </c>
      <c r="D382" s="3">
        <v>2077</v>
      </c>
      <c r="E382" t="s">
        <v>304</v>
      </c>
      <c r="F382" t="s">
        <v>303</v>
      </c>
    </row>
    <row r="383" spans="1:6" x14ac:dyDescent="0.25">
      <c r="A383">
        <v>20210401</v>
      </c>
      <c r="B383" t="str">
        <f>"136934"</f>
        <v>136934</v>
      </c>
      <c r="C383" t="s">
        <v>301</v>
      </c>
      <c r="D383" s="3">
        <v>3375</v>
      </c>
      <c r="E383" t="s">
        <v>305</v>
      </c>
      <c r="F383" t="s">
        <v>303</v>
      </c>
    </row>
    <row r="384" spans="1:6" x14ac:dyDescent="0.25">
      <c r="A384">
        <v>20210401</v>
      </c>
      <c r="B384" t="str">
        <f>"136935"</f>
        <v>136935</v>
      </c>
      <c r="C384" t="s">
        <v>306</v>
      </c>
      <c r="D384" s="3">
        <v>70</v>
      </c>
      <c r="E384" t="s">
        <v>149</v>
      </c>
      <c r="F384" t="s">
        <v>134</v>
      </c>
    </row>
    <row r="385" spans="1:6" x14ac:dyDescent="0.25">
      <c r="A385">
        <v>20210401</v>
      </c>
      <c r="B385" t="str">
        <f>"136936"</f>
        <v>136936</v>
      </c>
      <c r="C385" t="s">
        <v>307</v>
      </c>
      <c r="D385" s="3">
        <v>90</v>
      </c>
      <c r="E385" t="s">
        <v>268</v>
      </c>
      <c r="F385" t="s">
        <v>134</v>
      </c>
    </row>
    <row r="386" spans="1:6" x14ac:dyDescent="0.25">
      <c r="A386">
        <v>20210401</v>
      </c>
      <c r="B386" t="str">
        <f>"136937"</f>
        <v>136937</v>
      </c>
      <c r="C386" t="s">
        <v>308</v>
      </c>
      <c r="D386" s="3">
        <v>1800</v>
      </c>
      <c r="E386" t="s">
        <v>309</v>
      </c>
      <c r="F386" t="s">
        <v>134</v>
      </c>
    </row>
    <row r="387" spans="1:6" x14ac:dyDescent="0.25">
      <c r="A387">
        <v>20210401</v>
      </c>
      <c r="B387" t="str">
        <f>"136937"</f>
        <v>136937</v>
      </c>
      <c r="C387" t="s">
        <v>308</v>
      </c>
      <c r="D387" s="3">
        <v>25</v>
      </c>
      <c r="E387" t="s">
        <v>310</v>
      </c>
      <c r="F387" t="s">
        <v>134</v>
      </c>
    </row>
    <row r="388" spans="1:6" x14ac:dyDescent="0.25">
      <c r="A388">
        <v>20210401</v>
      </c>
      <c r="B388" t="str">
        <f>"136938"</f>
        <v>136938</v>
      </c>
      <c r="C388" t="s">
        <v>311</v>
      </c>
      <c r="D388" s="3">
        <v>110</v>
      </c>
      <c r="E388" t="s">
        <v>149</v>
      </c>
      <c r="F388" t="s">
        <v>134</v>
      </c>
    </row>
    <row r="389" spans="1:6" x14ac:dyDescent="0.25">
      <c r="A389">
        <v>20210401</v>
      </c>
      <c r="B389" t="str">
        <f>"136938"</f>
        <v>136938</v>
      </c>
      <c r="C389" t="s">
        <v>311</v>
      </c>
      <c r="D389" s="3">
        <v>110</v>
      </c>
      <c r="E389" t="s">
        <v>312</v>
      </c>
      <c r="F389" t="s">
        <v>134</v>
      </c>
    </row>
    <row r="390" spans="1:6" x14ac:dyDescent="0.25">
      <c r="A390">
        <v>20210401</v>
      </c>
      <c r="B390" t="str">
        <f>"136939"</f>
        <v>136939</v>
      </c>
      <c r="C390" t="s">
        <v>313</v>
      </c>
      <c r="D390" s="3">
        <v>345</v>
      </c>
      <c r="E390" t="s">
        <v>149</v>
      </c>
      <c r="F390" t="s">
        <v>134</v>
      </c>
    </row>
    <row r="391" spans="1:6" x14ac:dyDescent="0.25">
      <c r="A391">
        <v>20210401</v>
      </c>
      <c r="B391" t="str">
        <f>"136939"</f>
        <v>136939</v>
      </c>
      <c r="C391" t="s">
        <v>313</v>
      </c>
      <c r="D391" s="3">
        <v>345</v>
      </c>
      <c r="E391" t="s">
        <v>149</v>
      </c>
      <c r="F391" t="s">
        <v>134</v>
      </c>
    </row>
    <row r="392" spans="1:6" x14ac:dyDescent="0.25">
      <c r="A392">
        <v>20210401</v>
      </c>
      <c r="B392" t="str">
        <f>"136940"</f>
        <v>136940</v>
      </c>
      <c r="C392" t="s">
        <v>314</v>
      </c>
      <c r="D392" s="3">
        <v>159</v>
      </c>
      <c r="E392" t="s">
        <v>149</v>
      </c>
      <c r="F392" t="s">
        <v>134</v>
      </c>
    </row>
    <row r="393" spans="1:6" x14ac:dyDescent="0.25">
      <c r="A393">
        <v>20210401</v>
      </c>
      <c r="B393" t="str">
        <f>"136941"</f>
        <v>136941</v>
      </c>
      <c r="C393" t="s">
        <v>315</v>
      </c>
      <c r="D393" s="3">
        <v>6976</v>
      </c>
      <c r="E393" t="s">
        <v>316</v>
      </c>
      <c r="F393" t="s">
        <v>134</v>
      </c>
    </row>
    <row r="394" spans="1:6" x14ac:dyDescent="0.25">
      <c r="A394">
        <v>20210401</v>
      </c>
      <c r="B394" t="str">
        <f>"136941"</f>
        <v>136941</v>
      </c>
      <c r="C394" t="s">
        <v>315</v>
      </c>
      <c r="D394" s="3">
        <v>2809</v>
      </c>
      <c r="E394" t="s">
        <v>316</v>
      </c>
      <c r="F394" t="s">
        <v>134</v>
      </c>
    </row>
    <row r="395" spans="1:6" x14ac:dyDescent="0.25">
      <c r="A395">
        <v>20210401</v>
      </c>
      <c r="B395" t="str">
        <f>"136941"</f>
        <v>136941</v>
      </c>
      <c r="C395" t="s">
        <v>315</v>
      </c>
      <c r="D395" s="3">
        <v>2438</v>
      </c>
      <c r="E395" t="s">
        <v>317</v>
      </c>
      <c r="F395" t="s">
        <v>134</v>
      </c>
    </row>
    <row r="396" spans="1:6" x14ac:dyDescent="0.25">
      <c r="A396">
        <v>20210401</v>
      </c>
      <c r="B396" t="str">
        <f>"136942"</f>
        <v>136942</v>
      </c>
      <c r="C396" t="s">
        <v>315</v>
      </c>
      <c r="D396" s="3">
        <v>955</v>
      </c>
      <c r="E396" t="s">
        <v>317</v>
      </c>
      <c r="F396" t="s">
        <v>134</v>
      </c>
    </row>
    <row r="397" spans="1:6" x14ac:dyDescent="0.25">
      <c r="A397">
        <v>20210401</v>
      </c>
      <c r="B397" t="str">
        <f>"136943"</f>
        <v>136943</v>
      </c>
      <c r="C397" t="s">
        <v>318</v>
      </c>
      <c r="D397" s="3">
        <v>1290.56</v>
      </c>
      <c r="E397" t="s">
        <v>319</v>
      </c>
      <c r="F397" t="s">
        <v>134</v>
      </c>
    </row>
    <row r="398" spans="1:6" x14ac:dyDescent="0.25">
      <c r="A398">
        <v>20210401</v>
      </c>
      <c r="B398" t="str">
        <f>"136944"</f>
        <v>136944</v>
      </c>
      <c r="C398" t="s">
        <v>32</v>
      </c>
      <c r="D398" s="3">
        <v>100</v>
      </c>
      <c r="E398" t="s">
        <v>320</v>
      </c>
      <c r="F398" t="s">
        <v>134</v>
      </c>
    </row>
    <row r="399" spans="1:6" x14ac:dyDescent="0.25">
      <c r="A399">
        <v>20210401</v>
      </c>
      <c r="B399" t="str">
        <f t="shared" ref="B399:B412" si="10">"136945"</f>
        <v>136945</v>
      </c>
      <c r="C399" t="s">
        <v>321</v>
      </c>
      <c r="D399" s="3">
        <v>3482.75</v>
      </c>
      <c r="E399" t="s">
        <v>165</v>
      </c>
      <c r="F399" t="s">
        <v>134</v>
      </c>
    </row>
    <row r="400" spans="1:6" x14ac:dyDescent="0.25">
      <c r="A400">
        <v>20210401</v>
      </c>
      <c r="B400" t="str">
        <f t="shared" si="10"/>
        <v>136945</v>
      </c>
      <c r="C400" t="s">
        <v>321</v>
      </c>
      <c r="D400" s="3">
        <v>5986.63</v>
      </c>
      <c r="E400" t="s">
        <v>165</v>
      </c>
      <c r="F400" t="s">
        <v>134</v>
      </c>
    </row>
    <row r="401" spans="1:6" x14ac:dyDescent="0.25">
      <c r="A401">
        <v>20210401</v>
      </c>
      <c r="B401" t="str">
        <f t="shared" si="10"/>
        <v>136945</v>
      </c>
      <c r="C401" t="s">
        <v>321</v>
      </c>
      <c r="D401" s="3">
        <v>4418.6099999999997</v>
      </c>
      <c r="E401" t="s">
        <v>165</v>
      </c>
      <c r="F401" t="s">
        <v>134</v>
      </c>
    </row>
    <row r="402" spans="1:6" x14ac:dyDescent="0.25">
      <c r="A402">
        <v>20210401</v>
      </c>
      <c r="B402" t="str">
        <f t="shared" si="10"/>
        <v>136945</v>
      </c>
      <c r="C402" t="s">
        <v>321</v>
      </c>
      <c r="D402" s="3">
        <v>284.13</v>
      </c>
      <c r="E402" t="s">
        <v>165</v>
      </c>
      <c r="F402" t="s">
        <v>134</v>
      </c>
    </row>
    <row r="403" spans="1:6" x14ac:dyDescent="0.25">
      <c r="A403">
        <v>20210401</v>
      </c>
      <c r="B403" t="str">
        <f t="shared" si="10"/>
        <v>136945</v>
      </c>
      <c r="C403" t="s">
        <v>321</v>
      </c>
      <c r="D403" s="3">
        <v>784.44</v>
      </c>
      <c r="E403" t="s">
        <v>165</v>
      </c>
      <c r="F403" t="s">
        <v>134</v>
      </c>
    </row>
    <row r="404" spans="1:6" x14ac:dyDescent="0.25">
      <c r="A404">
        <v>20210401</v>
      </c>
      <c r="B404" t="str">
        <f t="shared" si="10"/>
        <v>136945</v>
      </c>
      <c r="C404" t="s">
        <v>321</v>
      </c>
      <c r="D404" s="3">
        <v>749.36</v>
      </c>
      <c r="E404" t="s">
        <v>165</v>
      </c>
      <c r="F404" t="s">
        <v>134</v>
      </c>
    </row>
    <row r="405" spans="1:6" x14ac:dyDescent="0.25">
      <c r="A405">
        <v>20210401</v>
      </c>
      <c r="B405" t="str">
        <f t="shared" si="10"/>
        <v>136945</v>
      </c>
      <c r="C405" t="s">
        <v>321</v>
      </c>
      <c r="D405" s="3">
        <v>12097.5</v>
      </c>
      <c r="E405" t="s">
        <v>165</v>
      </c>
      <c r="F405" t="s">
        <v>134</v>
      </c>
    </row>
    <row r="406" spans="1:6" x14ac:dyDescent="0.25">
      <c r="A406">
        <v>20210401</v>
      </c>
      <c r="B406" t="str">
        <f t="shared" si="10"/>
        <v>136945</v>
      </c>
      <c r="C406" t="s">
        <v>321</v>
      </c>
      <c r="D406" s="3">
        <v>3720.85</v>
      </c>
      <c r="E406" t="s">
        <v>165</v>
      </c>
      <c r="F406" t="s">
        <v>134</v>
      </c>
    </row>
    <row r="407" spans="1:6" x14ac:dyDescent="0.25">
      <c r="A407">
        <v>20210401</v>
      </c>
      <c r="B407" t="str">
        <f t="shared" si="10"/>
        <v>136945</v>
      </c>
      <c r="C407" t="s">
        <v>321</v>
      </c>
      <c r="D407" s="3">
        <v>1961.02</v>
      </c>
      <c r="E407" t="s">
        <v>165</v>
      </c>
      <c r="F407" t="s">
        <v>134</v>
      </c>
    </row>
    <row r="408" spans="1:6" x14ac:dyDescent="0.25">
      <c r="A408">
        <v>20210401</v>
      </c>
      <c r="B408" t="str">
        <f t="shared" si="10"/>
        <v>136945</v>
      </c>
      <c r="C408" t="s">
        <v>321</v>
      </c>
      <c r="D408" s="3">
        <v>135.97999999999999</v>
      </c>
      <c r="E408" t="s">
        <v>165</v>
      </c>
      <c r="F408" t="s">
        <v>134</v>
      </c>
    </row>
    <row r="409" spans="1:6" x14ac:dyDescent="0.25">
      <c r="A409">
        <v>20210401</v>
      </c>
      <c r="B409" t="str">
        <f t="shared" si="10"/>
        <v>136945</v>
      </c>
      <c r="C409" t="s">
        <v>321</v>
      </c>
      <c r="D409" s="3">
        <v>574.35</v>
      </c>
      <c r="E409" t="s">
        <v>165</v>
      </c>
      <c r="F409" t="s">
        <v>134</v>
      </c>
    </row>
    <row r="410" spans="1:6" x14ac:dyDescent="0.25">
      <c r="A410">
        <v>20210401</v>
      </c>
      <c r="B410" t="str">
        <f t="shared" si="10"/>
        <v>136945</v>
      </c>
      <c r="C410" t="s">
        <v>321</v>
      </c>
      <c r="D410" s="3">
        <v>950.91</v>
      </c>
      <c r="E410" t="s">
        <v>165</v>
      </c>
      <c r="F410" t="s">
        <v>134</v>
      </c>
    </row>
    <row r="411" spans="1:6" x14ac:dyDescent="0.25">
      <c r="A411">
        <v>20210401</v>
      </c>
      <c r="B411" t="str">
        <f t="shared" si="10"/>
        <v>136945</v>
      </c>
      <c r="C411" t="s">
        <v>321</v>
      </c>
      <c r="D411" s="3">
        <v>968.65</v>
      </c>
      <c r="E411" t="s">
        <v>165</v>
      </c>
      <c r="F411" t="s">
        <v>134</v>
      </c>
    </row>
    <row r="412" spans="1:6" x14ac:dyDescent="0.25">
      <c r="A412">
        <v>20210401</v>
      </c>
      <c r="B412" t="str">
        <f t="shared" si="10"/>
        <v>136945</v>
      </c>
      <c r="C412" t="s">
        <v>321</v>
      </c>
      <c r="D412" s="3">
        <v>2360.4699999999998</v>
      </c>
      <c r="E412" t="s">
        <v>165</v>
      </c>
      <c r="F412" t="s">
        <v>134</v>
      </c>
    </row>
    <row r="413" spans="1:6" x14ac:dyDescent="0.25">
      <c r="A413">
        <v>20210401</v>
      </c>
      <c r="B413" t="str">
        <f>"136946"</f>
        <v>136946</v>
      </c>
      <c r="C413" t="s">
        <v>322</v>
      </c>
      <c r="D413" s="3">
        <v>256</v>
      </c>
      <c r="E413" t="s">
        <v>323</v>
      </c>
      <c r="F413" t="s">
        <v>134</v>
      </c>
    </row>
    <row r="414" spans="1:6" x14ac:dyDescent="0.25">
      <c r="A414">
        <v>20210401</v>
      </c>
      <c r="B414" t="str">
        <f>"136946"</f>
        <v>136946</v>
      </c>
      <c r="C414" t="s">
        <v>322</v>
      </c>
      <c r="D414" s="3">
        <v>89</v>
      </c>
      <c r="E414" t="s">
        <v>149</v>
      </c>
      <c r="F414" t="s">
        <v>134</v>
      </c>
    </row>
    <row r="415" spans="1:6" x14ac:dyDescent="0.25">
      <c r="A415">
        <v>20210401</v>
      </c>
      <c r="B415" t="str">
        <f>"136946"</f>
        <v>136946</v>
      </c>
      <c r="C415" t="s">
        <v>322</v>
      </c>
      <c r="D415" s="3">
        <v>167</v>
      </c>
      <c r="E415" t="s">
        <v>56</v>
      </c>
      <c r="F415" t="s">
        <v>134</v>
      </c>
    </row>
    <row r="416" spans="1:6" x14ac:dyDescent="0.25">
      <c r="A416">
        <v>20210401</v>
      </c>
      <c r="B416" t="str">
        <f>"136947"</f>
        <v>136947</v>
      </c>
      <c r="C416" t="s">
        <v>324</v>
      </c>
      <c r="D416" s="3">
        <v>412.5</v>
      </c>
      <c r="E416" t="s">
        <v>41</v>
      </c>
      <c r="F416" t="s">
        <v>134</v>
      </c>
    </row>
    <row r="417" spans="1:6" x14ac:dyDescent="0.25">
      <c r="A417">
        <v>20210401</v>
      </c>
      <c r="B417" t="str">
        <f>"136947"</f>
        <v>136947</v>
      </c>
      <c r="C417" t="s">
        <v>324</v>
      </c>
      <c r="D417" s="3">
        <v>211.25</v>
      </c>
      <c r="E417" t="s">
        <v>41</v>
      </c>
      <c r="F417" t="s">
        <v>134</v>
      </c>
    </row>
    <row r="418" spans="1:6" x14ac:dyDescent="0.25">
      <c r="A418">
        <v>20210401</v>
      </c>
      <c r="B418" t="str">
        <f>"136947"</f>
        <v>136947</v>
      </c>
      <c r="C418" t="s">
        <v>324</v>
      </c>
      <c r="D418" s="3">
        <v>130</v>
      </c>
      <c r="E418" t="s">
        <v>325</v>
      </c>
      <c r="F418" t="s">
        <v>134</v>
      </c>
    </row>
    <row r="419" spans="1:6" x14ac:dyDescent="0.25">
      <c r="A419">
        <v>20210401</v>
      </c>
      <c r="B419" t="str">
        <f>"136948"</f>
        <v>136948</v>
      </c>
      <c r="C419" t="s">
        <v>326</v>
      </c>
      <c r="D419" s="3">
        <v>1345</v>
      </c>
      <c r="E419" t="s">
        <v>327</v>
      </c>
      <c r="F419" t="s">
        <v>134</v>
      </c>
    </row>
    <row r="420" spans="1:6" x14ac:dyDescent="0.25">
      <c r="A420">
        <v>20210401</v>
      </c>
      <c r="B420" t="str">
        <f>"136949"</f>
        <v>136949</v>
      </c>
      <c r="C420" t="s">
        <v>328</v>
      </c>
      <c r="D420" s="3">
        <v>15</v>
      </c>
      <c r="E420" t="s">
        <v>233</v>
      </c>
      <c r="F420" t="s">
        <v>134</v>
      </c>
    </row>
    <row r="421" spans="1:6" x14ac:dyDescent="0.25">
      <c r="A421">
        <v>20210401</v>
      </c>
      <c r="B421" t="str">
        <f>"136950"</f>
        <v>136950</v>
      </c>
      <c r="C421" t="s">
        <v>329</v>
      </c>
      <c r="D421" s="3">
        <v>63.22</v>
      </c>
      <c r="E421" t="s">
        <v>330</v>
      </c>
      <c r="F421" t="s">
        <v>134</v>
      </c>
    </row>
    <row r="422" spans="1:6" x14ac:dyDescent="0.25">
      <c r="A422">
        <v>20210401</v>
      </c>
      <c r="B422" t="str">
        <f>"136950"</f>
        <v>136950</v>
      </c>
      <c r="C422" t="s">
        <v>329</v>
      </c>
      <c r="D422" s="3">
        <v>63.22</v>
      </c>
      <c r="E422" t="s">
        <v>330</v>
      </c>
      <c r="F422" t="s">
        <v>134</v>
      </c>
    </row>
    <row r="423" spans="1:6" x14ac:dyDescent="0.25">
      <c r="A423">
        <v>20210401</v>
      </c>
      <c r="B423" t="str">
        <f>"136951"</f>
        <v>136951</v>
      </c>
      <c r="C423" t="s">
        <v>331</v>
      </c>
      <c r="D423" s="3">
        <v>207.67</v>
      </c>
      <c r="E423" t="s">
        <v>36</v>
      </c>
      <c r="F423" t="s">
        <v>134</v>
      </c>
    </row>
    <row r="424" spans="1:6" x14ac:dyDescent="0.25">
      <c r="A424">
        <v>20210401</v>
      </c>
      <c r="B424" t="str">
        <f>"136952"</f>
        <v>136952</v>
      </c>
      <c r="C424" t="s">
        <v>332</v>
      </c>
      <c r="D424" s="3">
        <v>179</v>
      </c>
      <c r="E424" t="s">
        <v>333</v>
      </c>
      <c r="F424" t="s">
        <v>134</v>
      </c>
    </row>
    <row r="425" spans="1:6" x14ac:dyDescent="0.25">
      <c r="A425">
        <v>20210401</v>
      </c>
      <c r="B425" t="str">
        <f>"136952"</f>
        <v>136952</v>
      </c>
      <c r="C425" t="s">
        <v>332</v>
      </c>
      <c r="D425" s="3">
        <v>179</v>
      </c>
      <c r="E425" t="s">
        <v>333</v>
      </c>
      <c r="F425" t="s">
        <v>134</v>
      </c>
    </row>
    <row r="426" spans="1:6" x14ac:dyDescent="0.25">
      <c r="A426">
        <v>20210401</v>
      </c>
      <c r="B426" t="str">
        <f t="shared" ref="B426:B435" si="11">"136953"</f>
        <v>136953</v>
      </c>
      <c r="C426" t="s">
        <v>63</v>
      </c>
      <c r="D426" s="3">
        <v>79.38</v>
      </c>
      <c r="E426" t="s">
        <v>36</v>
      </c>
      <c r="F426" t="s">
        <v>134</v>
      </c>
    </row>
    <row r="427" spans="1:6" x14ac:dyDescent="0.25">
      <c r="A427">
        <v>20210401</v>
      </c>
      <c r="B427" t="str">
        <f t="shared" si="11"/>
        <v>136953</v>
      </c>
      <c r="C427" t="s">
        <v>63</v>
      </c>
      <c r="D427" s="3">
        <v>19.489999999999998</v>
      </c>
      <c r="E427" t="s">
        <v>36</v>
      </c>
      <c r="F427" t="s">
        <v>134</v>
      </c>
    </row>
    <row r="428" spans="1:6" x14ac:dyDescent="0.25">
      <c r="A428">
        <v>20210401</v>
      </c>
      <c r="B428" t="str">
        <f t="shared" si="11"/>
        <v>136953</v>
      </c>
      <c r="C428" t="s">
        <v>63</v>
      </c>
      <c r="D428" s="3">
        <v>33.82</v>
      </c>
      <c r="E428" t="s">
        <v>36</v>
      </c>
      <c r="F428" t="s">
        <v>134</v>
      </c>
    </row>
    <row r="429" spans="1:6" x14ac:dyDescent="0.25">
      <c r="A429">
        <v>20210401</v>
      </c>
      <c r="B429" t="str">
        <f t="shared" si="11"/>
        <v>136953</v>
      </c>
      <c r="C429" t="s">
        <v>63</v>
      </c>
      <c r="D429" s="3">
        <v>74.55</v>
      </c>
      <c r="E429" t="s">
        <v>36</v>
      </c>
      <c r="F429" t="s">
        <v>134</v>
      </c>
    </row>
    <row r="430" spans="1:6" x14ac:dyDescent="0.25">
      <c r="A430">
        <v>20210401</v>
      </c>
      <c r="B430" t="str">
        <f t="shared" si="11"/>
        <v>136953</v>
      </c>
      <c r="C430" t="s">
        <v>63</v>
      </c>
      <c r="D430" s="3">
        <v>124.6</v>
      </c>
      <c r="E430" t="s">
        <v>36</v>
      </c>
      <c r="F430" t="s">
        <v>134</v>
      </c>
    </row>
    <row r="431" spans="1:6" x14ac:dyDescent="0.25">
      <c r="A431">
        <v>20210401</v>
      </c>
      <c r="B431" t="str">
        <f t="shared" si="11"/>
        <v>136953</v>
      </c>
      <c r="C431" t="s">
        <v>63</v>
      </c>
      <c r="D431" s="3">
        <v>222.34</v>
      </c>
      <c r="E431" t="s">
        <v>334</v>
      </c>
      <c r="F431" t="s">
        <v>134</v>
      </c>
    </row>
    <row r="432" spans="1:6" x14ac:dyDescent="0.25">
      <c r="A432">
        <v>20210401</v>
      </c>
      <c r="B432" t="str">
        <f t="shared" si="11"/>
        <v>136953</v>
      </c>
      <c r="C432" t="s">
        <v>63</v>
      </c>
      <c r="D432" s="3">
        <v>60.75</v>
      </c>
      <c r="E432" t="s">
        <v>36</v>
      </c>
      <c r="F432" t="s">
        <v>134</v>
      </c>
    </row>
    <row r="433" spans="1:6" x14ac:dyDescent="0.25">
      <c r="A433">
        <v>20210401</v>
      </c>
      <c r="B433" t="str">
        <f t="shared" si="11"/>
        <v>136953</v>
      </c>
      <c r="C433" t="s">
        <v>63</v>
      </c>
      <c r="D433" s="3">
        <v>188.92</v>
      </c>
      <c r="E433" t="s">
        <v>335</v>
      </c>
      <c r="F433" t="s">
        <v>134</v>
      </c>
    </row>
    <row r="434" spans="1:6" x14ac:dyDescent="0.25">
      <c r="A434">
        <v>20210401</v>
      </c>
      <c r="B434" t="str">
        <f t="shared" si="11"/>
        <v>136953</v>
      </c>
      <c r="C434" t="s">
        <v>63</v>
      </c>
      <c r="D434" s="3">
        <v>30.64</v>
      </c>
      <c r="E434" t="s">
        <v>36</v>
      </c>
      <c r="F434" t="s">
        <v>134</v>
      </c>
    </row>
    <row r="435" spans="1:6" x14ac:dyDescent="0.25">
      <c r="A435">
        <v>20210401</v>
      </c>
      <c r="B435" t="str">
        <f t="shared" si="11"/>
        <v>136953</v>
      </c>
      <c r="C435" t="s">
        <v>63</v>
      </c>
      <c r="D435" s="3">
        <v>1.59</v>
      </c>
      <c r="E435" t="s">
        <v>334</v>
      </c>
      <c r="F435" t="s">
        <v>134</v>
      </c>
    </row>
    <row r="436" spans="1:6" x14ac:dyDescent="0.25">
      <c r="A436">
        <v>20210401</v>
      </c>
      <c r="B436" t="str">
        <f>"136954"</f>
        <v>136954</v>
      </c>
      <c r="C436" t="s">
        <v>336</v>
      </c>
      <c r="D436" s="3">
        <v>1500</v>
      </c>
      <c r="E436" t="s">
        <v>337</v>
      </c>
      <c r="F436" t="s">
        <v>338</v>
      </c>
    </row>
    <row r="437" spans="1:6" x14ac:dyDescent="0.25">
      <c r="A437">
        <v>20210401</v>
      </c>
      <c r="B437" t="str">
        <f>"136955"</f>
        <v>136955</v>
      </c>
      <c r="C437" t="s">
        <v>339</v>
      </c>
      <c r="D437" s="3">
        <v>400</v>
      </c>
      <c r="E437" t="s">
        <v>340</v>
      </c>
      <c r="F437" t="s">
        <v>143</v>
      </c>
    </row>
    <row r="438" spans="1:6" x14ac:dyDescent="0.25">
      <c r="A438">
        <v>20210401</v>
      </c>
      <c r="B438" t="str">
        <f>"136956"</f>
        <v>136956</v>
      </c>
      <c r="C438" t="s">
        <v>341</v>
      </c>
      <c r="D438" s="3">
        <v>99.99</v>
      </c>
      <c r="E438" t="s">
        <v>342</v>
      </c>
      <c r="F438" t="s">
        <v>134</v>
      </c>
    </row>
    <row r="439" spans="1:6" x14ac:dyDescent="0.25">
      <c r="A439">
        <v>20210401</v>
      </c>
      <c r="B439" t="str">
        <f>"136957"</f>
        <v>136957</v>
      </c>
      <c r="C439" t="s">
        <v>343</v>
      </c>
      <c r="D439" s="3">
        <v>379</v>
      </c>
      <c r="E439" t="s">
        <v>344</v>
      </c>
      <c r="F439" t="s">
        <v>134</v>
      </c>
    </row>
    <row r="440" spans="1:6" x14ac:dyDescent="0.25">
      <c r="A440">
        <v>20210401</v>
      </c>
      <c r="B440" t="str">
        <f>"136958"</f>
        <v>136958</v>
      </c>
      <c r="C440" t="s">
        <v>345</v>
      </c>
      <c r="D440" s="3">
        <v>394.35</v>
      </c>
      <c r="E440" t="s">
        <v>346</v>
      </c>
      <c r="F440" t="s">
        <v>134</v>
      </c>
    </row>
    <row r="441" spans="1:6" x14ac:dyDescent="0.25">
      <c r="A441">
        <v>20210401</v>
      </c>
      <c r="B441" t="str">
        <f>"136958"</f>
        <v>136958</v>
      </c>
      <c r="C441" t="s">
        <v>345</v>
      </c>
      <c r="D441" s="3">
        <v>2508.23</v>
      </c>
      <c r="E441" t="s">
        <v>347</v>
      </c>
      <c r="F441" t="s">
        <v>134</v>
      </c>
    </row>
    <row r="442" spans="1:6" x14ac:dyDescent="0.25">
      <c r="A442">
        <v>20210401</v>
      </c>
      <c r="B442" t="str">
        <f>"136959"</f>
        <v>136959</v>
      </c>
      <c r="C442" t="s">
        <v>348</v>
      </c>
      <c r="D442" s="3">
        <v>200</v>
      </c>
      <c r="E442" t="s">
        <v>349</v>
      </c>
      <c r="F442" t="s">
        <v>143</v>
      </c>
    </row>
    <row r="443" spans="1:6" x14ac:dyDescent="0.25">
      <c r="A443">
        <v>20210401</v>
      </c>
      <c r="B443" t="str">
        <f>"136959"</f>
        <v>136959</v>
      </c>
      <c r="C443" t="s">
        <v>348</v>
      </c>
      <c r="D443" s="3">
        <v>200</v>
      </c>
      <c r="E443" t="s">
        <v>349</v>
      </c>
      <c r="F443" t="s">
        <v>143</v>
      </c>
    </row>
    <row r="444" spans="1:6" x14ac:dyDescent="0.25">
      <c r="A444">
        <v>20210401</v>
      </c>
      <c r="B444" t="str">
        <f>"136960"</f>
        <v>136960</v>
      </c>
      <c r="C444" t="s">
        <v>350</v>
      </c>
      <c r="D444" s="3">
        <v>14000</v>
      </c>
      <c r="E444" t="s">
        <v>351</v>
      </c>
      <c r="F444" t="s">
        <v>134</v>
      </c>
    </row>
    <row r="445" spans="1:6" x14ac:dyDescent="0.25">
      <c r="A445">
        <v>20210409</v>
      </c>
      <c r="B445" t="str">
        <f t="shared" ref="B445:B508" si="12">"136961"</f>
        <v>136961</v>
      </c>
      <c r="C445" t="s">
        <v>76</v>
      </c>
      <c r="D445" s="3">
        <v>229.21</v>
      </c>
      <c r="E445" t="s">
        <v>36</v>
      </c>
      <c r="F445" t="s">
        <v>134</v>
      </c>
    </row>
    <row r="446" spans="1:6" x14ac:dyDescent="0.25">
      <c r="A446">
        <v>20210409</v>
      </c>
      <c r="B446" t="str">
        <f t="shared" si="12"/>
        <v>136961</v>
      </c>
      <c r="C446" t="s">
        <v>76</v>
      </c>
      <c r="D446" s="3">
        <v>100</v>
      </c>
      <c r="E446" t="s">
        <v>36</v>
      </c>
      <c r="F446" t="s">
        <v>134</v>
      </c>
    </row>
    <row r="447" spans="1:6" x14ac:dyDescent="0.25">
      <c r="A447">
        <v>20210409</v>
      </c>
      <c r="B447" t="str">
        <f t="shared" si="12"/>
        <v>136961</v>
      </c>
      <c r="C447" t="s">
        <v>76</v>
      </c>
      <c r="D447" s="3">
        <v>55.94</v>
      </c>
      <c r="E447" t="s">
        <v>36</v>
      </c>
      <c r="F447" t="s">
        <v>134</v>
      </c>
    </row>
    <row r="448" spans="1:6" x14ac:dyDescent="0.25">
      <c r="A448">
        <v>20210409</v>
      </c>
      <c r="B448" t="str">
        <f t="shared" si="12"/>
        <v>136961</v>
      </c>
      <c r="C448" t="s">
        <v>76</v>
      </c>
      <c r="D448" s="3">
        <v>119.94</v>
      </c>
      <c r="E448" t="s">
        <v>36</v>
      </c>
      <c r="F448" t="s">
        <v>134</v>
      </c>
    </row>
    <row r="449" spans="1:6" x14ac:dyDescent="0.25">
      <c r="A449">
        <v>20210409</v>
      </c>
      <c r="B449" t="str">
        <f t="shared" si="12"/>
        <v>136961</v>
      </c>
      <c r="C449" t="s">
        <v>76</v>
      </c>
      <c r="D449" s="3">
        <v>146.68</v>
      </c>
      <c r="E449" t="s">
        <v>211</v>
      </c>
      <c r="F449" t="s">
        <v>134</v>
      </c>
    </row>
    <row r="450" spans="1:6" x14ac:dyDescent="0.25">
      <c r="A450">
        <v>20210409</v>
      </c>
      <c r="B450" t="str">
        <f t="shared" si="12"/>
        <v>136961</v>
      </c>
      <c r="C450" t="s">
        <v>76</v>
      </c>
      <c r="D450" s="3">
        <v>322.05</v>
      </c>
      <c r="E450" t="s">
        <v>211</v>
      </c>
      <c r="F450" t="s">
        <v>134</v>
      </c>
    </row>
    <row r="451" spans="1:6" x14ac:dyDescent="0.25">
      <c r="A451">
        <v>20210409</v>
      </c>
      <c r="B451" t="str">
        <f t="shared" si="12"/>
        <v>136961</v>
      </c>
      <c r="C451" t="s">
        <v>76</v>
      </c>
      <c r="D451" s="3">
        <v>451</v>
      </c>
      <c r="E451" t="s">
        <v>36</v>
      </c>
      <c r="F451" t="s">
        <v>134</v>
      </c>
    </row>
    <row r="452" spans="1:6" x14ac:dyDescent="0.25">
      <c r="A452">
        <v>20210409</v>
      </c>
      <c r="B452" t="str">
        <f t="shared" si="12"/>
        <v>136961</v>
      </c>
      <c r="C452" t="s">
        <v>76</v>
      </c>
      <c r="D452" s="3">
        <v>195.38</v>
      </c>
      <c r="E452" t="s">
        <v>36</v>
      </c>
      <c r="F452" t="s">
        <v>134</v>
      </c>
    </row>
    <row r="453" spans="1:6" x14ac:dyDescent="0.25">
      <c r="A453">
        <v>20210409</v>
      </c>
      <c r="B453" t="str">
        <f t="shared" si="12"/>
        <v>136961</v>
      </c>
      <c r="C453" t="s">
        <v>76</v>
      </c>
      <c r="D453" s="3">
        <v>124.06</v>
      </c>
      <c r="E453" t="s">
        <v>36</v>
      </c>
      <c r="F453" t="s">
        <v>134</v>
      </c>
    </row>
    <row r="454" spans="1:6" x14ac:dyDescent="0.25">
      <c r="A454">
        <v>20210409</v>
      </c>
      <c r="B454" t="str">
        <f t="shared" si="12"/>
        <v>136961</v>
      </c>
      <c r="C454" t="s">
        <v>76</v>
      </c>
      <c r="D454" s="3">
        <v>116.69</v>
      </c>
      <c r="E454" t="s">
        <v>36</v>
      </c>
      <c r="F454" t="s">
        <v>134</v>
      </c>
    </row>
    <row r="455" spans="1:6" x14ac:dyDescent="0.25">
      <c r="A455">
        <v>20210409</v>
      </c>
      <c r="B455" t="str">
        <f t="shared" si="12"/>
        <v>136961</v>
      </c>
      <c r="C455" t="s">
        <v>76</v>
      </c>
      <c r="D455" s="3">
        <v>165.33</v>
      </c>
      <c r="E455" t="s">
        <v>36</v>
      </c>
      <c r="F455" t="s">
        <v>134</v>
      </c>
    </row>
    <row r="456" spans="1:6" x14ac:dyDescent="0.25">
      <c r="A456">
        <v>20210409</v>
      </c>
      <c r="B456" t="str">
        <f t="shared" si="12"/>
        <v>136961</v>
      </c>
      <c r="C456" t="s">
        <v>76</v>
      </c>
      <c r="D456" s="3">
        <v>29.78</v>
      </c>
      <c r="E456" t="s">
        <v>36</v>
      </c>
      <c r="F456" t="s">
        <v>134</v>
      </c>
    </row>
    <row r="457" spans="1:6" x14ac:dyDescent="0.25">
      <c r="A457">
        <v>20210409</v>
      </c>
      <c r="B457" t="str">
        <f t="shared" si="12"/>
        <v>136961</v>
      </c>
      <c r="C457" t="s">
        <v>76</v>
      </c>
      <c r="D457" s="3">
        <v>27.49</v>
      </c>
      <c r="E457" t="s">
        <v>36</v>
      </c>
      <c r="F457" t="s">
        <v>134</v>
      </c>
    </row>
    <row r="458" spans="1:6" x14ac:dyDescent="0.25">
      <c r="A458">
        <v>20210409</v>
      </c>
      <c r="B458" t="str">
        <f t="shared" si="12"/>
        <v>136961</v>
      </c>
      <c r="C458" t="s">
        <v>76</v>
      </c>
      <c r="D458" s="3">
        <v>89</v>
      </c>
      <c r="E458" t="s">
        <v>36</v>
      </c>
      <c r="F458" t="s">
        <v>134</v>
      </c>
    </row>
    <row r="459" spans="1:6" x14ac:dyDescent="0.25">
      <c r="A459">
        <v>20210409</v>
      </c>
      <c r="B459" t="str">
        <f t="shared" si="12"/>
        <v>136961</v>
      </c>
      <c r="C459" t="s">
        <v>76</v>
      </c>
      <c r="D459" s="3">
        <v>98.59</v>
      </c>
      <c r="E459" t="s">
        <v>36</v>
      </c>
      <c r="F459" t="s">
        <v>134</v>
      </c>
    </row>
    <row r="460" spans="1:6" x14ac:dyDescent="0.25">
      <c r="A460">
        <v>20210409</v>
      </c>
      <c r="B460" t="str">
        <f t="shared" si="12"/>
        <v>136961</v>
      </c>
      <c r="C460" t="s">
        <v>76</v>
      </c>
      <c r="D460" s="3">
        <v>119.8</v>
      </c>
      <c r="E460" t="s">
        <v>36</v>
      </c>
      <c r="F460" t="s">
        <v>134</v>
      </c>
    </row>
    <row r="461" spans="1:6" x14ac:dyDescent="0.25">
      <c r="A461">
        <v>20210409</v>
      </c>
      <c r="B461" t="str">
        <f t="shared" si="12"/>
        <v>136961</v>
      </c>
      <c r="C461" t="s">
        <v>76</v>
      </c>
      <c r="D461" s="3">
        <v>219</v>
      </c>
      <c r="E461" t="s">
        <v>36</v>
      </c>
      <c r="F461" t="s">
        <v>134</v>
      </c>
    </row>
    <row r="462" spans="1:6" x14ac:dyDescent="0.25">
      <c r="A462">
        <v>20210409</v>
      </c>
      <c r="B462" t="str">
        <f t="shared" si="12"/>
        <v>136961</v>
      </c>
      <c r="C462" t="s">
        <v>76</v>
      </c>
      <c r="D462" s="3">
        <v>31.94</v>
      </c>
      <c r="E462" t="s">
        <v>36</v>
      </c>
      <c r="F462" t="s">
        <v>134</v>
      </c>
    </row>
    <row r="463" spans="1:6" x14ac:dyDescent="0.25">
      <c r="A463">
        <v>20210409</v>
      </c>
      <c r="B463" t="str">
        <f t="shared" si="12"/>
        <v>136961</v>
      </c>
      <c r="C463" t="s">
        <v>76</v>
      </c>
      <c r="D463" s="3">
        <v>153.68</v>
      </c>
      <c r="E463" t="s">
        <v>36</v>
      </c>
      <c r="F463" t="s">
        <v>134</v>
      </c>
    </row>
    <row r="464" spans="1:6" x14ac:dyDescent="0.25">
      <c r="A464">
        <v>20210409</v>
      </c>
      <c r="B464" t="str">
        <f t="shared" si="12"/>
        <v>136961</v>
      </c>
      <c r="C464" t="s">
        <v>76</v>
      </c>
      <c r="D464" s="3">
        <v>34.14</v>
      </c>
      <c r="E464" t="s">
        <v>36</v>
      </c>
      <c r="F464" t="s">
        <v>134</v>
      </c>
    </row>
    <row r="465" spans="1:6" x14ac:dyDescent="0.25">
      <c r="A465">
        <v>20210409</v>
      </c>
      <c r="B465" t="str">
        <f t="shared" si="12"/>
        <v>136961</v>
      </c>
      <c r="C465" t="s">
        <v>76</v>
      </c>
      <c r="D465" s="3">
        <v>445.06</v>
      </c>
      <c r="E465" t="s">
        <v>36</v>
      </c>
      <c r="F465" t="s">
        <v>134</v>
      </c>
    </row>
    <row r="466" spans="1:6" x14ac:dyDescent="0.25">
      <c r="A466">
        <v>20210409</v>
      </c>
      <c r="B466" t="str">
        <f t="shared" si="12"/>
        <v>136961</v>
      </c>
      <c r="C466" t="s">
        <v>76</v>
      </c>
      <c r="D466" s="3">
        <v>39.979999999999997</v>
      </c>
      <c r="E466" t="s">
        <v>36</v>
      </c>
      <c r="F466" t="s">
        <v>134</v>
      </c>
    </row>
    <row r="467" spans="1:6" x14ac:dyDescent="0.25">
      <c r="A467">
        <v>20210409</v>
      </c>
      <c r="B467" t="str">
        <f t="shared" si="12"/>
        <v>136961</v>
      </c>
      <c r="C467" t="s">
        <v>76</v>
      </c>
      <c r="D467" s="3">
        <v>119.94</v>
      </c>
      <c r="E467" t="s">
        <v>36</v>
      </c>
      <c r="F467" t="s">
        <v>134</v>
      </c>
    </row>
    <row r="468" spans="1:6" x14ac:dyDescent="0.25">
      <c r="A468">
        <v>20210409</v>
      </c>
      <c r="B468" t="str">
        <f t="shared" si="12"/>
        <v>136961</v>
      </c>
      <c r="C468" t="s">
        <v>76</v>
      </c>
      <c r="D468" s="3">
        <v>892.97</v>
      </c>
      <c r="E468" t="s">
        <v>36</v>
      </c>
      <c r="F468" t="s">
        <v>134</v>
      </c>
    </row>
    <row r="469" spans="1:6" x14ac:dyDescent="0.25">
      <c r="A469">
        <v>20210409</v>
      </c>
      <c r="B469" t="str">
        <f t="shared" si="12"/>
        <v>136961</v>
      </c>
      <c r="C469" t="s">
        <v>76</v>
      </c>
      <c r="D469" s="3">
        <v>1482.16</v>
      </c>
      <c r="E469" t="s">
        <v>36</v>
      </c>
      <c r="F469" t="s">
        <v>134</v>
      </c>
    </row>
    <row r="470" spans="1:6" x14ac:dyDescent="0.25">
      <c r="A470">
        <v>20210409</v>
      </c>
      <c r="B470" t="str">
        <f t="shared" si="12"/>
        <v>136961</v>
      </c>
      <c r="C470" t="s">
        <v>76</v>
      </c>
      <c r="D470" s="3">
        <v>141.96</v>
      </c>
      <c r="E470" t="s">
        <v>211</v>
      </c>
      <c r="F470" t="s">
        <v>134</v>
      </c>
    </row>
    <row r="471" spans="1:6" x14ac:dyDescent="0.25">
      <c r="A471">
        <v>20210409</v>
      </c>
      <c r="B471" t="str">
        <f t="shared" si="12"/>
        <v>136961</v>
      </c>
      <c r="C471" t="s">
        <v>76</v>
      </c>
      <c r="D471" s="3">
        <v>208.57</v>
      </c>
      <c r="E471" t="s">
        <v>36</v>
      </c>
      <c r="F471" t="s">
        <v>134</v>
      </c>
    </row>
    <row r="472" spans="1:6" x14ac:dyDescent="0.25">
      <c r="A472">
        <v>20210409</v>
      </c>
      <c r="B472" t="str">
        <f t="shared" si="12"/>
        <v>136961</v>
      </c>
      <c r="C472" t="s">
        <v>76</v>
      </c>
      <c r="D472" s="3">
        <v>74.89</v>
      </c>
      <c r="E472" t="s">
        <v>36</v>
      </c>
      <c r="F472" t="s">
        <v>134</v>
      </c>
    </row>
    <row r="473" spans="1:6" x14ac:dyDescent="0.25">
      <c r="A473">
        <v>20210409</v>
      </c>
      <c r="B473" t="str">
        <f t="shared" si="12"/>
        <v>136961</v>
      </c>
      <c r="C473" t="s">
        <v>76</v>
      </c>
      <c r="D473" s="3">
        <v>641.19000000000005</v>
      </c>
      <c r="E473" t="s">
        <v>36</v>
      </c>
      <c r="F473" t="s">
        <v>134</v>
      </c>
    </row>
    <row r="474" spans="1:6" x14ac:dyDescent="0.25">
      <c r="A474">
        <v>20210409</v>
      </c>
      <c r="B474" t="str">
        <f t="shared" si="12"/>
        <v>136961</v>
      </c>
      <c r="C474" t="s">
        <v>76</v>
      </c>
      <c r="D474" s="3">
        <v>134.68</v>
      </c>
      <c r="E474" t="s">
        <v>211</v>
      </c>
      <c r="F474" t="s">
        <v>134</v>
      </c>
    </row>
    <row r="475" spans="1:6" x14ac:dyDescent="0.25">
      <c r="A475">
        <v>20210409</v>
      </c>
      <c r="B475" t="str">
        <f t="shared" si="12"/>
        <v>136961</v>
      </c>
      <c r="C475" t="s">
        <v>76</v>
      </c>
      <c r="D475" s="3">
        <v>165.23</v>
      </c>
      <c r="E475" t="s">
        <v>36</v>
      </c>
      <c r="F475" t="s">
        <v>134</v>
      </c>
    </row>
    <row r="476" spans="1:6" x14ac:dyDescent="0.25">
      <c r="A476">
        <v>20210409</v>
      </c>
      <c r="B476" t="str">
        <f t="shared" si="12"/>
        <v>136961</v>
      </c>
      <c r="C476" t="s">
        <v>76</v>
      </c>
      <c r="D476" s="3">
        <v>88.87</v>
      </c>
      <c r="E476" t="s">
        <v>36</v>
      </c>
      <c r="F476" t="s">
        <v>134</v>
      </c>
    </row>
    <row r="477" spans="1:6" x14ac:dyDescent="0.25">
      <c r="A477">
        <v>20210409</v>
      </c>
      <c r="B477" t="str">
        <f t="shared" si="12"/>
        <v>136961</v>
      </c>
      <c r="C477" t="s">
        <v>76</v>
      </c>
      <c r="D477" s="3">
        <v>125.56</v>
      </c>
      <c r="E477" t="s">
        <v>36</v>
      </c>
      <c r="F477" t="s">
        <v>134</v>
      </c>
    </row>
    <row r="478" spans="1:6" x14ac:dyDescent="0.25">
      <c r="A478">
        <v>20210409</v>
      </c>
      <c r="B478" t="str">
        <f t="shared" si="12"/>
        <v>136961</v>
      </c>
      <c r="C478" t="s">
        <v>76</v>
      </c>
      <c r="D478" s="3">
        <v>555.17999999999995</v>
      </c>
      <c r="E478" t="s">
        <v>36</v>
      </c>
      <c r="F478" t="s">
        <v>134</v>
      </c>
    </row>
    <row r="479" spans="1:6" x14ac:dyDescent="0.25">
      <c r="A479">
        <v>20210409</v>
      </c>
      <c r="B479" t="str">
        <f t="shared" si="12"/>
        <v>136961</v>
      </c>
      <c r="C479" t="s">
        <v>76</v>
      </c>
      <c r="D479" s="3">
        <v>254.51</v>
      </c>
      <c r="E479" t="s">
        <v>36</v>
      </c>
      <c r="F479" t="s">
        <v>134</v>
      </c>
    </row>
    <row r="480" spans="1:6" x14ac:dyDescent="0.25">
      <c r="A480">
        <v>20210409</v>
      </c>
      <c r="B480" t="str">
        <f t="shared" si="12"/>
        <v>136961</v>
      </c>
      <c r="C480" t="s">
        <v>76</v>
      </c>
      <c r="D480" s="3">
        <v>1472.51</v>
      </c>
      <c r="E480" t="s">
        <v>36</v>
      </c>
      <c r="F480" t="s">
        <v>134</v>
      </c>
    </row>
    <row r="481" spans="1:6" x14ac:dyDescent="0.25">
      <c r="A481">
        <v>20210409</v>
      </c>
      <c r="B481" t="str">
        <f t="shared" si="12"/>
        <v>136961</v>
      </c>
      <c r="C481" t="s">
        <v>76</v>
      </c>
      <c r="D481" s="3">
        <v>18.75</v>
      </c>
      <c r="E481" t="s">
        <v>36</v>
      </c>
      <c r="F481" t="s">
        <v>134</v>
      </c>
    </row>
    <row r="482" spans="1:6" x14ac:dyDescent="0.25">
      <c r="A482">
        <v>20210409</v>
      </c>
      <c r="B482" t="str">
        <f t="shared" si="12"/>
        <v>136961</v>
      </c>
      <c r="C482" t="s">
        <v>76</v>
      </c>
      <c r="D482" s="3">
        <v>7.99</v>
      </c>
      <c r="E482" t="s">
        <v>36</v>
      </c>
      <c r="F482" t="s">
        <v>134</v>
      </c>
    </row>
    <row r="483" spans="1:6" x14ac:dyDescent="0.25">
      <c r="A483">
        <v>20210409</v>
      </c>
      <c r="B483" t="str">
        <f t="shared" si="12"/>
        <v>136961</v>
      </c>
      <c r="C483" t="s">
        <v>76</v>
      </c>
      <c r="D483" s="3">
        <v>9</v>
      </c>
      <c r="E483" t="s">
        <v>36</v>
      </c>
      <c r="F483" t="s">
        <v>134</v>
      </c>
    </row>
    <row r="484" spans="1:6" x14ac:dyDescent="0.25">
      <c r="A484">
        <v>20210409</v>
      </c>
      <c r="B484" t="str">
        <f t="shared" si="12"/>
        <v>136961</v>
      </c>
      <c r="C484" t="s">
        <v>76</v>
      </c>
      <c r="D484" s="3">
        <v>120.59</v>
      </c>
      <c r="E484" t="s">
        <v>36</v>
      </c>
      <c r="F484" t="s">
        <v>134</v>
      </c>
    </row>
    <row r="485" spans="1:6" x14ac:dyDescent="0.25">
      <c r="A485">
        <v>20210409</v>
      </c>
      <c r="B485" t="str">
        <f t="shared" si="12"/>
        <v>136961</v>
      </c>
      <c r="C485" t="s">
        <v>76</v>
      </c>
      <c r="D485" s="3">
        <v>26.55</v>
      </c>
      <c r="E485" t="s">
        <v>36</v>
      </c>
      <c r="F485" t="s">
        <v>134</v>
      </c>
    </row>
    <row r="486" spans="1:6" x14ac:dyDescent="0.25">
      <c r="A486">
        <v>20210409</v>
      </c>
      <c r="B486" t="str">
        <f t="shared" si="12"/>
        <v>136961</v>
      </c>
      <c r="C486" t="s">
        <v>76</v>
      </c>
      <c r="D486" s="3">
        <v>679.56</v>
      </c>
      <c r="E486" t="s">
        <v>36</v>
      </c>
      <c r="F486" t="s">
        <v>134</v>
      </c>
    </row>
    <row r="487" spans="1:6" x14ac:dyDescent="0.25">
      <c r="A487">
        <v>20210409</v>
      </c>
      <c r="B487" t="str">
        <f t="shared" si="12"/>
        <v>136961</v>
      </c>
      <c r="C487" t="s">
        <v>76</v>
      </c>
      <c r="D487" s="3">
        <v>29.54</v>
      </c>
      <c r="E487" t="s">
        <v>36</v>
      </c>
      <c r="F487" t="s">
        <v>134</v>
      </c>
    </row>
    <row r="488" spans="1:6" x14ac:dyDescent="0.25">
      <c r="A488">
        <v>20210409</v>
      </c>
      <c r="B488" t="str">
        <f t="shared" si="12"/>
        <v>136961</v>
      </c>
      <c r="C488" t="s">
        <v>76</v>
      </c>
      <c r="D488" s="3">
        <v>-37.700000000000003</v>
      </c>
      <c r="E488" t="s">
        <v>352</v>
      </c>
      <c r="F488" t="s">
        <v>134</v>
      </c>
    </row>
    <row r="489" spans="1:6" x14ac:dyDescent="0.25">
      <c r="A489">
        <v>20210409</v>
      </c>
      <c r="B489" t="str">
        <f t="shared" si="12"/>
        <v>136961</v>
      </c>
      <c r="C489" t="s">
        <v>76</v>
      </c>
      <c r="D489" s="3">
        <v>252.2</v>
      </c>
      <c r="E489" t="s">
        <v>36</v>
      </c>
      <c r="F489" t="s">
        <v>134</v>
      </c>
    </row>
    <row r="490" spans="1:6" x14ac:dyDescent="0.25">
      <c r="A490">
        <v>20210409</v>
      </c>
      <c r="B490" t="str">
        <f t="shared" si="12"/>
        <v>136961</v>
      </c>
      <c r="C490" t="s">
        <v>76</v>
      </c>
      <c r="D490" s="3">
        <v>96.45</v>
      </c>
      <c r="E490" t="s">
        <v>353</v>
      </c>
      <c r="F490" t="s">
        <v>134</v>
      </c>
    </row>
    <row r="491" spans="1:6" x14ac:dyDescent="0.25">
      <c r="A491">
        <v>20210409</v>
      </c>
      <c r="B491" t="str">
        <f t="shared" si="12"/>
        <v>136961</v>
      </c>
      <c r="C491" t="s">
        <v>76</v>
      </c>
      <c r="D491" s="3">
        <v>204.87</v>
      </c>
      <c r="E491" t="s">
        <v>36</v>
      </c>
      <c r="F491" t="s">
        <v>134</v>
      </c>
    </row>
    <row r="492" spans="1:6" x14ac:dyDescent="0.25">
      <c r="A492">
        <v>20210409</v>
      </c>
      <c r="B492" t="str">
        <f t="shared" si="12"/>
        <v>136961</v>
      </c>
      <c r="C492" t="s">
        <v>76</v>
      </c>
      <c r="D492" s="3">
        <v>123.58</v>
      </c>
      <c r="E492" t="s">
        <v>36</v>
      </c>
      <c r="F492" t="s">
        <v>134</v>
      </c>
    </row>
    <row r="493" spans="1:6" x14ac:dyDescent="0.25">
      <c r="A493">
        <v>20210409</v>
      </c>
      <c r="B493" t="str">
        <f t="shared" si="12"/>
        <v>136961</v>
      </c>
      <c r="C493" t="s">
        <v>76</v>
      </c>
      <c r="D493" s="3">
        <v>374.23</v>
      </c>
      <c r="E493" t="s">
        <v>36</v>
      </c>
      <c r="F493" t="s">
        <v>134</v>
      </c>
    </row>
    <row r="494" spans="1:6" x14ac:dyDescent="0.25">
      <c r="A494">
        <v>20210409</v>
      </c>
      <c r="B494" t="str">
        <f t="shared" si="12"/>
        <v>136961</v>
      </c>
      <c r="C494" t="s">
        <v>76</v>
      </c>
      <c r="D494" s="3">
        <v>91.2</v>
      </c>
      <c r="E494" t="s">
        <v>36</v>
      </c>
      <c r="F494" t="s">
        <v>134</v>
      </c>
    </row>
    <row r="495" spans="1:6" x14ac:dyDescent="0.25">
      <c r="A495">
        <v>20210409</v>
      </c>
      <c r="B495" t="str">
        <f t="shared" si="12"/>
        <v>136961</v>
      </c>
      <c r="C495" t="s">
        <v>76</v>
      </c>
      <c r="D495" s="3">
        <v>-91.2</v>
      </c>
      <c r="E495" t="s">
        <v>354</v>
      </c>
      <c r="F495" t="s">
        <v>134</v>
      </c>
    </row>
    <row r="496" spans="1:6" x14ac:dyDescent="0.25">
      <c r="A496">
        <v>20210409</v>
      </c>
      <c r="B496" t="str">
        <f t="shared" si="12"/>
        <v>136961</v>
      </c>
      <c r="C496" t="s">
        <v>76</v>
      </c>
      <c r="D496" s="3">
        <v>-21.42</v>
      </c>
      <c r="E496" t="s">
        <v>355</v>
      </c>
      <c r="F496" t="s">
        <v>134</v>
      </c>
    </row>
    <row r="497" spans="1:6" x14ac:dyDescent="0.25">
      <c r="A497">
        <v>20210409</v>
      </c>
      <c r="B497" t="str">
        <f t="shared" si="12"/>
        <v>136961</v>
      </c>
      <c r="C497" t="s">
        <v>76</v>
      </c>
      <c r="D497" s="3">
        <v>524.38</v>
      </c>
      <c r="E497" t="s">
        <v>36</v>
      </c>
      <c r="F497" t="s">
        <v>134</v>
      </c>
    </row>
    <row r="498" spans="1:6" x14ac:dyDescent="0.25">
      <c r="A498">
        <v>20210409</v>
      </c>
      <c r="B498" t="str">
        <f t="shared" si="12"/>
        <v>136961</v>
      </c>
      <c r="C498" t="s">
        <v>76</v>
      </c>
      <c r="D498" s="3">
        <v>20.14</v>
      </c>
      <c r="E498" t="s">
        <v>36</v>
      </c>
      <c r="F498" t="s">
        <v>134</v>
      </c>
    </row>
    <row r="499" spans="1:6" x14ac:dyDescent="0.25">
      <c r="A499">
        <v>20210409</v>
      </c>
      <c r="B499" t="str">
        <f t="shared" si="12"/>
        <v>136961</v>
      </c>
      <c r="C499" t="s">
        <v>76</v>
      </c>
      <c r="D499" s="3">
        <v>164.98</v>
      </c>
      <c r="E499" t="s">
        <v>282</v>
      </c>
      <c r="F499" t="s">
        <v>134</v>
      </c>
    </row>
    <row r="500" spans="1:6" x14ac:dyDescent="0.25">
      <c r="A500">
        <v>20210409</v>
      </c>
      <c r="B500" t="str">
        <f t="shared" si="12"/>
        <v>136961</v>
      </c>
      <c r="C500" t="s">
        <v>76</v>
      </c>
      <c r="D500" s="3">
        <v>107.66</v>
      </c>
      <c r="E500" t="s">
        <v>36</v>
      </c>
      <c r="F500" t="s">
        <v>134</v>
      </c>
    </row>
    <row r="501" spans="1:6" x14ac:dyDescent="0.25">
      <c r="A501">
        <v>20210409</v>
      </c>
      <c r="B501" t="str">
        <f t="shared" si="12"/>
        <v>136961</v>
      </c>
      <c r="C501" t="s">
        <v>76</v>
      </c>
      <c r="D501" s="3">
        <v>573.4</v>
      </c>
      <c r="E501" t="s">
        <v>36</v>
      </c>
      <c r="F501" t="s">
        <v>134</v>
      </c>
    </row>
    <row r="502" spans="1:6" x14ac:dyDescent="0.25">
      <c r="A502">
        <v>20210409</v>
      </c>
      <c r="B502" t="str">
        <f t="shared" si="12"/>
        <v>136961</v>
      </c>
      <c r="C502" t="s">
        <v>76</v>
      </c>
      <c r="D502" s="3">
        <v>37.590000000000003</v>
      </c>
      <c r="E502" t="s">
        <v>36</v>
      </c>
      <c r="F502" t="s">
        <v>134</v>
      </c>
    </row>
    <row r="503" spans="1:6" x14ac:dyDescent="0.25">
      <c r="A503">
        <v>20210409</v>
      </c>
      <c r="B503" t="str">
        <f t="shared" si="12"/>
        <v>136961</v>
      </c>
      <c r="C503" t="s">
        <v>76</v>
      </c>
      <c r="D503" s="3">
        <v>197.75</v>
      </c>
      <c r="E503" t="s">
        <v>36</v>
      </c>
      <c r="F503" t="s">
        <v>134</v>
      </c>
    </row>
    <row r="504" spans="1:6" x14ac:dyDescent="0.25">
      <c r="A504">
        <v>20210409</v>
      </c>
      <c r="B504" t="str">
        <f t="shared" si="12"/>
        <v>136961</v>
      </c>
      <c r="C504" t="s">
        <v>76</v>
      </c>
      <c r="D504" s="3">
        <v>218.89</v>
      </c>
      <c r="E504" t="s">
        <v>283</v>
      </c>
      <c r="F504" t="s">
        <v>134</v>
      </c>
    </row>
    <row r="505" spans="1:6" x14ac:dyDescent="0.25">
      <c r="A505">
        <v>20210409</v>
      </c>
      <c r="B505" t="str">
        <f t="shared" si="12"/>
        <v>136961</v>
      </c>
      <c r="C505" t="s">
        <v>76</v>
      </c>
      <c r="D505" s="3">
        <v>209.9</v>
      </c>
      <c r="E505" t="s">
        <v>344</v>
      </c>
      <c r="F505" t="s">
        <v>134</v>
      </c>
    </row>
    <row r="506" spans="1:6" x14ac:dyDescent="0.25">
      <c r="A506">
        <v>20210409</v>
      </c>
      <c r="B506" t="str">
        <f t="shared" si="12"/>
        <v>136961</v>
      </c>
      <c r="C506" t="s">
        <v>76</v>
      </c>
      <c r="D506" s="3">
        <v>15.96</v>
      </c>
      <c r="E506" t="s">
        <v>36</v>
      </c>
      <c r="F506" t="s">
        <v>134</v>
      </c>
    </row>
    <row r="507" spans="1:6" x14ac:dyDescent="0.25">
      <c r="A507">
        <v>20210409</v>
      </c>
      <c r="B507" t="str">
        <f t="shared" si="12"/>
        <v>136961</v>
      </c>
      <c r="C507" t="s">
        <v>76</v>
      </c>
      <c r="D507" s="3">
        <v>54.89</v>
      </c>
      <c r="E507" t="s">
        <v>356</v>
      </c>
      <c r="F507" t="s">
        <v>134</v>
      </c>
    </row>
    <row r="508" spans="1:6" x14ac:dyDescent="0.25">
      <c r="A508">
        <v>20210409</v>
      </c>
      <c r="B508" t="str">
        <f t="shared" si="12"/>
        <v>136961</v>
      </c>
      <c r="C508" t="s">
        <v>76</v>
      </c>
      <c r="D508" s="3">
        <v>15.97</v>
      </c>
      <c r="E508" t="s">
        <v>36</v>
      </c>
      <c r="F508" t="s">
        <v>134</v>
      </c>
    </row>
    <row r="509" spans="1:6" x14ac:dyDescent="0.25">
      <c r="A509">
        <v>20210409</v>
      </c>
      <c r="B509" t="str">
        <f t="shared" ref="B509:B516" si="13">"136961"</f>
        <v>136961</v>
      </c>
      <c r="C509" t="s">
        <v>76</v>
      </c>
      <c r="D509" s="3">
        <v>61.56</v>
      </c>
      <c r="E509" t="s">
        <v>36</v>
      </c>
      <c r="F509" t="s">
        <v>218</v>
      </c>
    </row>
    <row r="510" spans="1:6" x14ac:dyDescent="0.25">
      <c r="A510">
        <v>20210409</v>
      </c>
      <c r="B510" t="str">
        <f t="shared" si="13"/>
        <v>136961</v>
      </c>
      <c r="C510" t="s">
        <v>76</v>
      </c>
      <c r="D510" s="3">
        <v>61.56</v>
      </c>
      <c r="E510" t="s">
        <v>36</v>
      </c>
      <c r="F510" t="s">
        <v>218</v>
      </c>
    </row>
    <row r="511" spans="1:6" x14ac:dyDescent="0.25">
      <c r="A511">
        <v>20210409</v>
      </c>
      <c r="B511" t="str">
        <f t="shared" si="13"/>
        <v>136961</v>
      </c>
      <c r="C511" t="s">
        <v>76</v>
      </c>
      <c r="D511" s="3">
        <v>61.56</v>
      </c>
      <c r="E511" t="s">
        <v>36</v>
      </c>
      <c r="F511" t="s">
        <v>218</v>
      </c>
    </row>
    <row r="512" spans="1:6" x14ac:dyDescent="0.25">
      <c r="A512">
        <v>20210409</v>
      </c>
      <c r="B512" t="str">
        <f t="shared" si="13"/>
        <v>136961</v>
      </c>
      <c r="C512" t="s">
        <v>76</v>
      </c>
      <c r="D512" s="3">
        <v>61.56</v>
      </c>
      <c r="E512" t="s">
        <v>36</v>
      </c>
      <c r="F512" t="s">
        <v>218</v>
      </c>
    </row>
    <row r="513" spans="1:6" x14ac:dyDescent="0.25">
      <c r="A513">
        <v>20210409</v>
      </c>
      <c r="B513" t="str">
        <f t="shared" si="13"/>
        <v>136961</v>
      </c>
      <c r="C513" t="s">
        <v>76</v>
      </c>
      <c r="D513" s="3">
        <v>61.56</v>
      </c>
      <c r="E513" t="s">
        <v>36</v>
      </c>
      <c r="F513" t="s">
        <v>218</v>
      </c>
    </row>
    <row r="514" spans="1:6" x14ac:dyDescent="0.25">
      <c r="A514">
        <v>20210409</v>
      </c>
      <c r="B514" t="str">
        <f t="shared" si="13"/>
        <v>136961</v>
      </c>
      <c r="C514" t="s">
        <v>76</v>
      </c>
      <c r="D514" s="3">
        <v>50.97</v>
      </c>
      <c r="E514" t="s">
        <v>36</v>
      </c>
      <c r="F514" t="s">
        <v>218</v>
      </c>
    </row>
    <row r="515" spans="1:6" x14ac:dyDescent="0.25">
      <c r="A515">
        <v>20210409</v>
      </c>
      <c r="B515" t="str">
        <f t="shared" si="13"/>
        <v>136961</v>
      </c>
      <c r="C515" t="s">
        <v>76</v>
      </c>
      <c r="D515" s="3">
        <v>43</v>
      </c>
      <c r="E515" t="s">
        <v>36</v>
      </c>
      <c r="F515" t="s">
        <v>218</v>
      </c>
    </row>
    <row r="516" spans="1:6" x14ac:dyDescent="0.25">
      <c r="A516">
        <v>20210409</v>
      </c>
      <c r="B516" t="str">
        <f t="shared" si="13"/>
        <v>136961</v>
      </c>
      <c r="C516" t="s">
        <v>76</v>
      </c>
      <c r="D516" s="3">
        <v>84.98</v>
      </c>
      <c r="E516" t="s">
        <v>36</v>
      </c>
      <c r="F516" t="s">
        <v>218</v>
      </c>
    </row>
    <row r="517" spans="1:6" x14ac:dyDescent="0.25">
      <c r="A517">
        <v>20210409</v>
      </c>
      <c r="B517" t="str">
        <f>"136962"</f>
        <v>136962</v>
      </c>
      <c r="C517" t="s">
        <v>162</v>
      </c>
      <c r="D517" s="3">
        <v>2859</v>
      </c>
      <c r="E517" t="s">
        <v>357</v>
      </c>
      <c r="F517" t="s">
        <v>134</v>
      </c>
    </row>
    <row r="518" spans="1:6" x14ac:dyDescent="0.25">
      <c r="A518">
        <v>20210409</v>
      </c>
      <c r="B518" t="str">
        <f>"136962"</f>
        <v>136962</v>
      </c>
      <c r="C518" t="s">
        <v>162</v>
      </c>
      <c r="D518" s="3">
        <v>1872.76</v>
      </c>
      <c r="E518" t="s">
        <v>358</v>
      </c>
      <c r="F518" t="s">
        <v>134</v>
      </c>
    </row>
    <row r="519" spans="1:6" x14ac:dyDescent="0.25">
      <c r="A519">
        <v>20210409</v>
      </c>
      <c r="B519" t="str">
        <f t="shared" ref="B519:B541" si="14">"136963"</f>
        <v>136963</v>
      </c>
      <c r="C519" t="s">
        <v>359</v>
      </c>
      <c r="D519" s="3">
        <v>226.9</v>
      </c>
      <c r="E519" t="s">
        <v>165</v>
      </c>
      <c r="F519" t="s">
        <v>134</v>
      </c>
    </row>
    <row r="520" spans="1:6" x14ac:dyDescent="0.25">
      <c r="A520">
        <v>20210409</v>
      </c>
      <c r="B520" t="str">
        <f t="shared" si="14"/>
        <v>136963</v>
      </c>
      <c r="C520" t="s">
        <v>359</v>
      </c>
      <c r="D520" s="3">
        <v>226.9</v>
      </c>
      <c r="E520" t="s">
        <v>165</v>
      </c>
      <c r="F520" t="s">
        <v>134</v>
      </c>
    </row>
    <row r="521" spans="1:6" x14ac:dyDescent="0.25">
      <c r="A521">
        <v>20210409</v>
      </c>
      <c r="B521" t="str">
        <f t="shared" si="14"/>
        <v>136963</v>
      </c>
      <c r="C521" t="s">
        <v>359</v>
      </c>
      <c r="D521" s="3">
        <v>36.869999999999997</v>
      </c>
      <c r="E521" t="s">
        <v>165</v>
      </c>
      <c r="F521" t="s">
        <v>134</v>
      </c>
    </row>
    <row r="522" spans="1:6" x14ac:dyDescent="0.25">
      <c r="A522">
        <v>20210409</v>
      </c>
      <c r="B522" t="str">
        <f t="shared" si="14"/>
        <v>136963</v>
      </c>
      <c r="C522" t="s">
        <v>359</v>
      </c>
      <c r="D522" s="3">
        <v>140.51</v>
      </c>
      <c r="E522" t="s">
        <v>165</v>
      </c>
      <c r="F522" t="s">
        <v>134</v>
      </c>
    </row>
    <row r="523" spans="1:6" x14ac:dyDescent="0.25">
      <c r="A523">
        <v>20210409</v>
      </c>
      <c r="B523" t="str">
        <f t="shared" si="14"/>
        <v>136963</v>
      </c>
      <c r="C523" t="s">
        <v>359</v>
      </c>
      <c r="D523" s="3">
        <v>275.37</v>
      </c>
      <c r="E523" t="s">
        <v>165</v>
      </c>
      <c r="F523" t="s">
        <v>134</v>
      </c>
    </row>
    <row r="524" spans="1:6" x14ac:dyDescent="0.25">
      <c r="A524">
        <v>20210409</v>
      </c>
      <c r="B524" t="str">
        <f t="shared" si="14"/>
        <v>136963</v>
      </c>
      <c r="C524" t="s">
        <v>359</v>
      </c>
      <c r="D524" s="3">
        <v>77.59</v>
      </c>
      <c r="E524" t="s">
        <v>165</v>
      </c>
      <c r="F524" t="s">
        <v>134</v>
      </c>
    </row>
    <row r="525" spans="1:6" x14ac:dyDescent="0.25">
      <c r="A525">
        <v>20210409</v>
      </c>
      <c r="B525" t="str">
        <f t="shared" si="14"/>
        <v>136963</v>
      </c>
      <c r="C525" t="s">
        <v>359</v>
      </c>
      <c r="D525" s="3">
        <v>545.61</v>
      </c>
      <c r="E525" t="s">
        <v>165</v>
      </c>
      <c r="F525" t="s">
        <v>134</v>
      </c>
    </row>
    <row r="526" spans="1:6" x14ac:dyDescent="0.25">
      <c r="A526">
        <v>20210409</v>
      </c>
      <c r="B526" t="str">
        <f t="shared" si="14"/>
        <v>136963</v>
      </c>
      <c r="C526" t="s">
        <v>359</v>
      </c>
      <c r="D526" s="3">
        <v>212.79</v>
      </c>
      <c r="E526" t="s">
        <v>165</v>
      </c>
      <c r="F526" t="s">
        <v>134</v>
      </c>
    </row>
    <row r="527" spans="1:6" x14ac:dyDescent="0.25">
      <c r="A527">
        <v>20210409</v>
      </c>
      <c r="B527" t="str">
        <f t="shared" si="14"/>
        <v>136963</v>
      </c>
      <c r="C527" t="s">
        <v>359</v>
      </c>
      <c r="D527" s="3">
        <v>799.42</v>
      </c>
      <c r="E527" t="s">
        <v>165</v>
      </c>
      <c r="F527" t="s">
        <v>134</v>
      </c>
    </row>
    <row r="528" spans="1:6" x14ac:dyDescent="0.25">
      <c r="A528">
        <v>20210409</v>
      </c>
      <c r="B528" t="str">
        <f t="shared" si="14"/>
        <v>136963</v>
      </c>
      <c r="C528" t="s">
        <v>359</v>
      </c>
      <c r="D528" s="3">
        <v>416.94</v>
      </c>
      <c r="E528" t="s">
        <v>165</v>
      </c>
      <c r="F528" t="s">
        <v>134</v>
      </c>
    </row>
    <row r="529" spans="1:6" x14ac:dyDescent="0.25">
      <c r="A529">
        <v>20210409</v>
      </c>
      <c r="B529" t="str">
        <f t="shared" si="14"/>
        <v>136963</v>
      </c>
      <c r="C529" t="s">
        <v>359</v>
      </c>
      <c r="D529" s="3">
        <v>476.97</v>
      </c>
      <c r="E529" t="s">
        <v>165</v>
      </c>
      <c r="F529" t="s">
        <v>134</v>
      </c>
    </row>
    <row r="530" spans="1:6" x14ac:dyDescent="0.25">
      <c r="A530">
        <v>20210409</v>
      </c>
      <c r="B530" t="str">
        <f t="shared" si="14"/>
        <v>136963</v>
      </c>
      <c r="C530" t="s">
        <v>359</v>
      </c>
      <c r="D530" s="3">
        <v>255.64</v>
      </c>
      <c r="E530" t="s">
        <v>165</v>
      </c>
      <c r="F530" t="s">
        <v>134</v>
      </c>
    </row>
    <row r="531" spans="1:6" x14ac:dyDescent="0.25">
      <c r="A531">
        <v>20210409</v>
      </c>
      <c r="B531" t="str">
        <f t="shared" si="14"/>
        <v>136963</v>
      </c>
      <c r="C531" t="s">
        <v>359</v>
      </c>
      <c r="D531" s="3">
        <v>226.9</v>
      </c>
      <c r="E531" t="s">
        <v>165</v>
      </c>
      <c r="F531" t="s">
        <v>134</v>
      </c>
    </row>
    <row r="532" spans="1:6" x14ac:dyDescent="0.25">
      <c r="A532">
        <v>20210409</v>
      </c>
      <c r="B532" t="str">
        <f t="shared" si="14"/>
        <v>136963</v>
      </c>
      <c r="C532" t="s">
        <v>359</v>
      </c>
      <c r="D532" s="3">
        <v>286.02</v>
      </c>
      <c r="E532" t="s">
        <v>165</v>
      </c>
      <c r="F532" t="s">
        <v>134</v>
      </c>
    </row>
    <row r="533" spans="1:6" x14ac:dyDescent="0.25">
      <c r="A533">
        <v>20210409</v>
      </c>
      <c r="B533" t="str">
        <f t="shared" si="14"/>
        <v>136963</v>
      </c>
      <c r="C533" t="s">
        <v>359</v>
      </c>
      <c r="D533" s="3">
        <v>155.93</v>
      </c>
      <c r="E533" t="s">
        <v>165</v>
      </c>
      <c r="F533" t="s">
        <v>134</v>
      </c>
    </row>
    <row r="534" spans="1:6" x14ac:dyDescent="0.25">
      <c r="A534">
        <v>20210409</v>
      </c>
      <c r="B534" t="str">
        <f t="shared" si="14"/>
        <v>136963</v>
      </c>
      <c r="C534" t="s">
        <v>359</v>
      </c>
      <c r="D534" s="3">
        <v>1851.71</v>
      </c>
      <c r="E534" t="s">
        <v>165</v>
      </c>
      <c r="F534" t="s">
        <v>134</v>
      </c>
    </row>
    <row r="535" spans="1:6" x14ac:dyDescent="0.25">
      <c r="A535">
        <v>20210409</v>
      </c>
      <c r="B535" t="str">
        <f t="shared" si="14"/>
        <v>136963</v>
      </c>
      <c r="C535" t="s">
        <v>359</v>
      </c>
      <c r="D535" s="3">
        <v>478.09</v>
      </c>
      <c r="E535" t="s">
        <v>165</v>
      </c>
      <c r="F535" t="s">
        <v>134</v>
      </c>
    </row>
    <row r="536" spans="1:6" x14ac:dyDescent="0.25">
      <c r="A536">
        <v>20210409</v>
      </c>
      <c r="B536" t="str">
        <f t="shared" si="14"/>
        <v>136963</v>
      </c>
      <c r="C536" t="s">
        <v>359</v>
      </c>
      <c r="D536" s="3">
        <v>1260</v>
      </c>
      <c r="E536" t="s">
        <v>165</v>
      </c>
      <c r="F536" t="s">
        <v>134</v>
      </c>
    </row>
    <row r="537" spans="1:6" x14ac:dyDescent="0.25">
      <c r="A537">
        <v>20210409</v>
      </c>
      <c r="B537" t="str">
        <f t="shared" si="14"/>
        <v>136963</v>
      </c>
      <c r="C537" t="s">
        <v>359</v>
      </c>
      <c r="D537" s="3">
        <v>1558.5</v>
      </c>
      <c r="E537" t="s">
        <v>165</v>
      </c>
      <c r="F537" t="s">
        <v>134</v>
      </c>
    </row>
    <row r="538" spans="1:6" x14ac:dyDescent="0.25">
      <c r="A538">
        <v>20210409</v>
      </c>
      <c r="B538" t="str">
        <f t="shared" si="14"/>
        <v>136963</v>
      </c>
      <c r="C538" t="s">
        <v>359</v>
      </c>
      <c r="D538" s="3">
        <v>226.9</v>
      </c>
      <c r="E538" t="s">
        <v>165</v>
      </c>
      <c r="F538" t="s">
        <v>134</v>
      </c>
    </row>
    <row r="539" spans="1:6" x14ac:dyDescent="0.25">
      <c r="A539">
        <v>20210409</v>
      </c>
      <c r="B539" t="str">
        <f t="shared" si="14"/>
        <v>136963</v>
      </c>
      <c r="C539" t="s">
        <v>359</v>
      </c>
      <c r="D539" s="3">
        <v>1455.57</v>
      </c>
      <c r="E539" t="s">
        <v>165</v>
      </c>
      <c r="F539" t="s">
        <v>134</v>
      </c>
    </row>
    <row r="540" spans="1:6" x14ac:dyDescent="0.25">
      <c r="A540">
        <v>20210409</v>
      </c>
      <c r="B540" t="str">
        <f t="shared" si="14"/>
        <v>136963</v>
      </c>
      <c r="C540" t="s">
        <v>359</v>
      </c>
      <c r="D540" s="3">
        <v>688.42</v>
      </c>
      <c r="E540" t="s">
        <v>165</v>
      </c>
      <c r="F540" t="s">
        <v>134</v>
      </c>
    </row>
    <row r="541" spans="1:6" x14ac:dyDescent="0.25">
      <c r="A541">
        <v>20210409</v>
      </c>
      <c r="B541" t="str">
        <f t="shared" si="14"/>
        <v>136963</v>
      </c>
      <c r="C541" t="s">
        <v>359</v>
      </c>
      <c r="D541" s="3">
        <v>226.9</v>
      </c>
      <c r="E541" t="s">
        <v>165</v>
      </c>
      <c r="F541" t="s">
        <v>134</v>
      </c>
    </row>
    <row r="542" spans="1:6" x14ac:dyDescent="0.25">
      <c r="A542">
        <v>20210409</v>
      </c>
      <c r="B542" t="str">
        <f>"136964"</f>
        <v>136964</v>
      </c>
      <c r="C542" t="s">
        <v>360</v>
      </c>
      <c r="D542" s="3">
        <v>1187.1400000000001</v>
      </c>
      <c r="E542" t="s">
        <v>165</v>
      </c>
      <c r="F542" t="s">
        <v>134</v>
      </c>
    </row>
    <row r="543" spans="1:6" x14ac:dyDescent="0.25">
      <c r="A543">
        <v>20210409</v>
      </c>
      <c r="B543" t="str">
        <f>"136964"</f>
        <v>136964</v>
      </c>
      <c r="C543" t="s">
        <v>360</v>
      </c>
      <c r="D543" s="3">
        <v>269.68</v>
      </c>
      <c r="E543" t="s">
        <v>165</v>
      </c>
      <c r="F543" t="s">
        <v>134</v>
      </c>
    </row>
    <row r="544" spans="1:6" x14ac:dyDescent="0.25">
      <c r="A544">
        <v>20210409</v>
      </c>
      <c r="B544" t="str">
        <f t="shared" ref="B544:B559" si="15">"136965"</f>
        <v>136965</v>
      </c>
      <c r="C544" t="s">
        <v>361</v>
      </c>
      <c r="D544" s="3">
        <v>2534.23</v>
      </c>
      <c r="E544" t="s">
        <v>362</v>
      </c>
      <c r="F544" t="s">
        <v>134</v>
      </c>
    </row>
    <row r="545" spans="1:6" x14ac:dyDescent="0.25">
      <c r="A545">
        <v>20210409</v>
      </c>
      <c r="B545" t="str">
        <f t="shared" si="15"/>
        <v>136965</v>
      </c>
      <c r="C545" t="s">
        <v>361</v>
      </c>
      <c r="D545" s="3">
        <v>367.27</v>
      </c>
      <c r="E545" t="s">
        <v>362</v>
      </c>
      <c r="F545" t="s">
        <v>134</v>
      </c>
    </row>
    <row r="546" spans="1:6" x14ac:dyDescent="0.25">
      <c r="A546">
        <v>20210409</v>
      </c>
      <c r="B546" t="str">
        <f t="shared" si="15"/>
        <v>136965</v>
      </c>
      <c r="C546" t="s">
        <v>361</v>
      </c>
      <c r="D546" s="3">
        <v>1348.6</v>
      </c>
      <c r="E546" t="s">
        <v>362</v>
      </c>
      <c r="F546" t="s">
        <v>134</v>
      </c>
    </row>
    <row r="547" spans="1:6" x14ac:dyDescent="0.25">
      <c r="A547">
        <v>20210409</v>
      </c>
      <c r="B547" t="str">
        <f t="shared" si="15"/>
        <v>136965</v>
      </c>
      <c r="C547" t="s">
        <v>361</v>
      </c>
      <c r="D547" s="3">
        <v>1775.66</v>
      </c>
      <c r="E547" t="s">
        <v>362</v>
      </c>
      <c r="F547" t="s">
        <v>134</v>
      </c>
    </row>
    <row r="548" spans="1:6" x14ac:dyDescent="0.25">
      <c r="A548">
        <v>20210409</v>
      </c>
      <c r="B548" t="str">
        <f t="shared" si="15"/>
        <v>136965</v>
      </c>
      <c r="C548" t="s">
        <v>361</v>
      </c>
      <c r="D548" s="3">
        <v>3012.51</v>
      </c>
      <c r="E548" t="s">
        <v>362</v>
      </c>
      <c r="F548" t="s">
        <v>134</v>
      </c>
    </row>
    <row r="549" spans="1:6" x14ac:dyDescent="0.25">
      <c r="A549">
        <v>20210409</v>
      </c>
      <c r="B549" t="str">
        <f t="shared" si="15"/>
        <v>136965</v>
      </c>
      <c r="C549" t="s">
        <v>361</v>
      </c>
      <c r="D549" s="3">
        <v>1020.39</v>
      </c>
      <c r="E549" t="s">
        <v>362</v>
      </c>
      <c r="F549" t="s">
        <v>134</v>
      </c>
    </row>
    <row r="550" spans="1:6" x14ac:dyDescent="0.25">
      <c r="A550">
        <v>20210409</v>
      </c>
      <c r="B550" t="str">
        <f t="shared" si="15"/>
        <v>136965</v>
      </c>
      <c r="C550" t="s">
        <v>361</v>
      </c>
      <c r="D550" s="3">
        <v>962.88</v>
      </c>
      <c r="E550" t="s">
        <v>362</v>
      </c>
      <c r="F550" t="s">
        <v>134</v>
      </c>
    </row>
    <row r="551" spans="1:6" x14ac:dyDescent="0.25">
      <c r="A551">
        <v>20210409</v>
      </c>
      <c r="B551" t="str">
        <f t="shared" si="15"/>
        <v>136965</v>
      </c>
      <c r="C551" t="s">
        <v>361</v>
      </c>
      <c r="D551" s="3">
        <v>829.36</v>
      </c>
      <c r="E551" t="s">
        <v>362</v>
      </c>
      <c r="F551" t="s">
        <v>134</v>
      </c>
    </row>
    <row r="552" spans="1:6" x14ac:dyDescent="0.25">
      <c r="A552">
        <v>20210409</v>
      </c>
      <c r="B552" t="str">
        <f t="shared" si="15"/>
        <v>136965</v>
      </c>
      <c r="C552" t="s">
        <v>361</v>
      </c>
      <c r="D552" s="3">
        <v>1759.05</v>
      </c>
      <c r="E552" t="s">
        <v>362</v>
      </c>
      <c r="F552" t="s">
        <v>134</v>
      </c>
    </row>
    <row r="553" spans="1:6" x14ac:dyDescent="0.25">
      <c r="A553">
        <v>20210409</v>
      </c>
      <c r="B553" t="str">
        <f t="shared" si="15"/>
        <v>136965</v>
      </c>
      <c r="C553" t="s">
        <v>361</v>
      </c>
      <c r="D553" s="3">
        <v>638.62</v>
      </c>
      <c r="E553" t="s">
        <v>362</v>
      </c>
      <c r="F553" t="s">
        <v>134</v>
      </c>
    </row>
    <row r="554" spans="1:6" x14ac:dyDescent="0.25">
      <c r="A554">
        <v>20210409</v>
      </c>
      <c r="B554" t="str">
        <f t="shared" si="15"/>
        <v>136965</v>
      </c>
      <c r="C554" t="s">
        <v>361</v>
      </c>
      <c r="D554" s="3">
        <v>31.27</v>
      </c>
      <c r="E554" t="s">
        <v>362</v>
      </c>
      <c r="F554" t="s">
        <v>134</v>
      </c>
    </row>
    <row r="555" spans="1:6" x14ac:dyDescent="0.25">
      <c r="A555">
        <v>20210409</v>
      </c>
      <c r="B555" t="str">
        <f t="shared" si="15"/>
        <v>136965</v>
      </c>
      <c r="C555" t="s">
        <v>361</v>
      </c>
      <c r="D555" s="3">
        <v>52.74</v>
      </c>
      <c r="E555" t="s">
        <v>362</v>
      </c>
      <c r="F555" t="s">
        <v>134</v>
      </c>
    </row>
    <row r="556" spans="1:6" x14ac:dyDescent="0.25">
      <c r="A556">
        <v>20210409</v>
      </c>
      <c r="B556" t="str">
        <f t="shared" si="15"/>
        <v>136965</v>
      </c>
      <c r="C556" t="s">
        <v>361</v>
      </c>
      <c r="D556" s="3">
        <v>978.37</v>
      </c>
      <c r="E556" t="s">
        <v>362</v>
      </c>
      <c r="F556" t="s">
        <v>134</v>
      </c>
    </row>
    <row r="557" spans="1:6" x14ac:dyDescent="0.25">
      <c r="A557">
        <v>20210409</v>
      </c>
      <c r="B557" t="str">
        <f t="shared" si="15"/>
        <v>136965</v>
      </c>
      <c r="C557" t="s">
        <v>361</v>
      </c>
      <c r="D557" s="3">
        <v>-2.88</v>
      </c>
      <c r="E557" t="s">
        <v>363</v>
      </c>
      <c r="F557" t="s">
        <v>134</v>
      </c>
    </row>
    <row r="558" spans="1:6" x14ac:dyDescent="0.25">
      <c r="A558">
        <v>20210409</v>
      </c>
      <c r="B558" t="str">
        <f t="shared" si="15"/>
        <v>136965</v>
      </c>
      <c r="C558" t="s">
        <v>361</v>
      </c>
      <c r="D558" s="3">
        <v>-77.010000000000005</v>
      </c>
      <c r="E558" t="s">
        <v>363</v>
      </c>
      <c r="F558" t="s">
        <v>134</v>
      </c>
    </row>
    <row r="559" spans="1:6" x14ac:dyDescent="0.25">
      <c r="A559">
        <v>20210409</v>
      </c>
      <c r="B559" t="str">
        <f t="shared" si="15"/>
        <v>136965</v>
      </c>
      <c r="C559" t="s">
        <v>361</v>
      </c>
      <c r="D559" s="3">
        <v>16.2</v>
      </c>
      <c r="E559" t="s">
        <v>362</v>
      </c>
      <c r="F559" t="s">
        <v>134</v>
      </c>
    </row>
    <row r="560" spans="1:6" x14ac:dyDescent="0.25">
      <c r="A560">
        <v>20210409</v>
      </c>
      <c r="B560" t="str">
        <f>"136966"</f>
        <v>136966</v>
      </c>
      <c r="C560" t="s">
        <v>364</v>
      </c>
      <c r="D560" s="3">
        <v>150</v>
      </c>
      <c r="E560" t="s">
        <v>62</v>
      </c>
      <c r="F560" t="s">
        <v>134</v>
      </c>
    </row>
    <row r="561" spans="1:6" x14ac:dyDescent="0.25">
      <c r="A561">
        <v>20210409</v>
      </c>
      <c r="B561" t="str">
        <f>"136966"</f>
        <v>136966</v>
      </c>
      <c r="C561" t="s">
        <v>364</v>
      </c>
      <c r="D561" s="3">
        <v>30</v>
      </c>
      <c r="E561" t="s">
        <v>62</v>
      </c>
      <c r="F561" t="s">
        <v>134</v>
      </c>
    </row>
    <row r="562" spans="1:6" x14ac:dyDescent="0.25">
      <c r="A562">
        <v>20210409</v>
      </c>
      <c r="B562" t="str">
        <f>"136966"</f>
        <v>136966</v>
      </c>
      <c r="C562" t="s">
        <v>364</v>
      </c>
      <c r="D562" s="3">
        <v>180</v>
      </c>
      <c r="E562" t="s">
        <v>62</v>
      </c>
      <c r="F562" t="s">
        <v>134</v>
      </c>
    </row>
    <row r="563" spans="1:6" x14ac:dyDescent="0.25">
      <c r="A563">
        <v>20210409</v>
      </c>
      <c r="B563" t="str">
        <f>"136966"</f>
        <v>136966</v>
      </c>
      <c r="C563" t="s">
        <v>364</v>
      </c>
      <c r="D563" s="3">
        <v>120</v>
      </c>
      <c r="E563" t="s">
        <v>62</v>
      </c>
      <c r="F563" t="s">
        <v>134</v>
      </c>
    </row>
    <row r="564" spans="1:6" x14ac:dyDescent="0.25">
      <c r="A564">
        <v>20210409</v>
      </c>
      <c r="B564" t="str">
        <f>"136967"</f>
        <v>136967</v>
      </c>
      <c r="C564" t="s">
        <v>29</v>
      </c>
      <c r="D564" s="3">
        <v>1486.49</v>
      </c>
      <c r="E564" t="s">
        <v>165</v>
      </c>
      <c r="F564" t="s">
        <v>134</v>
      </c>
    </row>
    <row r="565" spans="1:6" x14ac:dyDescent="0.25">
      <c r="A565">
        <v>20210415</v>
      </c>
      <c r="B565" t="str">
        <f>"136979"</f>
        <v>136979</v>
      </c>
      <c r="C565" t="s">
        <v>146</v>
      </c>
      <c r="D565" s="3">
        <v>280.44</v>
      </c>
      <c r="E565" t="s">
        <v>365</v>
      </c>
      <c r="F565" t="s">
        <v>134</v>
      </c>
    </row>
    <row r="566" spans="1:6" x14ac:dyDescent="0.25">
      <c r="A566">
        <v>20210415</v>
      </c>
      <c r="B566" t="str">
        <f>"136980"</f>
        <v>136980</v>
      </c>
      <c r="C566" t="s">
        <v>78</v>
      </c>
      <c r="D566" s="3">
        <v>82</v>
      </c>
      <c r="E566" t="s">
        <v>36</v>
      </c>
      <c r="F566" t="s">
        <v>134</v>
      </c>
    </row>
    <row r="567" spans="1:6" x14ac:dyDescent="0.25">
      <c r="A567">
        <v>20210415</v>
      </c>
      <c r="B567" t="str">
        <f>"136980"</f>
        <v>136980</v>
      </c>
      <c r="C567" t="s">
        <v>78</v>
      </c>
      <c r="D567" s="3">
        <v>76</v>
      </c>
      <c r="E567" t="s">
        <v>282</v>
      </c>
      <c r="F567" t="s">
        <v>134</v>
      </c>
    </row>
    <row r="568" spans="1:6" x14ac:dyDescent="0.25">
      <c r="A568">
        <v>20210415</v>
      </c>
      <c r="B568" t="str">
        <f>"136980"</f>
        <v>136980</v>
      </c>
      <c r="C568" t="s">
        <v>78</v>
      </c>
      <c r="D568" s="3">
        <v>59.7</v>
      </c>
      <c r="E568" t="s">
        <v>282</v>
      </c>
      <c r="F568" t="s">
        <v>134</v>
      </c>
    </row>
    <row r="569" spans="1:6" x14ac:dyDescent="0.25">
      <c r="A569">
        <v>20210415</v>
      </c>
      <c r="B569" t="str">
        <f>"136980"</f>
        <v>136980</v>
      </c>
      <c r="C569" t="s">
        <v>78</v>
      </c>
      <c r="D569" s="3">
        <v>196</v>
      </c>
      <c r="E569" t="s">
        <v>282</v>
      </c>
      <c r="F569" t="s">
        <v>134</v>
      </c>
    </row>
    <row r="570" spans="1:6" x14ac:dyDescent="0.25">
      <c r="A570">
        <v>20210415</v>
      </c>
      <c r="B570" t="str">
        <f>"136980"</f>
        <v>136980</v>
      </c>
      <c r="C570" t="s">
        <v>78</v>
      </c>
      <c r="D570" s="3">
        <v>140</v>
      </c>
      <c r="E570" t="s">
        <v>366</v>
      </c>
      <c r="F570" t="s">
        <v>134</v>
      </c>
    </row>
    <row r="571" spans="1:6" x14ac:dyDescent="0.25">
      <c r="A571">
        <v>20210415</v>
      </c>
      <c r="B571" t="str">
        <f>"136981"</f>
        <v>136981</v>
      </c>
      <c r="C571" t="s">
        <v>367</v>
      </c>
      <c r="D571" s="3">
        <v>894</v>
      </c>
      <c r="E571" t="s">
        <v>211</v>
      </c>
      <c r="F571" t="s">
        <v>143</v>
      </c>
    </row>
    <row r="572" spans="1:6" x14ac:dyDescent="0.25">
      <c r="A572">
        <v>20210415</v>
      </c>
      <c r="B572" t="str">
        <f>"136982"</f>
        <v>136982</v>
      </c>
      <c r="C572" t="s">
        <v>368</v>
      </c>
      <c r="D572" s="3">
        <v>2</v>
      </c>
      <c r="E572" t="s">
        <v>56</v>
      </c>
      <c r="F572" t="s">
        <v>134</v>
      </c>
    </row>
    <row r="573" spans="1:6" x14ac:dyDescent="0.25">
      <c r="A573">
        <v>20210415</v>
      </c>
      <c r="B573" t="str">
        <f>"136983"</f>
        <v>136983</v>
      </c>
      <c r="C573" t="s">
        <v>369</v>
      </c>
      <c r="D573" s="3">
        <v>3.75</v>
      </c>
      <c r="E573" t="s">
        <v>56</v>
      </c>
      <c r="F573" t="s">
        <v>134</v>
      </c>
    </row>
    <row r="574" spans="1:6" x14ac:dyDescent="0.25">
      <c r="A574">
        <v>20210415</v>
      </c>
      <c r="B574" t="str">
        <f>"136984"</f>
        <v>136984</v>
      </c>
      <c r="C574" t="s">
        <v>159</v>
      </c>
      <c r="D574" s="3">
        <v>1336.09</v>
      </c>
      <c r="E574" t="s">
        <v>370</v>
      </c>
      <c r="F574" t="s">
        <v>134</v>
      </c>
    </row>
    <row r="575" spans="1:6" x14ac:dyDescent="0.25">
      <c r="A575">
        <v>20210415</v>
      </c>
      <c r="B575" t="str">
        <f>"136984"</f>
        <v>136984</v>
      </c>
      <c r="C575" t="s">
        <v>159</v>
      </c>
      <c r="D575" s="3">
        <v>1181.42</v>
      </c>
      <c r="E575" t="s">
        <v>370</v>
      </c>
      <c r="F575" t="s">
        <v>134</v>
      </c>
    </row>
    <row r="576" spans="1:6" x14ac:dyDescent="0.25">
      <c r="A576">
        <v>20210415</v>
      </c>
      <c r="B576" t="str">
        <f>"136984"</f>
        <v>136984</v>
      </c>
      <c r="C576" t="s">
        <v>159</v>
      </c>
      <c r="D576" s="3">
        <v>852.35</v>
      </c>
      <c r="E576" t="s">
        <v>370</v>
      </c>
      <c r="F576" t="s">
        <v>134</v>
      </c>
    </row>
    <row r="577" spans="1:6" x14ac:dyDescent="0.25">
      <c r="A577">
        <v>20210415</v>
      </c>
      <c r="B577" t="str">
        <f>"136985"</f>
        <v>136985</v>
      </c>
      <c r="C577" t="s">
        <v>371</v>
      </c>
      <c r="D577" s="3">
        <v>805.91</v>
      </c>
      <c r="E577" t="s">
        <v>36</v>
      </c>
      <c r="F577" t="s">
        <v>134</v>
      </c>
    </row>
    <row r="578" spans="1:6" x14ac:dyDescent="0.25">
      <c r="A578">
        <v>20210415</v>
      </c>
      <c r="B578" t="str">
        <f>"136985"</f>
        <v>136985</v>
      </c>
      <c r="C578" t="s">
        <v>371</v>
      </c>
      <c r="D578" s="3">
        <v>119.4</v>
      </c>
      <c r="E578" t="s">
        <v>36</v>
      </c>
      <c r="F578" t="s">
        <v>134</v>
      </c>
    </row>
    <row r="579" spans="1:6" x14ac:dyDescent="0.25">
      <c r="A579">
        <v>20210415</v>
      </c>
      <c r="B579" t="str">
        <f>"136985"</f>
        <v>136985</v>
      </c>
      <c r="C579" t="s">
        <v>371</v>
      </c>
      <c r="D579" s="3">
        <v>31.92</v>
      </c>
      <c r="E579" t="s">
        <v>36</v>
      </c>
      <c r="F579" t="s">
        <v>134</v>
      </c>
    </row>
    <row r="580" spans="1:6" x14ac:dyDescent="0.25">
      <c r="A580">
        <v>20210415</v>
      </c>
      <c r="B580" t="str">
        <f>"136985"</f>
        <v>136985</v>
      </c>
      <c r="C580" t="s">
        <v>371</v>
      </c>
      <c r="D580" s="3">
        <v>585.05999999999995</v>
      </c>
      <c r="E580" t="s">
        <v>36</v>
      </c>
      <c r="F580" t="s">
        <v>134</v>
      </c>
    </row>
    <row r="581" spans="1:6" x14ac:dyDescent="0.25">
      <c r="A581">
        <v>20210415</v>
      </c>
      <c r="B581" t="str">
        <f>"136985"</f>
        <v>136985</v>
      </c>
      <c r="C581" t="s">
        <v>371</v>
      </c>
      <c r="D581" s="3">
        <v>2516</v>
      </c>
      <c r="E581" t="s">
        <v>36</v>
      </c>
      <c r="F581" t="s">
        <v>134</v>
      </c>
    </row>
    <row r="582" spans="1:6" x14ac:dyDescent="0.25">
      <c r="A582">
        <v>20210415</v>
      </c>
      <c r="B582" t="str">
        <f>"136986"</f>
        <v>136986</v>
      </c>
      <c r="C582" t="s">
        <v>372</v>
      </c>
      <c r="D582" s="3">
        <v>1622.53</v>
      </c>
      <c r="E582" t="s">
        <v>36</v>
      </c>
      <c r="F582" t="s">
        <v>134</v>
      </c>
    </row>
    <row r="583" spans="1:6" x14ac:dyDescent="0.25">
      <c r="A583">
        <v>20210415</v>
      </c>
      <c r="B583" t="str">
        <f>"136987"</f>
        <v>136987</v>
      </c>
      <c r="C583" t="s">
        <v>43</v>
      </c>
      <c r="D583" s="3">
        <v>71.3</v>
      </c>
      <c r="E583" t="s">
        <v>36</v>
      </c>
      <c r="F583" t="s">
        <v>134</v>
      </c>
    </row>
    <row r="584" spans="1:6" x14ac:dyDescent="0.25">
      <c r="A584">
        <v>20210415</v>
      </c>
      <c r="B584" t="str">
        <f>"136988"</f>
        <v>136988</v>
      </c>
      <c r="C584" t="s">
        <v>173</v>
      </c>
      <c r="D584" s="3">
        <v>897.15</v>
      </c>
      <c r="E584" t="s">
        <v>36</v>
      </c>
      <c r="F584" t="s">
        <v>134</v>
      </c>
    </row>
    <row r="585" spans="1:6" x14ac:dyDescent="0.25">
      <c r="A585">
        <v>20210415</v>
      </c>
      <c r="B585" t="str">
        <f>"136988"</f>
        <v>136988</v>
      </c>
      <c r="C585" t="s">
        <v>173</v>
      </c>
      <c r="D585" s="3">
        <v>95.1</v>
      </c>
      <c r="E585" t="s">
        <v>36</v>
      </c>
      <c r="F585" t="s">
        <v>134</v>
      </c>
    </row>
    <row r="586" spans="1:6" x14ac:dyDescent="0.25">
      <c r="A586">
        <v>20210415</v>
      </c>
      <c r="B586" t="str">
        <f>"136989"</f>
        <v>136989</v>
      </c>
      <c r="C586" t="s">
        <v>173</v>
      </c>
      <c r="D586" s="3">
        <v>57.06</v>
      </c>
      <c r="E586" t="s">
        <v>36</v>
      </c>
      <c r="F586" t="s">
        <v>134</v>
      </c>
    </row>
    <row r="587" spans="1:6" x14ac:dyDescent="0.25">
      <c r="A587">
        <v>20210415</v>
      </c>
      <c r="B587" t="str">
        <f t="shared" ref="B587:B650" si="16">"136990"</f>
        <v>136990</v>
      </c>
      <c r="C587" t="s">
        <v>373</v>
      </c>
      <c r="D587" s="3">
        <v>169.5</v>
      </c>
      <c r="E587" t="s">
        <v>374</v>
      </c>
      <c r="F587" t="s">
        <v>218</v>
      </c>
    </row>
    <row r="588" spans="1:6" x14ac:dyDescent="0.25">
      <c r="A588">
        <v>20210415</v>
      </c>
      <c r="B588" t="str">
        <f t="shared" si="16"/>
        <v>136990</v>
      </c>
      <c r="C588" t="s">
        <v>373</v>
      </c>
      <c r="D588" s="3">
        <v>67.8</v>
      </c>
      <c r="E588" t="s">
        <v>374</v>
      </c>
      <c r="F588" t="s">
        <v>218</v>
      </c>
    </row>
    <row r="589" spans="1:6" x14ac:dyDescent="0.25">
      <c r="A589">
        <v>20210415</v>
      </c>
      <c r="B589" t="str">
        <f t="shared" si="16"/>
        <v>136990</v>
      </c>
      <c r="C589" t="s">
        <v>373</v>
      </c>
      <c r="D589" s="3">
        <v>84.75</v>
      </c>
      <c r="E589" t="s">
        <v>374</v>
      </c>
      <c r="F589" t="s">
        <v>218</v>
      </c>
    </row>
    <row r="590" spans="1:6" x14ac:dyDescent="0.25">
      <c r="A590">
        <v>20210415</v>
      </c>
      <c r="B590" t="str">
        <f t="shared" si="16"/>
        <v>136990</v>
      </c>
      <c r="C590" t="s">
        <v>373</v>
      </c>
      <c r="D590" s="3">
        <v>33.9</v>
      </c>
      <c r="E590" t="s">
        <v>374</v>
      </c>
      <c r="F590" t="s">
        <v>218</v>
      </c>
    </row>
    <row r="591" spans="1:6" x14ac:dyDescent="0.25">
      <c r="A591">
        <v>20210415</v>
      </c>
      <c r="B591" t="str">
        <f t="shared" si="16"/>
        <v>136990</v>
      </c>
      <c r="C591" t="s">
        <v>373</v>
      </c>
      <c r="D591" s="3">
        <v>215.68</v>
      </c>
      <c r="E591" t="s">
        <v>374</v>
      </c>
      <c r="F591" t="s">
        <v>218</v>
      </c>
    </row>
    <row r="592" spans="1:6" x14ac:dyDescent="0.25">
      <c r="A592">
        <v>20210415</v>
      </c>
      <c r="B592" t="str">
        <f t="shared" si="16"/>
        <v>136990</v>
      </c>
      <c r="C592" t="s">
        <v>373</v>
      </c>
      <c r="D592" s="3">
        <v>135.6</v>
      </c>
      <c r="E592" t="s">
        <v>374</v>
      </c>
      <c r="F592" t="s">
        <v>218</v>
      </c>
    </row>
    <row r="593" spans="1:6" x14ac:dyDescent="0.25">
      <c r="A593">
        <v>20210415</v>
      </c>
      <c r="B593" t="str">
        <f t="shared" si="16"/>
        <v>136990</v>
      </c>
      <c r="C593" t="s">
        <v>373</v>
      </c>
      <c r="D593" s="3">
        <v>101.7</v>
      </c>
      <c r="E593" t="s">
        <v>374</v>
      </c>
      <c r="F593" t="s">
        <v>218</v>
      </c>
    </row>
    <row r="594" spans="1:6" x14ac:dyDescent="0.25">
      <c r="A594">
        <v>20210415</v>
      </c>
      <c r="B594" t="str">
        <f t="shared" si="16"/>
        <v>136990</v>
      </c>
      <c r="C594" t="s">
        <v>373</v>
      </c>
      <c r="D594" s="3">
        <v>33.9</v>
      </c>
      <c r="E594" t="s">
        <v>374</v>
      </c>
      <c r="F594" t="s">
        <v>218</v>
      </c>
    </row>
    <row r="595" spans="1:6" x14ac:dyDescent="0.25">
      <c r="A595">
        <v>20210415</v>
      </c>
      <c r="B595" t="str">
        <f t="shared" si="16"/>
        <v>136990</v>
      </c>
      <c r="C595" t="s">
        <v>373</v>
      </c>
      <c r="D595" s="3">
        <v>-30.4</v>
      </c>
      <c r="E595" t="s">
        <v>375</v>
      </c>
      <c r="F595" t="s">
        <v>218</v>
      </c>
    </row>
    <row r="596" spans="1:6" x14ac:dyDescent="0.25">
      <c r="A596">
        <v>20210415</v>
      </c>
      <c r="B596" t="str">
        <f t="shared" si="16"/>
        <v>136990</v>
      </c>
      <c r="C596" t="s">
        <v>373</v>
      </c>
      <c r="D596" s="3">
        <v>-24.75</v>
      </c>
      <c r="E596" t="s">
        <v>376</v>
      </c>
      <c r="F596" t="s">
        <v>218</v>
      </c>
    </row>
    <row r="597" spans="1:6" x14ac:dyDescent="0.25">
      <c r="A597">
        <v>20210415</v>
      </c>
      <c r="B597" t="str">
        <f t="shared" si="16"/>
        <v>136990</v>
      </c>
      <c r="C597" t="s">
        <v>373</v>
      </c>
      <c r="D597" s="3">
        <v>71.19</v>
      </c>
      <c r="E597" t="s">
        <v>374</v>
      </c>
      <c r="F597" t="s">
        <v>218</v>
      </c>
    </row>
    <row r="598" spans="1:6" x14ac:dyDescent="0.25">
      <c r="A598">
        <v>20210415</v>
      </c>
      <c r="B598" t="str">
        <f t="shared" si="16"/>
        <v>136990</v>
      </c>
      <c r="C598" t="s">
        <v>373</v>
      </c>
      <c r="D598" s="3">
        <v>37.29</v>
      </c>
      <c r="E598" t="s">
        <v>374</v>
      </c>
      <c r="F598" t="s">
        <v>218</v>
      </c>
    </row>
    <row r="599" spans="1:6" x14ac:dyDescent="0.25">
      <c r="A599">
        <v>20210415</v>
      </c>
      <c r="B599" t="str">
        <f t="shared" si="16"/>
        <v>136990</v>
      </c>
      <c r="C599" t="s">
        <v>373</v>
      </c>
      <c r="D599" s="3">
        <v>1.7</v>
      </c>
      <c r="E599" t="s">
        <v>374</v>
      </c>
      <c r="F599" t="s">
        <v>218</v>
      </c>
    </row>
    <row r="600" spans="1:6" x14ac:dyDescent="0.25">
      <c r="A600">
        <v>20210415</v>
      </c>
      <c r="B600" t="str">
        <f t="shared" si="16"/>
        <v>136990</v>
      </c>
      <c r="C600" t="s">
        <v>373</v>
      </c>
      <c r="D600" s="3">
        <v>50.69</v>
      </c>
      <c r="E600" t="s">
        <v>374</v>
      </c>
      <c r="F600" t="s">
        <v>218</v>
      </c>
    </row>
    <row r="601" spans="1:6" x14ac:dyDescent="0.25">
      <c r="A601">
        <v>20210415</v>
      </c>
      <c r="B601" t="str">
        <f t="shared" si="16"/>
        <v>136990</v>
      </c>
      <c r="C601" t="s">
        <v>373</v>
      </c>
      <c r="D601" s="3">
        <v>16.95</v>
      </c>
      <c r="E601" t="s">
        <v>374</v>
      </c>
      <c r="F601" t="s">
        <v>218</v>
      </c>
    </row>
    <row r="602" spans="1:6" x14ac:dyDescent="0.25">
      <c r="A602">
        <v>20210415</v>
      </c>
      <c r="B602" t="str">
        <f t="shared" si="16"/>
        <v>136990</v>
      </c>
      <c r="C602" t="s">
        <v>373</v>
      </c>
      <c r="D602" s="3">
        <v>55.94</v>
      </c>
      <c r="E602" t="s">
        <v>374</v>
      </c>
      <c r="F602" t="s">
        <v>218</v>
      </c>
    </row>
    <row r="603" spans="1:6" x14ac:dyDescent="0.25">
      <c r="A603">
        <v>20210415</v>
      </c>
      <c r="B603" t="str">
        <f t="shared" si="16"/>
        <v>136990</v>
      </c>
      <c r="C603" t="s">
        <v>373</v>
      </c>
      <c r="D603" s="3">
        <v>-11.83</v>
      </c>
      <c r="E603" t="s">
        <v>377</v>
      </c>
      <c r="F603" t="s">
        <v>218</v>
      </c>
    </row>
    <row r="604" spans="1:6" x14ac:dyDescent="0.25">
      <c r="A604">
        <v>20210415</v>
      </c>
      <c r="B604" t="str">
        <f t="shared" si="16"/>
        <v>136990</v>
      </c>
      <c r="C604" t="s">
        <v>373</v>
      </c>
      <c r="D604" s="3">
        <v>-20.34</v>
      </c>
      <c r="E604" t="s">
        <v>378</v>
      </c>
      <c r="F604" t="s">
        <v>218</v>
      </c>
    </row>
    <row r="605" spans="1:6" x14ac:dyDescent="0.25">
      <c r="A605">
        <v>20210415</v>
      </c>
      <c r="B605" t="str">
        <f t="shared" si="16"/>
        <v>136990</v>
      </c>
      <c r="C605" t="s">
        <v>373</v>
      </c>
      <c r="D605" s="3">
        <v>152</v>
      </c>
      <c r="E605" t="s">
        <v>374</v>
      </c>
      <c r="F605" t="s">
        <v>218</v>
      </c>
    </row>
    <row r="606" spans="1:6" x14ac:dyDescent="0.25">
      <c r="A606">
        <v>20210415</v>
      </c>
      <c r="B606" t="str">
        <f t="shared" si="16"/>
        <v>136990</v>
      </c>
      <c r="C606" t="s">
        <v>373</v>
      </c>
      <c r="D606" s="3">
        <v>50.85</v>
      </c>
      <c r="E606" t="s">
        <v>374</v>
      </c>
      <c r="F606" t="s">
        <v>218</v>
      </c>
    </row>
    <row r="607" spans="1:6" x14ac:dyDescent="0.25">
      <c r="A607">
        <v>20210415</v>
      </c>
      <c r="B607" t="str">
        <f t="shared" si="16"/>
        <v>136990</v>
      </c>
      <c r="C607" t="s">
        <v>373</v>
      </c>
      <c r="D607" s="3">
        <v>81.36</v>
      </c>
      <c r="E607" t="s">
        <v>374</v>
      </c>
      <c r="F607" t="s">
        <v>218</v>
      </c>
    </row>
    <row r="608" spans="1:6" x14ac:dyDescent="0.25">
      <c r="A608">
        <v>20210415</v>
      </c>
      <c r="B608" t="str">
        <f t="shared" si="16"/>
        <v>136990</v>
      </c>
      <c r="C608" t="s">
        <v>373</v>
      </c>
      <c r="D608" s="3">
        <v>60.86</v>
      </c>
      <c r="E608" t="s">
        <v>374</v>
      </c>
      <c r="F608" t="s">
        <v>218</v>
      </c>
    </row>
    <row r="609" spans="1:6" x14ac:dyDescent="0.25">
      <c r="A609">
        <v>20210415</v>
      </c>
      <c r="B609" t="str">
        <f t="shared" si="16"/>
        <v>136990</v>
      </c>
      <c r="C609" t="s">
        <v>373</v>
      </c>
      <c r="D609" s="3">
        <v>230.88</v>
      </c>
      <c r="E609" t="s">
        <v>374</v>
      </c>
      <c r="F609" t="s">
        <v>218</v>
      </c>
    </row>
    <row r="610" spans="1:6" x14ac:dyDescent="0.25">
      <c r="A610">
        <v>20210415</v>
      </c>
      <c r="B610" t="str">
        <f t="shared" si="16"/>
        <v>136990</v>
      </c>
      <c r="C610" t="s">
        <v>373</v>
      </c>
      <c r="D610" s="3">
        <v>84.75</v>
      </c>
      <c r="E610" t="s">
        <v>374</v>
      </c>
      <c r="F610" t="s">
        <v>218</v>
      </c>
    </row>
    <row r="611" spans="1:6" x14ac:dyDescent="0.25">
      <c r="A611">
        <v>20210415</v>
      </c>
      <c r="B611" t="str">
        <f t="shared" si="16"/>
        <v>136990</v>
      </c>
      <c r="C611" t="s">
        <v>373</v>
      </c>
      <c r="D611" s="3">
        <v>101.7</v>
      </c>
      <c r="E611" t="s">
        <v>374</v>
      </c>
      <c r="F611" t="s">
        <v>218</v>
      </c>
    </row>
    <row r="612" spans="1:6" x14ac:dyDescent="0.25">
      <c r="A612">
        <v>20210415</v>
      </c>
      <c r="B612" t="str">
        <f t="shared" si="16"/>
        <v>136990</v>
      </c>
      <c r="C612" t="s">
        <v>373</v>
      </c>
      <c r="D612" s="3">
        <v>67.8</v>
      </c>
      <c r="E612" t="s">
        <v>374</v>
      </c>
      <c r="F612" t="s">
        <v>218</v>
      </c>
    </row>
    <row r="613" spans="1:6" x14ac:dyDescent="0.25">
      <c r="A613">
        <v>20210415</v>
      </c>
      <c r="B613" t="str">
        <f t="shared" si="16"/>
        <v>136990</v>
      </c>
      <c r="C613" t="s">
        <v>373</v>
      </c>
      <c r="D613" s="3">
        <v>-45.6</v>
      </c>
      <c r="E613" t="s">
        <v>379</v>
      </c>
      <c r="F613" t="s">
        <v>218</v>
      </c>
    </row>
    <row r="614" spans="1:6" x14ac:dyDescent="0.25">
      <c r="A614">
        <v>20210415</v>
      </c>
      <c r="B614" t="str">
        <f t="shared" si="16"/>
        <v>136990</v>
      </c>
      <c r="C614" t="s">
        <v>373</v>
      </c>
      <c r="D614" s="3">
        <v>-12.46</v>
      </c>
      <c r="E614" t="s">
        <v>380</v>
      </c>
      <c r="F614" t="s">
        <v>218</v>
      </c>
    </row>
    <row r="615" spans="1:6" x14ac:dyDescent="0.25">
      <c r="A615">
        <v>20210415</v>
      </c>
      <c r="B615" t="str">
        <f t="shared" si="16"/>
        <v>136990</v>
      </c>
      <c r="C615" t="s">
        <v>373</v>
      </c>
      <c r="D615" s="3">
        <v>-71.53</v>
      </c>
      <c r="E615" t="s">
        <v>381</v>
      </c>
      <c r="F615" t="s">
        <v>218</v>
      </c>
    </row>
    <row r="616" spans="1:6" x14ac:dyDescent="0.25">
      <c r="A616">
        <v>20210415</v>
      </c>
      <c r="B616" t="str">
        <f t="shared" si="16"/>
        <v>136990</v>
      </c>
      <c r="C616" t="s">
        <v>373</v>
      </c>
      <c r="D616" s="3">
        <v>182.4</v>
      </c>
      <c r="E616" t="s">
        <v>374</v>
      </c>
      <c r="F616" t="s">
        <v>218</v>
      </c>
    </row>
    <row r="617" spans="1:6" x14ac:dyDescent="0.25">
      <c r="A617">
        <v>20210415</v>
      </c>
      <c r="B617" t="str">
        <f t="shared" si="16"/>
        <v>136990</v>
      </c>
      <c r="C617" t="s">
        <v>373</v>
      </c>
      <c r="D617" s="3">
        <v>182.4</v>
      </c>
      <c r="E617" t="s">
        <v>374</v>
      </c>
      <c r="F617" t="s">
        <v>218</v>
      </c>
    </row>
    <row r="618" spans="1:6" x14ac:dyDescent="0.25">
      <c r="A618">
        <v>20210415</v>
      </c>
      <c r="B618" t="str">
        <f t="shared" si="16"/>
        <v>136990</v>
      </c>
      <c r="C618" t="s">
        <v>373</v>
      </c>
      <c r="D618" s="3">
        <v>124.48</v>
      </c>
      <c r="E618" t="s">
        <v>374</v>
      </c>
      <c r="F618" t="s">
        <v>218</v>
      </c>
    </row>
    <row r="619" spans="1:6" x14ac:dyDescent="0.25">
      <c r="A619">
        <v>20210415</v>
      </c>
      <c r="B619" t="str">
        <f t="shared" si="16"/>
        <v>136990</v>
      </c>
      <c r="C619" t="s">
        <v>373</v>
      </c>
      <c r="D619" s="3">
        <v>106.4</v>
      </c>
      <c r="E619" t="s">
        <v>374</v>
      </c>
      <c r="F619" t="s">
        <v>218</v>
      </c>
    </row>
    <row r="620" spans="1:6" x14ac:dyDescent="0.25">
      <c r="A620">
        <v>20210415</v>
      </c>
      <c r="B620" t="str">
        <f t="shared" si="16"/>
        <v>136990</v>
      </c>
      <c r="C620" t="s">
        <v>373</v>
      </c>
      <c r="D620" s="3">
        <v>322.08</v>
      </c>
      <c r="E620" t="s">
        <v>374</v>
      </c>
      <c r="F620" t="s">
        <v>218</v>
      </c>
    </row>
    <row r="621" spans="1:6" x14ac:dyDescent="0.25">
      <c r="A621">
        <v>20210415</v>
      </c>
      <c r="B621" t="str">
        <f t="shared" si="16"/>
        <v>136990</v>
      </c>
      <c r="C621" t="s">
        <v>373</v>
      </c>
      <c r="D621" s="3">
        <v>152</v>
      </c>
      <c r="E621" t="s">
        <v>374</v>
      </c>
      <c r="F621" t="s">
        <v>218</v>
      </c>
    </row>
    <row r="622" spans="1:6" x14ac:dyDescent="0.25">
      <c r="A622">
        <v>20210415</v>
      </c>
      <c r="B622" t="str">
        <f t="shared" si="16"/>
        <v>136990</v>
      </c>
      <c r="C622" t="s">
        <v>373</v>
      </c>
      <c r="D622" s="3">
        <v>153.44</v>
      </c>
      <c r="E622" t="s">
        <v>374</v>
      </c>
      <c r="F622" t="s">
        <v>218</v>
      </c>
    </row>
    <row r="623" spans="1:6" x14ac:dyDescent="0.25">
      <c r="A623">
        <v>20210415</v>
      </c>
      <c r="B623" t="str">
        <f t="shared" si="16"/>
        <v>136990</v>
      </c>
      <c r="C623" t="s">
        <v>373</v>
      </c>
      <c r="D623" s="3">
        <v>60.8</v>
      </c>
      <c r="E623" t="s">
        <v>374</v>
      </c>
      <c r="F623" t="s">
        <v>218</v>
      </c>
    </row>
    <row r="624" spans="1:6" x14ac:dyDescent="0.25">
      <c r="A624">
        <v>20210415</v>
      </c>
      <c r="B624" t="str">
        <f t="shared" si="16"/>
        <v>136990</v>
      </c>
      <c r="C624" t="s">
        <v>373</v>
      </c>
      <c r="D624" s="3">
        <v>-60.8</v>
      </c>
      <c r="E624" t="s">
        <v>382</v>
      </c>
      <c r="F624" t="s">
        <v>218</v>
      </c>
    </row>
    <row r="625" spans="1:6" x14ac:dyDescent="0.25">
      <c r="A625">
        <v>20210415</v>
      </c>
      <c r="B625" t="str">
        <f t="shared" si="16"/>
        <v>136990</v>
      </c>
      <c r="C625" t="s">
        <v>373</v>
      </c>
      <c r="D625" s="3">
        <v>-58.48</v>
      </c>
      <c r="E625" t="s">
        <v>383</v>
      </c>
      <c r="F625" t="s">
        <v>218</v>
      </c>
    </row>
    <row r="626" spans="1:6" x14ac:dyDescent="0.25">
      <c r="A626">
        <v>20210415</v>
      </c>
      <c r="B626" t="str">
        <f t="shared" si="16"/>
        <v>136990</v>
      </c>
      <c r="C626" t="s">
        <v>373</v>
      </c>
      <c r="D626" s="3">
        <v>182.4</v>
      </c>
      <c r="E626" t="s">
        <v>374</v>
      </c>
      <c r="F626" t="s">
        <v>218</v>
      </c>
    </row>
    <row r="627" spans="1:6" x14ac:dyDescent="0.25">
      <c r="A627">
        <v>20210415</v>
      </c>
      <c r="B627" t="str">
        <f t="shared" si="16"/>
        <v>136990</v>
      </c>
      <c r="C627" t="s">
        <v>373</v>
      </c>
      <c r="D627" s="3">
        <v>152</v>
      </c>
      <c r="E627" t="s">
        <v>374</v>
      </c>
      <c r="F627" t="s">
        <v>218</v>
      </c>
    </row>
    <row r="628" spans="1:6" x14ac:dyDescent="0.25">
      <c r="A628">
        <v>20210415</v>
      </c>
      <c r="B628" t="str">
        <f t="shared" si="16"/>
        <v>136990</v>
      </c>
      <c r="C628" t="s">
        <v>373</v>
      </c>
      <c r="D628" s="3">
        <v>243.2</v>
      </c>
      <c r="E628" t="s">
        <v>374</v>
      </c>
      <c r="F628" t="s">
        <v>218</v>
      </c>
    </row>
    <row r="629" spans="1:6" x14ac:dyDescent="0.25">
      <c r="A629">
        <v>20210415</v>
      </c>
      <c r="B629" t="str">
        <f t="shared" si="16"/>
        <v>136990</v>
      </c>
      <c r="C629" t="s">
        <v>373</v>
      </c>
      <c r="D629" s="3">
        <v>76</v>
      </c>
      <c r="E629" t="s">
        <v>374</v>
      </c>
      <c r="F629" t="s">
        <v>218</v>
      </c>
    </row>
    <row r="630" spans="1:6" x14ac:dyDescent="0.25">
      <c r="A630">
        <v>20210415</v>
      </c>
      <c r="B630" t="str">
        <f t="shared" si="16"/>
        <v>136990</v>
      </c>
      <c r="C630" t="s">
        <v>373</v>
      </c>
      <c r="D630" s="3">
        <v>349.6</v>
      </c>
      <c r="E630" t="s">
        <v>374</v>
      </c>
      <c r="F630" t="s">
        <v>218</v>
      </c>
    </row>
    <row r="631" spans="1:6" x14ac:dyDescent="0.25">
      <c r="A631">
        <v>20210415</v>
      </c>
      <c r="B631" t="str">
        <f t="shared" si="16"/>
        <v>136990</v>
      </c>
      <c r="C631" t="s">
        <v>373</v>
      </c>
      <c r="D631" s="3">
        <v>197.6</v>
      </c>
      <c r="E631" t="s">
        <v>374</v>
      </c>
      <c r="F631" t="s">
        <v>218</v>
      </c>
    </row>
    <row r="632" spans="1:6" x14ac:dyDescent="0.25">
      <c r="A632">
        <v>20210415</v>
      </c>
      <c r="B632" t="str">
        <f t="shared" si="16"/>
        <v>136990</v>
      </c>
      <c r="C632" t="s">
        <v>373</v>
      </c>
      <c r="D632" s="3">
        <v>182.4</v>
      </c>
      <c r="E632" t="s">
        <v>374</v>
      </c>
      <c r="F632" t="s">
        <v>218</v>
      </c>
    </row>
    <row r="633" spans="1:6" x14ac:dyDescent="0.25">
      <c r="A633">
        <v>20210415</v>
      </c>
      <c r="B633" t="str">
        <f t="shared" si="16"/>
        <v>136990</v>
      </c>
      <c r="C633" t="s">
        <v>373</v>
      </c>
      <c r="D633" s="3">
        <v>91.2</v>
      </c>
      <c r="E633" t="s">
        <v>374</v>
      </c>
      <c r="F633" t="s">
        <v>218</v>
      </c>
    </row>
    <row r="634" spans="1:6" x14ac:dyDescent="0.25">
      <c r="A634">
        <v>20210415</v>
      </c>
      <c r="B634" t="str">
        <f t="shared" si="16"/>
        <v>136990</v>
      </c>
      <c r="C634" t="s">
        <v>373</v>
      </c>
      <c r="D634" s="3">
        <v>-20.059999999999999</v>
      </c>
      <c r="E634" t="s">
        <v>384</v>
      </c>
      <c r="F634" t="s">
        <v>218</v>
      </c>
    </row>
    <row r="635" spans="1:6" x14ac:dyDescent="0.25">
      <c r="A635">
        <v>20210415</v>
      </c>
      <c r="B635" t="str">
        <f t="shared" si="16"/>
        <v>136990</v>
      </c>
      <c r="C635" t="s">
        <v>373</v>
      </c>
      <c r="D635" s="3">
        <v>-84.21</v>
      </c>
      <c r="E635" t="s">
        <v>385</v>
      </c>
      <c r="F635" t="s">
        <v>218</v>
      </c>
    </row>
    <row r="636" spans="1:6" x14ac:dyDescent="0.25">
      <c r="A636">
        <v>20210415</v>
      </c>
      <c r="B636" t="str">
        <f t="shared" si="16"/>
        <v>136990</v>
      </c>
      <c r="C636" t="s">
        <v>373</v>
      </c>
      <c r="D636" s="3">
        <v>212.8</v>
      </c>
      <c r="E636" t="s">
        <v>374</v>
      </c>
      <c r="F636" t="s">
        <v>218</v>
      </c>
    </row>
    <row r="637" spans="1:6" x14ac:dyDescent="0.25">
      <c r="A637">
        <v>20210415</v>
      </c>
      <c r="B637" t="str">
        <f t="shared" si="16"/>
        <v>136990</v>
      </c>
      <c r="C637" t="s">
        <v>373</v>
      </c>
      <c r="D637" s="3">
        <v>304</v>
      </c>
      <c r="E637" t="s">
        <v>374</v>
      </c>
      <c r="F637" t="s">
        <v>218</v>
      </c>
    </row>
    <row r="638" spans="1:6" x14ac:dyDescent="0.25">
      <c r="A638">
        <v>20210415</v>
      </c>
      <c r="B638" t="str">
        <f t="shared" si="16"/>
        <v>136990</v>
      </c>
      <c r="C638" t="s">
        <v>373</v>
      </c>
      <c r="D638" s="3">
        <v>147.6</v>
      </c>
      <c r="E638" t="s">
        <v>374</v>
      </c>
      <c r="F638" t="s">
        <v>218</v>
      </c>
    </row>
    <row r="639" spans="1:6" x14ac:dyDescent="0.25">
      <c r="A639">
        <v>20210415</v>
      </c>
      <c r="B639" t="str">
        <f t="shared" si="16"/>
        <v>136990</v>
      </c>
      <c r="C639" t="s">
        <v>373</v>
      </c>
      <c r="D639" s="3">
        <v>167.2</v>
      </c>
      <c r="E639" t="s">
        <v>374</v>
      </c>
      <c r="F639" t="s">
        <v>218</v>
      </c>
    </row>
    <row r="640" spans="1:6" x14ac:dyDescent="0.25">
      <c r="A640">
        <v>20210415</v>
      </c>
      <c r="B640" t="str">
        <f t="shared" si="16"/>
        <v>136990</v>
      </c>
      <c r="C640" t="s">
        <v>373</v>
      </c>
      <c r="D640" s="3">
        <v>15.2</v>
      </c>
      <c r="E640" t="s">
        <v>374</v>
      </c>
      <c r="F640" t="s">
        <v>218</v>
      </c>
    </row>
    <row r="641" spans="1:6" x14ac:dyDescent="0.25">
      <c r="A641">
        <v>20210415</v>
      </c>
      <c r="B641" t="str">
        <f t="shared" si="16"/>
        <v>136990</v>
      </c>
      <c r="C641" t="s">
        <v>373</v>
      </c>
      <c r="D641" s="3">
        <v>-35.869999999999997</v>
      </c>
      <c r="E641" t="s">
        <v>386</v>
      </c>
      <c r="F641" t="s">
        <v>218</v>
      </c>
    </row>
    <row r="642" spans="1:6" x14ac:dyDescent="0.25">
      <c r="A642">
        <v>20210415</v>
      </c>
      <c r="B642" t="str">
        <f t="shared" si="16"/>
        <v>136990</v>
      </c>
      <c r="C642" t="s">
        <v>373</v>
      </c>
      <c r="D642" s="3">
        <v>185.28</v>
      </c>
      <c r="E642" t="s">
        <v>374</v>
      </c>
      <c r="F642" t="s">
        <v>218</v>
      </c>
    </row>
    <row r="643" spans="1:6" x14ac:dyDescent="0.25">
      <c r="A643">
        <v>20210415</v>
      </c>
      <c r="B643" t="str">
        <f t="shared" si="16"/>
        <v>136990</v>
      </c>
      <c r="C643" t="s">
        <v>373</v>
      </c>
      <c r="D643" s="3">
        <v>91.2</v>
      </c>
      <c r="E643" t="s">
        <v>374</v>
      </c>
      <c r="F643" t="s">
        <v>218</v>
      </c>
    </row>
    <row r="644" spans="1:6" x14ac:dyDescent="0.25">
      <c r="A644">
        <v>20210415</v>
      </c>
      <c r="B644" t="str">
        <f t="shared" si="16"/>
        <v>136990</v>
      </c>
      <c r="C644" t="s">
        <v>373</v>
      </c>
      <c r="D644" s="3">
        <v>204.8</v>
      </c>
      <c r="E644" t="s">
        <v>374</v>
      </c>
      <c r="F644" t="s">
        <v>218</v>
      </c>
    </row>
    <row r="645" spans="1:6" x14ac:dyDescent="0.25">
      <c r="A645">
        <v>20210415</v>
      </c>
      <c r="B645" t="str">
        <f t="shared" si="16"/>
        <v>136990</v>
      </c>
      <c r="C645" t="s">
        <v>373</v>
      </c>
      <c r="D645" s="3">
        <v>60.8</v>
      </c>
      <c r="E645" t="s">
        <v>374</v>
      </c>
      <c r="F645" t="s">
        <v>218</v>
      </c>
    </row>
    <row r="646" spans="1:6" x14ac:dyDescent="0.25">
      <c r="A646">
        <v>20210415</v>
      </c>
      <c r="B646" t="str">
        <f t="shared" si="16"/>
        <v>136990</v>
      </c>
      <c r="C646" t="s">
        <v>373</v>
      </c>
      <c r="D646" s="3">
        <v>340.16</v>
      </c>
      <c r="E646" t="s">
        <v>374</v>
      </c>
      <c r="F646" t="s">
        <v>218</v>
      </c>
    </row>
    <row r="647" spans="1:6" x14ac:dyDescent="0.25">
      <c r="A647">
        <v>20210415</v>
      </c>
      <c r="B647" t="str">
        <f t="shared" si="16"/>
        <v>136990</v>
      </c>
      <c r="C647" t="s">
        <v>373</v>
      </c>
      <c r="D647" s="3">
        <v>157.76</v>
      </c>
      <c r="E647" t="s">
        <v>374</v>
      </c>
      <c r="F647" t="s">
        <v>218</v>
      </c>
    </row>
    <row r="648" spans="1:6" x14ac:dyDescent="0.25">
      <c r="A648">
        <v>20210415</v>
      </c>
      <c r="B648" t="str">
        <f t="shared" si="16"/>
        <v>136990</v>
      </c>
      <c r="C648" t="s">
        <v>373</v>
      </c>
      <c r="D648" s="3">
        <v>157.76</v>
      </c>
      <c r="E648" t="s">
        <v>374</v>
      </c>
      <c r="F648" t="s">
        <v>218</v>
      </c>
    </row>
    <row r="649" spans="1:6" x14ac:dyDescent="0.25">
      <c r="A649">
        <v>20210415</v>
      </c>
      <c r="B649" t="str">
        <f t="shared" si="16"/>
        <v>136990</v>
      </c>
      <c r="C649" t="s">
        <v>373</v>
      </c>
      <c r="D649" s="3">
        <v>76</v>
      </c>
      <c r="E649" t="s">
        <v>374</v>
      </c>
      <c r="F649" t="s">
        <v>218</v>
      </c>
    </row>
    <row r="650" spans="1:6" x14ac:dyDescent="0.25">
      <c r="A650">
        <v>20210415</v>
      </c>
      <c r="B650" t="str">
        <f t="shared" si="16"/>
        <v>136990</v>
      </c>
      <c r="C650" t="s">
        <v>373</v>
      </c>
      <c r="D650" s="3">
        <v>-27.97</v>
      </c>
      <c r="E650" t="s">
        <v>387</v>
      </c>
      <c r="F650" t="s">
        <v>218</v>
      </c>
    </row>
    <row r="651" spans="1:6" x14ac:dyDescent="0.25">
      <c r="A651">
        <v>20210415</v>
      </c>
      <c r="B651" t="str">
        <f t="shared" ref="B651:B672" si="17">"136990"</f>
        <v>136990</v>
      </c>
      <c r="C651" t="s">
        <v>373</v>
      </c>
      <c r="D651" s="3">
        <v>-22.49</v>
      </c>
      <c r="E651" t="s">
        <v>388</v>
      </c>
      <c r="F651" t="s">
        <v>218</v>
      </c>
    </row>
    <row r="652" spans="1:6" x14ac:dyDescent="0.25">
      <c r="A652">
        <v>20210415</v>
      </c>
      <c r="B652" t="str">
        <f t="shared" si="17"/>
        <v>136990</v>
      </c>
      <c r="C652" t="s">
        <v>373</v>
      </c>
      <c r="D652" s="3">
        <v>141.12</v>
      </c>
      <c r="E652" t="s">
        <v>374</v>
      </c>
      <c r="F652" t="s">
        <v>218</v>
      </c>
    </row>
    <row r="653" spans="1:6" x14ac:dyDescent="0.25">
      <c r="A653">
        <v>20210415</v>
      </c>
      <c r="B653" t="str">
        <f t="shared" si="17"/>
        <v>136990</v>
      </c>
      <c r="C653" t="s">
        <v>373</v>
      </c>
      <c r="D653" s="3">
        <v>152</v>
      </c>
      <c r="E653" t="s">
        <v>374</v>
      </c>
      <c r="F653" t="s">
        <v>218</v>
      </c>
    </row>
    <row r="654" spans="1:6" x14ac:dyDescent="0.25">
      <c r="A654">
        <v>20210415</v>
      </c>
      <c r="B654" t="str">
        <f t="shared" si="17"/>
        <v>136990</v>
      </c>
      <c r="C654" t="s">
        <v>373</v>
      </c>
      <c r="D654" s="3">
        <v>370.56</v>
      </c>
      <c r="E654" t="s">
        <v>374</v>
      </c>
      <c r="F654" t="s">
        <v>218</v>
      </c>
    </row>
    <row r="655" spans="1:6" x14ac:dyDescent="0.25">
      <c r="A655">
        <v>20210415</v>
      </c>
      <c r="B655" t="str">
        <f t="shared" si="17"/>
        <v>136990</v>
      </c>
      <c r="C655" t="s">
        <v>373</v>
      </c>
      <c r="D655" s="3">
        <v>186</v>
      </c>
      <c r="E655" t="s">
        <v>374</v>
      </c>
      <c r="F655" t="s">
        <v>218</v>
      </c>
    </row>
    <row r="656" spans="1:6" x14ac:dyDescent="0.25">
      <c r="A656">
        <v>20210415</v>
      </c>
      <c r="B656" t="str">
        <f t="shared" si="17"/>
        <v>136990</v>
      </c>
      <c r="C656" t="s">
        <v>373</v>
      </c>
      <c r="D656" s="3">
        <v>275.76</v>
      </c>
      <c r="E656" t="s">
        <v>374</v>
      </c>
      <c r="F656" t="s">
        <v>218</v>
      </c>
    </row>
    <row r="657" spans="1:6" x14ac:dyDescent="0.25">
      <c r="A657">
        <v>20210415</v>
      </c>
      <c r="B657" t="str">
        <f t="shared" si="17"/>
        <v>136990</v>
      </c>
      <c r="C657" t="s">
        <v>373</v>
      </c>
      <c r="D657" s="3">
        <v>136.80000000000001</v>
      </c>
      <c r="E657" t="s">
        <v>374</v>
      </c>
      <c r="F657" t="s">
        <v>218</v>
      </c>
    </row>
    <row r="658" spans="1:6" x14ac:dyDescent="0.25">
      <c r="A658">
        <v>20210415</v>
      </c>
      <c r="B658" t="str">
        <f t="shared" si="17"/>
        <v>136990</v>
      </c>
      <c r="C658" t="s">
        <v>373</v>
      </c>
      <c r="D658" s="3">
        <v>246.08</v>
      </c>
      <c r="E658" t="s">
        <v>374</v>
      </c>
      <c r="F658" t="s">
        <v>218</v>
      </c>
    </row>
    <row r="659" spans="1:6" x14ac:dyDescent="0.25">
      <c r="A659">
        <v>20210415</v>
      </c>
      <c r="B659" t="str">
        <f t="shared" si="17"/>
        <v>136990</v>
      </c>
      <c r="C659" t="s">
        <v>373</v>
      </c>
      <c r="D659" s="3">
        <v>136.80000000000001</v>
      </c>
      <c r="E659" t="s">
        <v>374</v>
      </c>
      <c r="F659" t="s">
        <v>218</v>
      </c>
    </row>
    <row r="660" spans="1:6" x14ac:dyDescent="0.25">
      <c r="A660">
        <v>20210415</v>
      </c>
      <c r="B660" t="str">
        <f t="shared" si="17"/>
        <v>136990</v>
      </c>
      <c r="C660" t="s">
        <v>373</v>
      </c>
      <c r="D660" s="3">
        <v>-76.3</v>
      </c>
      <c r="E660" t="s">
        <v>389</v>
      </c>
      <c r="F660" t="s">
        <v>218</v>
      </c>
    </row>
    <row r="661" spans="1:6" x14ac:dyDescent="0.25">
      <c r="A661">
        <v>20210415</v>
      </c>
      <c r="B661" t="str">
        <f t="shared" si="17"/>
        <v>136990</v>
      </c>
      <c r="C661" t="s">
        <v>373</v>
      </c>
      <c r="D661" s="3">
        <v>-5.17</v>
      </c>
      <c r="E661" t="s">
        <v>389</v>
      </c>
      <c r="F661" t="s">
        <v>218</v>
      </c>
    </row>
    <row r="662" spans="1:6" x14ac:dyDescent="0.25">
      <c r="A662">
        <v>20210415</v>
      </c>
      <c r="B662" t="str">
        <f t="shared" si="17"/>
        <v>136990</v>
      </c>
      <c r="C662" t="s">
        <v>373</v>
      </c>
      <c r="D662" s="3">
        <v>-37.700000000000003</v>
      </c>
      <c r="E662" t="s">
        <v>390</v>
      </c>
      <c r="F662" t="s">
        <v>218</v>
      </c>
    </row>
    <row r="663" spans="1:6" x14ac:dyDescent="0.25">
      <c r="A663">
        <v>20210415</v>
      </c>
      <c r="B663" t="str">
        <f t="shared" si="17"/>
        <v>136990</v>
      </c>
      <c r="C663" t="s">
        <v>373</v>
      </c>
      <c r="D663" s="3">
        <v>91.2</v>
      </c>
      <c r="E663" t="s">
        <v>374</v>
      </c>
      <c r="F663" t="s">
        <v>218</v>
      </c>
    </row>
    <row r="664" spans="1:6" x14ac:dyDescent="0.25">
      <c r="A664">
        <v>20210415</v>
      </c>
      <c r="B664" t="str">
        <f t="shared" si="17"/>
        <v>136990</v>
      </c>
      <c r="C664" t="s">
        <v>373</v>
      </c>
      <c r="D664" s="3">
        <v>76</v>
      </c>
      <c r="E664" t="s">
        <v>374</v>
      </c>
      <c r="F664" t="s">
        <v>218</v>
      </c>
    </row>
    <row r="665" spans="1:6" x14ac:dyDescent="0.25">
      <c r="A665">
        <v>20210415</v>
      </c>
      <c r="B665" t="str">
        <f t="shared" si="17"/>
        <v>136990</v>
      </c>
      <c r="C665" t="s">
        <v>373</v>
      </c>
      <c r="D665" s="3">
        <v>30.4</v>
      </c>
      <c r="E665" t="s">
        <v>374</v>
      </c>
      <c r="F665" t="s">
        <v>218</v>
      </c>
    </row>
    <row r="666" spans="1:6" x14ac:dyDescent="0.25">
      <c r="A666">
        <v>20210415</v>
      </c>
      <c r="B666" t="str">
        <f t="shared" si="17"/>
        <v>136990</v>
      </c>
      <c r="C666" t="s">
        <v>373</v>
      </c>
      <c r="D666" s="3">
        <v>121.6</v>
      </c>
      <c r="E666" t="s">
        <v>374</v>
      </c>
      <c r="F666" t="s">
        <v>218</v>
      </c>
    </row>
    <row r="667" spans="1:6" x14ac:dyDescent="0.25">
      <c r="A667">
        <v>20210415</v>
      </c>
      <c r="B667" t="str">
        <f t="shared" si="17"/>
        <v>136990</v>
      </c>
      <c r="C667" t="s">
        <v>373</v>
      </c>
      <c r="D667" s="3">
        <v>167.2</v>
      </c>
      <c r="E667" t="s">
        <v>374</v>
      </c>
      <c r="F667" t="s">
        <v>218</v>
      </c>
    </row>
    <row r="668" spans="1:6" x14ac:dyDescent="0.25">
      <c r="A668">
        <v>20210415</v>
      </c>
      <c r="B668" t="str">
        <f t="shared" si="17"/>
        <v>136990</v>
      </c>
      <c r="C668" t="s">
        <v>373</v>
      </c>
      <c r="D668" s="3">
        <v>91.2</v>
      </c>
      <c r="E668" t="s">
        <v>374</v>
      </c>
      <c r="F668" t="s">
        <v>218</v>
      </c>
    </row>
    <row r="669" spans="1:6" x14ac:dyDescent="0.25">
      <c r="A669">
        <v>20210415</v>
      </c>
      <c r="B669" t="str">
        <f t="shared" si="17"/>
        <v>136990</v>
      </c>
      <c r="C669" t="s">
        <v>373</v>
      </c>
      <c r="D669" s="3">
        <v>121.6</v>
      </c>
      <c r="E669" t="s">
        <v>374</v>
      </c>
      <c r="F669" t="s">
        <v>218</v>
      </c>
    </row>
    <row r="670" spans="1:6" x14ac:dyDescent="0.25">
      <c r="A670">
        <v>20210415</v>
      </c>
      <c r="B670" t="str">
        <f t="shared" si="17"/>
        <v>136990</v>
      </c>
      <c r="C670" t="s">
        <v>373</v>
      </c>
      <c r="D670" s="3">
        <v>-48.86</v>
      </c>
      <c r="E670" t="s">
        <v>391</v>
      </c>
      <c r="F670" t="s">
        <v>218</v>
      </c>
    </row>
    <row r="671" spans="1:6" x14ac:dyDescent="0.25">
      <c r="A671">
        <v>20210415</v>
      </c>
      <c r="B671" t="str">
        <f t="shared" si="17"/>
        <v>136990</v>
      </c>
      <c r="C671" t="s">
        <v>373</v>
      </c>
      <c r="D671" s="3">
        <v>243.2</v>
      </c>
      <c r="E671" t="s">
        <v>392</v>
      </c>
      <c r="F671" t="s">
        <v>218</v>
      </c>
    </row>
    <row r="672" spans="1:6" x14ac:dyDescent="0.25">
      <c r="A672">
        <v>20210415</v>
      </c>
      <c r="B672" t="str">
        <f t="shared" si="17"/>
        <v>136990</v>
      </c>
      <c r="C672" t="s">
        <v>373</v>
      </c>
      <c r="D672" s="3">
        <v>-49.25</v>
      </c>
      <c r="E672" t="s">
        <v>393</v>
      </c>
      <c r="F672" t="s">
        <v>218</v>
      </c>
    </row>
    <row r="673" spans="1:6" x14ac:dyDescent="0.25">
      <c r="A673">
        <v>20210415</v>
      </c>
      <c r="B673" t="str">
        <f>"136991"</f>
        <v>136991</v>
      </c>
      <c r="C673" t="s">
        <v>394</v>
      </c>
      <c r="D673" s="3">
        <v>1732.5</v>
      </c>
      <c r="E673" t="s">
        <v>395</v>
      </c>
      <c r="F673" t="s">
        <v>134</v>
      </c>
    </row>
    <row r="674" spans="1:6" x14ac:dyDescent="0.25">
      <c r="A674">
        <v>20210415</v>
      </c>
      <c r="B674" t="str">
        <f>"136992"</f>
        <v>136992</v>
      </c>
      <c r="C674" t="s">
        <v>79</v>
      </c>
      <c r="D674" s="3">
        <v>2480</v>
      </c>
      <c r="E674" t="s">
        <v>80</v>
      </c>
      <c r="F674" t="s">
        <v>134</v>
      </c>
    </row>
    <row r="675" spans="1:6" x14ac:dyDescent="0.25">
      <c r="A675">
        <v>20210415</v>
      </c>
      <c r="B675" t="str">
        <f>"136993"</f>
        <v>136993</v>
      </c>
      <c r="C675" t="s">
        <v>396</v>
      </c>
      <c r="D675" s="3">
        <v>500</v>
      </c>
      <c r="E675" t="s">
        <v>397</v>
      </c>
      <c r="F675" t="s">
        <v>143</v>
      </c>
    </row>
    <row r="676" spans="1:6" x14ac:dyDescent="0.25">
      <c r="A676">
        <v>20210415</v>
      </c>
      <c r="B676" t="str">
        <f>"136994"</f>
        <v>136994</v>
      </c>
      <c r="C676" t="s">
        <v>398</v>
      </c>
      <c r="D676" s="3">
        <v>980</v>
      </c>
      <c r="E676" t="s">
        <v>62</v>
      </c>
      <c r="F676" t="s">
        <v>143</v>
      </c>
    </row>
    <row r="677" spans="1:6" x14ac:dyDescent="0.25">
      <c r="A677">
        <v>20210415</v>
      </c>
      <c r="B677" t="str">
        <f>"136995"</f>
        <v>136995</v>
      </c>
      <c r="C677" t="s">
        <v>178</v>
      </c>
      <c r="D677" s="3">
        <v>590.15</v>
      </c>
      <c r="E677" t="s">
        <v>179</v>
      </c>
      <c r="F677" t="s">
        <v>143</v>
      </c>
    </row>
    <row r="678" spans="1:6" x14ac:dyDescent="0.25">
      <c r="A678">
        <v>20210415</v>
      </c>
      <c r="B678" t="str">
        <f>"136996"</f>
        <v>136996</v>
      </c>
      <c r="C678" t="s">
        <v>180</v>
      </c>
      <c r="D678" s="3">
        <v>934.8</v>
      </c>
      <c r="E678" t="s">
        <v>36</v>
      </c>
      <c r="F678" t="s">
        <v>143</v>
      </c>
    </row>
    <row r="679" spans="1:6" x14ac:dyDescent="0.25">
      <c r="A679">
        <v>20210415</v>
      </c>
      <c r="B679" t="str">
        <f>"136997"</f>
        <v>136997</v>
      </c>
      <c r="C679" t="s">
        <v>399</v>
      </c>
      <c r="D679" s="3">
        <v>425</v>
      </c>
      <c r="E679" t="s">
        <v>149</v>
      </c>
      <c r="F679" t="s">
        <v>134</v>
      </c>
    </row>
    <row r="680" spans="1:6" x14ac:dyDescent="0.25">
      <c r="A680">
        <v>20210415</v>
      </c>
      <c r="B680" t="str">
        <f>"136998"</f>
        <v>136998</v>
      </c>
      <c r="C680" t="s">
        <v>183</v>
      </c>
      <c r="D680" s="3">
        <v>3082.5</v>
      </c>
      <c r="E680" t="s">
        <v>36</v>
      </c>
      <c r="F680" t="s">
        <v>134</v>
      </c>
    </row>
    <row r="681" spans="1:6" x14ac:dyDescent="0.25">
      <c r="A681">
        <v>20210415</v>
      </c>
      <c r="B681" t="str">
        <f>"136999"</f>
        <v>136999</v>
      </c>
      <c r="C681" t="s">
        <v>400</v>
      </c>
      <c r="D681" s="3">
        <v>3368.75</v>
      </c>
      <c r="E681" t="s">
        <v>401</v>
      </c>
      <c r="F681" t="s">
        <v>303</v>
      </c>
    </row>
    <row r="682" spans="1:6" x14ac:dyDescent="0.25">
      <c r="A682">
        <v>20210415</v>
      </c>
      <c r="B682" t="str">
        <f>"137000"</f>
        <v>137000</v>
      </c>
      <c r="C682" t="s">
        <v>402</v>
      </c>
      <c r="D682" s="3">
        <v>153.12</v>
      </c>
      <c r="E682" t="s">
        <v>403</v>
      </c>
      <c r="F682" t="s">
        <v>134</v>
      </c>
    </row>
    <row r="683" spans="1:6" x14ac:dyDescent="0.25">
      <c r="A683">
        <v>20210415</v>
      </c>
      <c r="B683" t="str">
        <f>"137001"</f>
        <v>137001</v>
      </c>
      <c r="C683" t="s">
        <v>404</v>
      </c>
      <c r="D683" s="3">
        <v>135.6</v>
      </c>
      <c r="E683" t="s">
        <v>405</v>
      </c>
      <c r="F683" t="s">
        <v>134</v>
      </c>
    </row>
    <row r="684" spans="1:6" x14ac:dyDescent="0.25">
      <c r="A684">
        <v>20210415</v>
      </c>
      <c r="B684" t="str">
        <f>"137001"</f>
        <v>137001</v>
      </c>
      <c r="C684" t="s">
        <v>404</v>
      </c>
      <c r="D684" s="3">
        <v>125.78</v>
      </c>
      <c r="E684" t="s">
        <v>405</v>
      </c>
      <c r="F684" t="s">
        <v>134</v>
      </c>
    </row>
    <row r="685" spans="1:6" x14ac:dyDescent="0.25">
      <c r="A685">
        <v>20210415</v>
      </c>
      <c r="B685" t="str">
        <f>"137001"</f>
        <v>137001</v>
      </c>
      <c r="C685" t="s">
        <v>404</v>
      </c>
      <c r="D685" s="3">
        <v>42.93</v>
      </c>
      <c r="E685" t="s">
        <v>406</v>
      </c>
      <c r="F685" t="s">
        <v>134</v>
      </c>
    </row>
    <row r="686" spans="1:6" x14ac:dyDescent="0.25">
      <c r="A686">
        <v>20210415</v>
      </c>
      <c r="B686" t="str">
        <f>"137001"</f>
        <v>137001</v>
      </c>
      <c r="C686" t="s">
        <v>404</v>
      </c>
      <c r="D686" s="3">
        <v>14.31</v>
      </c>
      <c r="E686" t="s">
        <v>406</v>
      </c>
      <c r="F686" t="s">
        <v>134</v>
      </c>
    </row>
    <row r="687" spans="1:6" x14ac:dyDescent="0.25">
      <c r="A687">
        <v>20210415</v>
      </c>
      <c r="B687" t="str">
        <f>"137002"</f>
        <v>137002</v>
      </c>
      <c r="C687" t="s">
        <v>407</v>
      </c>
      <c r="D687" s="3">
        <v>573.36</v>
      </c>
      <c r="E687" t="s">
        <v>36</v>
      </c>
      <c r="F687" t="s">
        <v>134</v>
      </c>
    </row>
    <row r="688" spans="1:6" x14ac:dyDescent="0.25">
      <c r="A688">
        <v>20210415</v>
      </c>
      <c r="B688" t="str">
        <f>"137003"</f>
        <v>137003</v>
      </c>
      <c r="C688" t="s">
        <v>408</v>
      </c>
      <c r="D688" s="3">
        <v>224</v>
      </c>
      <c r="E688" t="s">
        <v>409</v>
      </c>
      <c r="F688" t="s">
        <v>134</v>
      </c>
    </row>
    <row r="689" spans="1:6" x14ac:dyDescent="0.25">
      <c r="A689">
        <v>20210415</v>
      </c>
      <c r="B689" t="str">
        <f>"137004"</f>
        <v>137004</v>
      </c>
      <c r="C689" t="s">
        <v>69</v>
      </c>
      <c r="D689" s="3">
        <v>145.62</v>
      </c>
      <c r="E689" t="s">
        <v>410</v>
      </c>
      <c r="F689" t="s">
        <v>134</v>
      </c>
    </row>
    <row r="690" spans="1:6" x14ac:dyDescent="0.25">
      <c r="A690">
        <v>20210415</v>
      </c>
      <c r="B690" t="str">
        <f>"137005"</f>
        <v>137005</v>
      </c>
      <c r="C690" t="s">
        <v>44</v>
      </c>
      <c r="D690" s="3">
        <v>190</v>
      </c>
      <c r="E690" t="s">
        <v>179</v>
      </c>
      <c r="F690" t="s">
        <v>143</v>
      </c>
    </row>
    <row r="691" spans="1:6" x14ac:dyDescent="0.25">
      <c r="A691">
        <v>20210415</v>
      </c>
      <c r="B691" t="str">
        <f>"137005"</f>
        <v>137005</v>
      </c>
      <c r="C691" t="s">
        <v>44</v>
      </c>
      <c r="D691" s="3">
        <v>640</v>
      </c>
      <c r="E691" t="s">
        <v>179</v>
      </c>
      <c r="F691" t="s">
        <v>143</v>
      </c>
    </row>
    <row r="692" spans="1:6" x14ac:dyDescent="0.25">
      <c r="A692">
        <v>20210415</v>
      </c>
      <c r="B692" t="str">
        <f>"137005"</f>
        <v>137005</v>
      </c>
      <c r="C692" t="s">
        <v>44</v>
      </c>
      <c r="D692" s="3">
        <v>529</v>
      </c>
      <c r="E692" t="s">
        <v>179</v>
      </c>
      <c r="F692" t="s">
        <v>143</v>
      </c>
    </row>
    <row r="693" spans="1:6" x14ac:dyDescent="0.25">
      <c r="A693">
        <v>20210415</v>
      </c>
      <c r="B693" t="str">
        <f>"137005"</f>
        <v>137005</v>
      </c>
      <c r="C693" t="s">
        <v>44</v>
      </c>
      <c r="D693" s="3">
        <v>700</v>
      </c>
      <c r="E693" t="s">
        <v>179</v>
      </c>
      <c r="F693" t="s">
        <v>143</v>
      </c>
    </row>
    <row r="694" spans="1:6" x14ac:dyDescent="0.25">
      <c r="A694">
        <v>20210415</v>
      </c>
      <c r="B694" t="str">
        <f>"137006"</f>
        <v>137006</v>
      </c>
      <c r="C694" t="s">
        <v>411</v>
      </c>
      <c r="D694" s="3">
        <v>480</v>
      </c>
      <c r="E694" t="s">
        <v>412</v>
      </c>
      <c r="F694" t="s">
        <v>134</v>
      </c>
    </row>
    <row r="695" spans="1:6" x14ac:dyDescent="0.25">
      <c r="A695">
        <v>20210415</v>
      </c>
      <c r="B695" t="str">
        <f>"137007"</f>
        <v>137007</v>
      </c>
      <c r="C695" t="s">
        <v>413</v>
      </c>
      <c r="D695" s="3">
        <v>400</v>
      </c>
      <c r="E695" t="s">
        <v>349</v>
      </c>
      <c r="F695" t="s">
        <v>143</v>
      </c>
    </row>
    <row r="696" spans="1:6" x14ac:dyDescent="0.25">
      <c r="A696">
        <v>20210415</v>
      </c>
      <c r="B696" t="str">
        <f>"137008"</f>
        <v>137008</v>
      </c>
      <c r="C696" t="s">
        <v>201</v>
      </c>
      <c r="D696" s="3">
        <v>891</v>
      </c>
      <c r="E696" t="s">
        <v>202</v>
      </c>
      <c r="F696" t="s">
        <v>134</v>
      </c>
    </row>
    <row r="697" spans="1:6" x14ac:dyDescent="0.25">
      <c r="A697">
        <v>20210415</v>
      </c>
      <c r="B697" t="str">
        <f>"137008"</f>
        <v>137008</v>
      </c>
      <c r="C697" t="s">
        <v>201</v>
      </c>
      <c r="D697" s="3">
        <v>673.47</v>
      </c>
      <c r="E697" t="s">
        <v>188</v>
      </c>
      <c r="F697" t="s">
        <v>134</v>
      </c>
    </row>
    <row r="698" spans="1:6" x14ac:dyDescent="0.25">
      <c r="A698">
        <v>20210415</v>
      </c>
      <c r="B698" t="str">
        <f>"137008"</f>
        <v>137008</v>
      </c>
      <c r="C698" t="s">
        <v>201</v>
      </c>
      <c r="D698" s="3">
        <v>1460.62</v>
      </c>
      <c r="E698" t="s">
        <v>188</v>
      </c>
      <c r="F698" t="s">
        <v>134</v>
      </c>
    </row>
    <row r="699" spans="1:6" x14ac:dyDescent="0.25">
      <c r="A699">
        <v>20210415</v>
      </c>
      <c r="B699" t="str">
        <f>"137009"</f>
        <v>137009</v>
      </c>
      <c r="C699" t="s">
        <v>414</v>
      </c>
      <c r="D699" s="3">
        <v>5006.55</v>
      </c>
      <c r="E699" t="s">
        <v>149</v>
      </c>
      <c r="F699" t="s">
        <v>134</v>
      </c>
    </row>
    <row r="700" spans="1:6" x14ac:dyDescent="0.25">
      <c r="A700">
        <v>20210415</v>
      </c>
      <c r="B700" t="str">
        <f>"137010"</f>
        <v>137010</v>
      </c>
      <c r="C700" t="s">
        <v>415</v>
      </c>
      <c r="D700" s="3">
        <v>236.25</v>
      </c>
      <c r="E700" t="s">
        <v>416</v>
      </c>
      <c r="F700" t="s">
        <v>143</v>
      </c>
    </row>
    <row r="701" spans="1:6" x14ac:dyDescent="0.25">
      <c r="A701">
        <v>20210415</v>
      </c>
      <c r="B701" t="str">
        <f>"137011"</f>
        <v>137011</v>
      </c>
      <c r="C701" t="s">
        <v>213</v>
      </c>
      <c r="D701" s="3">
        <v>84</v>
      </c>
      <c r="E701" t="s">
        <v>41</v>
      </c>
      <c r="F701" t="s">
        <v>134</v>
      </c>
    </row>
    <row r="702" spans="1:6" x14ac:dyDescent="0.25">
      <c r="A702">
        <v>20210415</v>
      </c>
      <c r="B702" t="str">
        <f>"137012"</f>
        <v>137012</v>
      </c>
      <c r="C702" t="s">
        <v>214</v>
      </c>
      <c r="D702" s="3">
        <v>90</v>
      </c>
      <c r="E702" t="s">
        <v>374</v>
      </c>
      <c r="F702" t="s">
        <v>218</v>
      </c>
    </row>
    <row r="703" spans="1:6" x14ac:dyDescent="0.25">
      <c r="A703">
        <v>20210415</v>
      </c>
      <c r="B703" t="str">
        <f>"137013"</f>
        <v>137013</v>
      </c>
      <c r="C703" t="s">
        <v>417</v>
      </c>
      <c r="D703" s="3">
        <v>40</v>
      </c>
      <c r="E703" t="s">
        <v>52</v>
      </c>
      <c r="F703" t="s">
        <v>134</v>
      </c>
    </row>
    <row r="704" spans="1:6" x14ac:dyDescent="0.25">
      <c r="A704">
        <v>20210415</v>
      </c>
      <c r="B704" t="str">
        <f>"137014"</f>
        <v>137014</v>
      </c>
      <c r="C704" t="s">
        <v>216</v>
      </c>
      <c r="D704" s="3">
        <v>599.78</v>
      </c>
      <c r="E704" t="s">
        <v>418</v>
      </c>
      <c r="F704" t="s">
        <v>218</v>
      </c>
    </row>
    <row r="705" spans="1:6" x14ac:dyDescent="0.25">
      <c r="A705">
        <v>20210415</v>
      </c>
      <c r="B705" t="str">
        <f>"137015"</f>
        <v>137015</v>
      </c>
      <c r="C705" t="s">
        <v>219</v>
      </c>
      <c r="D705" s="3">
        <v>37.15</v>
      </c>
      <c r="E705" t="s">
        <v>36</v>
      </c>
      <c r="F705" t="s">
        <v>218</v>
      </c>
    </row>
    <row r="706" spans="1:6" x14ac:dyDescent="0.25">
      <c r="A706">
        <v>20210415</v>
      </c>
      <c r="B706" t="str">
        <f>"137015"</f>
        <v>137015</v>
      </c>
      <c r="C706" t="s">
        <v>219</v>
      </c>
      <c r="D706" s="3">
        <v>320</v>
      </c>
      <c r="E706" t="s">
        <v>36</v>
      </c>
      <c r="F706" t="s">
        <v>218</v>
      </c>
    </row>
    <row r="707" spans="1:6" x14ac:dyDescent="0.25">
      <c r="A707">
        <v>20210415</v>
      </c>
      <c r="B707" t="str">
        <f>"137016"</f>
        <v>137016</v>
      </c>
      <c r="C707" t="s">
        <v>223</v>
      </c>
      <c r="D707" s="3">
        <v>200</v>
      </c>
      <c r="E707" t="s">
        <v>419</v>
      </c>
      <c r="F707" t="s">
        <v>134</v>
      </c>
    </row>
    <row r="708" spans="1:6" x14ac:dyDescent="0.25">
      <c r="A708">
        <v>20210415</v>
      </c>
      <c r="B708" t="str">
        <f>"137017"</f>
        <v>137017</v>
      </c>
      <c r="C708" t="s">
        <v>225</v>
      </c>
      <c r="D708" s="3">
        <v>100</v>
      </c>
      <c r="E708" t="s">
        <v>420</v>
      </c>
      <c r="F708" t="s">
        <v>134</v>
      </c>
    </row>
    <row r="709" spans="1:6" x14ac:dyDescent="0.25">
      <c r="A709">
        <v>20210415</v>
      </c>
      <c r="B709" t="str">
        <f>"137017"</f>
        <v>137017</v>
      </c>
      <c r="C709" t="s">
        <v>225</v>
      </c>
      <c r="D709" s="3">
        <v>100</v>
      </c>
      <c r="E709" t="s">
        <v>420</v>
      </c>
      <c r="F709" t="s">
        <v>134</v>
      </c>
    </row>
    <row r="710" spans="1:6" x14ac:dyDescent="0.25">
      <c r="A710">
        <v>20210415</v>
      </c>
      <c r="B710" t="str">
        <f>"137017"</f>
        <v>137017</v>
      </c>
      <c r="C710" t="s">
        <v>225</v>
      </c>
      <c r="D710" s="3">
        <v>100</v>
      </c>
      <c r="E710" t="s">
        <v>420</v>
      </c>
      <c r="F710" t="s">
        <v>134</v>
      </c>
    </row>
    <row r="711" spans="1:6" x14ac:dyDescent="0.25">
      <c r="A711">
        <v>20210415</v>
      </c>
      <c r="B711" t="str">
        <f>"137018"</f>
        <v>137018</v>
      </c>
      <c r="C711" t="s">
        <v>421</v>
      </c>
      <c r="D711" s="3">
        <v>1737.5</v>
      </c>
      <c r="E711" t="s">
        <v>422</v>
      </c>
      <c r="F711" t="s">
        <v>303</v>
      </c>
    </row>
    <row r="712" spans="1:6" x14ac:dyDescent="0.25">
      <c r="A712">
        <v>20210415</v>
      </c>
      <c r="B712" t="str">
        <f>"137019"</f>
        <v>137019</v>
      </c>
      <c r="C712" t="s">
        <v>229</v>
      </c>
      <c r="D712" s="3">
        <v>2460</v>
      </c>
      <c r="E712" t="s">
        <v>423</v>
      </c>
      <c r="F712" t="s">
        <v>134</v>
      </c>
    </row>
    <row r="713" spans="1:6" x14ac:dyDescent="0.25">
      <c r="A713">
        <v>20210415</v>
      </c>
      <c r="B713" t="str">
        <f>"137019"</f>
        <v>137019</v>
      </c>
      <c r="C713" t="s">
        <v>229</v>
      </c>
      <c r="D713" s="3">
        <v>27.42</v>
      </c>
      <c r="E713" t="s">
        <v>230</v>
      </c>
      <c r="F713" t="s">
        <v>134</v>
      </c>
    </row>
    <row r="714" spans="1:6" x14ac:dyDescent="0.25">
      <c r="A714">
        <v>20210415</v>
      </c>
      <c r="B714" t="str">
        <f>"137019"</f>
        <v>137019</v>
      </c>
      <c r="C714" t="s">
        <v>229</v>
      </c>
      <c r="D714" s="3">
        <v>36.130000000000003</v>
      </c>
      <c r="E714" t="s">
        <v>230</v>
      </c>
      <c r="F714" t="s">
        <v>134</v>
      </c>
    </row>
    <row r="715" spans="1:6" x14ac:dyDescent="0.25">
      <c r="A715">
        <v>20210415</v>
      </c>
      <c r="B715" t="str">
        <f>"137019"</f>
        <v>137019</v>
      </c>
      <c r="C715" t="s">
        <v>229</v>
      </c>
      <c r="D715" s="3">
        <v>-36.130000000000003</v>
      </c>
      <c r="E715" t="s">
        <v>424</v>
      </c>
      <c r="F715" t="s">
        <v>134</v>
      </c>
    </row>
    <row r="716" spans="1:6" x14ac:dyDescent="0.25">
      <c r="A716">
        <v>20210415</v>
      </c>
      <c r="B716" t="str">
        <f>"137019"</f>
        <v>137019</v>
      </c>
      <c r="C716" t="s">
        <v>229</v>
      </c>
      <c r="D716" s="3">
        <v>2360</v>
      </c>
      <c r="E716" t="s">
        <v>188</v>
      </c>
      <c r="F716" t="s">
        <v>134</v>
      </c>
    </row>
    <row r="717" spans="1:6" x14ac:dyDescent="0.25">
      <c r="A717">
        <v>20210415</v>
      </c>
      <c r="B717" t="str">
        <f>"137020"</f>
        <v>137020</v>
      </c>
      <c r="C717" t="s">
        <v>229</v>
      </c>
      <c r="D717" s="3">
        <v>74.53</v>
      </c>
      <c r="E717" t="s">
        <v>425</v>
      </c>
      <c r="F717" t="s">
        <v>134</v>
      </c>
    </row>
    <row r="718" spans="1:6" x14ac:dyDescent="0.25">
      <c r="A718">
        <v>20210415</v>
      </c>
      <c r="B718" t="str">
        <f>"137020"</f>
        <v>137020</v>
      </c>
      <c r="C718" t="s">
        <v>229</v>
      </c>
      <c r="D718" s="3">
        <v>79.67</v>
      </c>
      <c r="E718" t="s">
        <v>425</v>
      </c>
      <c r="F718" t="s">
        <v>134</v>
      </c>
    </row>
    <row r="719" spans="1:6" x14ac:dyDescent="0.25">
      <c r="A719">
        <v>20210415</v>
      </c>
      <c r="B719" t="str">
        <f>"137021"</f>
        <v>137021</v>
      </c>
      <c r="C719" t="s">
        <v>426</v>
      </c>
      <c r="D719" s="3">
        <v>200</v>
      </c>
      <c r="E719" t="s">
        <v>41</v>
      </c>
      <c r="F719" t="s">
        <v>134</v>
      </c>
    </row>
    <row r="720" spans="1:6" x14ac:dyDescent="0.25">
      <c r="A720">
        <v>20210415</v>
      </c>
      <c r="B720" t="str">
        <f>"137022"</f>
        <v>137022</v>
      </c>
      <c r="C720" t="s">
        <v>427</v>
      </c>
      <c r="D720" s="3">
        <v>735</v>
      </c>
      <c r="E720" t="s">
        <v>428</v>
      </c>
      <c r="F720" t="s">
        <v>134</v>
      </c>
    </row>
    <row r="721" spans="1:6" x14ac:dyDescent="0.25">
      <c r="A721">
        <v>20210415</v>
      </c>
      <c r="B721" t="str">
        <f>"137023"</f>
        <v>137023</v>
      </c>
      <c r="C721" t="s">
        <v>231</v>
      </c>
      <c r="D721" s="3">
        <v>3295</v>
      </c>
      <c r="E721" t="s">
        <v>429</v>
      </c>
      <c r="F721" t="s">
        <v>134</v>
      </c>
    </row>
    <row r="722" spans="1:6" x14ac:dyDescent="0.25">
      <c r="A722">
        <v>20210415</v>
      </c>
      <c r="B722" t="str">
        <f>"137024"</f>
        <v>137024</v>
      </c>
      <c r="C722" t="s">
        <v>47</v>
      </c>
      <c r="D722" s="3">
        <v>600</v>
      </c>
      <c r="E722" t="s">
        <v>234</v>
      </c>
      <c r="F722" t="s">
        <v>143</v>
      </c>
    </row>
    <row r="723" spans="1:6" x14ac:dyDescent="0.25">
      <c r="A723">
        <v>20210415</v>
      </c>
      <c r="B723" t="str">
        <f>"137025"</f>
        <v>137025</v>
      </c>
      <c r="C723" t="s">
        <v>47</v>
      </c>
      <c r="D723" s="3">
        <v>600</v>
      </c>
      <c r="E723" t="s">
        <v>234</v>
      </c>
      <c r="F723" t="s">
        <v>143</v>
      </c>
    </row>
    <row r="724" spans="1:6" x14ac:dyDescent="0.25">
      <c r="A724">
        <v>20210415</v>
      </c>
      <c r="B724" t="str">
        <f>"137026"</f>
        <v>137026</v>
      </c>
      <c r="C724" t="s">
        <v>47</v>
      </c>
      <c r="D724" s="3">
        <v>300</v>
      </c>
      <c r="E724" t="s">
        <v>234</v>
      </c>
      <c r="F724" t="s">
        <v>143</v>
      </c>
    </row>
    <row r="725" spans="1:6" x14ac:dyDescent="0.25">
      <c r="A725">
        <v>20210415</v>
      </c>
      <c r="B725" t="str">
        <f>"137027"</f>
        <v>137027</v>
      </c>
      <c r="C725" t="s">
        <v>47</v>
      </c>
      <c r="D725" s="3">
        <v>300</v>
      </c>
      <c r="E725" t="s">
        <v>234</v>
      </c>
      <c r="F725" t="s">
        <v>143</v>
      </c>
    </row>
    <row r="726" spans="1:6" x14ac:dyDescent="0.25">
      <c r="A726">
        <v>20210415</v>
      </c>
      <c r="B726" t="str">
        <f>"137028"</f>
        <v>137028</v>
      </c>
      <c r="C726" t="s">
        <v>47</v>
      </c>
      <c r="D726" s="3">
        <v>300</v>
      </c>
      <c r="E726" t="s">
        <v>234</v>
      </c>
      <c r="F726" t="s">
        <v>143</v>
      </c>
    </row>
    <row r="727" spans="1:6" x14ac:dyDescent="0.25">
      <c r="A727">
        <v>20210415</v>
      </c>
      <c r="B727" t="str">
        <f>"137029"</f>
        <v>137029</v>
      </c>
      <c r="C727" t="s">
        <v>47</v>
      </c>
      <c r="D727" s="3">
        <v>300</v>
      </c>
      <c r="E727" t="s">
        <v>234</v>
      </c>
      <c r="F727" t="s">
        <v>143</v>
      </c>
    </row>
    <row r="728" spans="1:6" x14ac:dyDescent="0.25">
      <c r="A728">
        <v>20210415</v>
      </c>
      <c r="B728" t="str">
        <f>"137030"</f>
        <v>137030</v>
      </c>
      <c r="C728" t="s">
        <v>47</v>
      </c>
      <c r="D728" s="3">
        <v>300</v>
      </c>
      <c r="E728" t="s">
        <v>234</v>
      </c>
      <c r="F728" t="s">
        <v>143</v>
      </c>
    </row>
    <row r="729" spans="1:6" x14ac:dyDescent="0.25">
      <c r="A729">
        <v>20210415</v>
      </c>
      <c r="B729" t="str">
        <f>"137031"</f>
        <v>137031</v>
      </c>
      <c r="C729" t="s">
        <v>47</v>
      </c>
      <c r="D729" s="3">
        <v>400</v>
      </c>
      <c r="E729" t="s">
        <v>234</v>
      </c>
      <c r="F729" t="s">
        <v>143</v>
      </c>
    </row>
    <row r="730" spans="1:6" x14ac:dyDescent="0.25">
      <c r="A730">
        <v>20210415</v>
      </c>
      <c r="B730" t="str">
        <f>"137033"</f>
        <v>137033</v>
      </c>
      <c r="C730" t="s">
        <v>47</v>
      </c>
      <c r="D730" s="3">
        <v>400</v>
      </c>
      <c r="E730" t="s">
        <v>234</v>
      </c>
      <c r="F730" t="s">
        <v>143</v>
      </c>
    </row>
    <row r="731" spans="1:6" x14ac:dyDescent="0.25">
      <c r="A731">
        <v>20210415</v>
      </c>
      <c r="B731" t="str">
        <f>"137035"</f>
        <v>137035</v>
      </c>
      <c r="C731" t="s">
        <v>47</v>
      </c>
      <c r="D731" s="3">
        <v>300</v>
      </c>
      <c r="E731" t="s">
        <v>234</v>
      </c>
      <c r="F731" t="s">
        <v>143</v>
      </c>
    </row>
    <row r="732" spans="1:6" x14ac:dyDescent="0.25">
      <c r="A732">
        <v>20210415</v>
      </c>
      <c r="B732" t="str">
        <f>"137036"</f>
        <v>137036</v>
      </c>
      <c r="C732" t="s">
        <v>47</v>
      </c>
      <c r="D732" s="3">
        <v>300</v>
      </c>
      <c r="E732" t="s">
        <v>234</v>
      </c>
      <c r="F732" t="s">
        <v>143</v>
      </c>
    </row>
    <row r="733" spans="1:6" x14ac:dyDescent="0.25">
      <c r="A733">
        <v>20210415</v>
      </c>
      <c r="B733" t="str">
        <f>"137037"</f>
        <v>137037</v>
      </c>
      <c r="C733" t="s">
        <v>47</v>
      </c>
      <c r="D733" s="3">
        <v>300</v>
      </c>
      <c r="E733" t="s">
        <v>234</v>
      </c>
      <c r="F733" t="s">
        <v>143</v>
      </c>
    </row>
    <row r="734" spans="1:6" x14ac:dyDescent="0.25">
      <c r="A734">
        <v>20210415</v>
      </c>
      <c r="B734" t="str">
        <f>"137038"</f>
        <v>137038</v>
      </c>
      <c r="C734" t="s">
        <v>47</v>
      </c>
      <c r="D734" s="3">
        <v>400</v>
      </c>
      <c r="E734" t="s">
        <v>234</v>
      </c>
      <c r="F734" t="s">
        <v>143</v>
      </c>
    </row>
    <row r="735" spans="1:6" x14ac:dyDescent="0.25">
      <c r="A735">
        <v>20210415</v>
      </c>
      <c r="B735" t="str">
        <f>"137040"</f>
        <v>137040</v>
      </c>
      <c r="C735" t="s">
        <v>47</v>
      </c>
      <c r="D735" s="3">
        <v>300</v>
      </c>
      <c r="E735" t="s">
        <v>234</v>
      </c>
      <c r="F735" t="s">
        <v>143</v>
      </c>
    </row>
    <row r="736" spans="1:6" x14ac:dyDescent="0.25">
      <c r="A736">
        <v>20210415</v>
      </c>
      <c r="B736" t="str">
        <f>"137041"</f>
        <v>137041</v>
      </c>
      <c r="C736" t="s">
        <v>47</v>
      </c>
      <c r="D736" s="3">
        <v>300</v>
      </c>
      <c r="E736" t="s">
        <v>234</v>
      </c>
      <c r="F736" t="s">
        <v>143</v>
      </c>
    </row>
    <row r="737" spans="1:6" x14ac:dyDescent="0.25">
      <c r="A737">
        <v>20210415</v>
      </c>
      <c r="B737" t="str">
        <f>"137042"</f>
        <v>137042</v>
      </c>
      <c r="C737" t="s">
        <v>47</v>
      </c>
      <c r="D737" s="3">
        <v>300</v>
      </c>
      <c r="E737" t="s">
        <v>234</v>
      </c>
      <c r="F737" t="s">
        <v>143</v>
      </c>
    </row>
    <row r="738" spans="1:6" x14ac:dyDescent="0.25">
      <c r="A738">
        <v>20210415</v>
      </c>
      <c r="B738" t="str">
        <f>"137043"</f>
        <v>137043</v>
      </c>
      <c r="C738" t="s">
        <v>430</v>
      </c>
      <c r="D738" s="3">
        <v>314.61</v>
      </c>
      <c r="E738" t="s">
        <v>36</v>
      </c>
      <c r="F738" t="s">
        <v>134</v>
      </c>
    </row>
    <row r="739" spans="1:6" x14ac:dyDescent="0.25">
      <c r="A739">
        <v>20210415</v>
      </c>
      <c r="B739" t="str">
        <f>"137043"</f>
        <v>137043</v>
      </c>
      <c r="C739" t="s">
        <v>430</v>
      </c>
      <c r="D739" s="3">
        <v>63.72</v>
      </c>
      <c r="E739" t="s">
        <v>36</v>
      </c>
      <c r="F739" t="s">
        <v>134</v>
      </c>
    </row>
    <row r="740" spans="1:6" x14ac:dyDescent="0.25">
      <c r="A740">
        <v>20210415</v>
      </c>
      <c r="B740" t="str">
        <f>"137044"</f>
        <v>137044</v>
      </c>
      <c r="C740" t="s">
        <v>49</v>
      </c>
      <c r="D740" s="3">
        <v>751.99</v>
      </c>
      <c r="E740" t="s">
        <v>89</v>
      </c>
      <c r="F740" t="s">
        <v>134</v>
      </c>
    </row>
    <row r="741" spans="1:6" x14ac:dyDescent="0.25">
      <c r="A741">
        <v>20210415</v>
      </c>
      <c r="B741" t="str">
        <f>"137044"</f>
        <v>137044</v>
      </c>
      <c r="C741" t="s">
        <v>49</v>
      </c>
      <c r="D741" s="3">
        <v>1478.87</v>
      </c>
      <c r="E741" t="s">
        <v>89</v>
      </c>
      <c r="F741" t="s">
        <v>134</v>
      </c>
    </row>
    <row r="742" spans="1:6" x14ac:dyDescent="0.25">
      <c r="A742">
        <v>20210415</v>
      </c>
      <c r="B742" t="str">
        <f>"137044"</f>
        <v>137044</v>
      </c>
      <c r="C742" t="s">
        <v>49</v>
      </c>
      <c r="D742" s="3">
        <v>467.87</v>
      </c>
      <c r="E742" t="s">
        <v>89</v>
      </c>
      <c r="F742" t="s">
        <v>134</v>
      </c>
    </row>
    <row r="743" spans="1:6" x14ac:dyDescent="0.25">
      <c r="A743">
        <v>20210415</v>
      </c>
      <c r="B743" t="str">
        <f>"137044"</f>
        <v>137044</v>
      </c>
      <c r="C743" t="s">
        <v>49</v>
      </c>
      <c r="D743" s="3">
        <v>678.26</v>
      </c>
      <c r="E743" t="s">
        <v>89</v>
      </c>
      <c r="F743" t="s">
        <v>134</v>
      </c>
    </row>
    <row r="744" spans="1:6" x14ac:dyDescent="0.25">
      <c r="A744">
        <v>20210415</v>
      </c>
      <c r="B744" t="str">
        <f>"137045"</f>
        <v>137045</v>
      </c>
      <c r="C744" t="s">
        <v>49</v>
      </c>
      <c r="D744" s="3">
        <v>652.84</v>
      </c>
      <c r="E744" t="s">
        <v>89</v>
      </c>
      <c r="F744" t="s">
        <v>134</v>
      </c>
    </row>
    <row r="745" spans="1:6" x14ac:dyDescent="0.25">
      <c r="A745">
        <v>20210415</v>
      </c>
      <c r="B745" t="str">
        <f>"137046"</f>
        <v>137046</v>
      </c>
      <c r="C745" t="s">
        <v>431</v>
      </c>
      <c r="D745" s="3">
        <v>350</v>
      </c>
      <c r="E745" t="s">
        <v>432</v>
      </c>
      <c r="F745" t="s">
        <v>134</v>
      </c>
    </row>
    <row r="746" spans="1:6" x14ac:dyDescent="0.25">
      <c r="A746">
        <v>20210415</v>
      </c>
      <c r="B746" t="str">
        <f>"137047"</f>
        <v>137047</v>
      </c>
      <c r="C746" t="s">
        <v>235</v>
      </c>
      <c r="D746" s="3">
        <v>207.02</v>
      </c>
      <c r="E746" t="s">
        <v>433</v>
      </c>
      <c r="F746" t="s">
        <v>134</v>
      </c>
    </row>
    <row r="747" spans="1:6" x14ac:dyDescent="0.25">
      <c r="A747">
        <v>20210415</v>
      </c>
      <c r="B747" t="str">
        <f>"137047"</f>
        <v>137047</v>
      </c>
      <c r="C747" t="s">
        <v>235</v>
      </c>
      <c r="D747" s="3">
        <v>7.12</v>
      </c>
      <c r="E747" t="s">
        <v>434</v>
      </c>
      <c r="F747" t="s">
        <v>134</v>
      </c>
    </row>
    <row r="748" spans="1:6" x14ac:dyDescent="0.25">
      <c r="A748">
        <v>20210415</v>
      </c>
      <c r="B748" t="str">
        <f>"137048"</f>
        <v>137048</v>
      </c>
      <c r="C748" t="s">
        <v>435</v>
      </c>
      <c r="D748" s="3">
        <v>995</v>
      </c>
      <c r="E748" t="s">
        <v>222</v>
      </c>
      <c r="F748" t="s">
        <v>134</v>
      </c>
    </row>
    <row r="749" spans="1:6" x14ac:dyDescent="0.25">
      <c r="A749">
        <v>20210415</v>
      </c>
      <c r="B749" t="str">
        <f>"137049"</f>
        <v>137049</v>
      </c>
      <c r="C749" t="s">
        <v>436</v>
      </c>
      <c r="D749" s="3">
        <v>1200</v>
      </c>
      <c r="E749" t="s">
        <v>437</v>
      </c>
      <c r="F749" t="s">
        <v>134</v>
      </c>
    </row>
    <row r="750" spans="1:6" x14ac:dyDescent="0.25">
      <c r="A750">
        <v>20210415</v>
      </c>
      <c r="B750" t="str">
        <f>"137050"</f>
        <v>137050</v>
      </c>
      <c r="C750" t="s">
        <v>438</v>
      </c>
      <c r="D750" s="3">
        <v>308.52999999999997</v>
      </c>
      <c r="E750" t="s">
        <v>36</v>
      </c>
      <c r="F750" t="s">
        <v>134</v>
      </c>
    </row>
    <row r="751" spans="1:6" x14ac:dyDescent="0.25">
      <c r="A751">
        <v>20210415</v>
      </c>
      <c r="B751" t="str">
        <f>"137051"</f>
        <v>137051</v>
      </c>
      <c r="C751" t="s">
        <v>439</v>
      </c>
      <c r="D751" s="3">
        <v>1800</v>
      </c>
      <c r="E751" t="s">
        <v>36</v>
      </c>
      <c r="F751" t="s">
        <v>143</v>
      </c>
    </row>
    <row r="752" spans="1:6" x14ac:dyDescent="0.25">
      <c r="A752">
        <v>20210415</v>
      </c>
      <c r="B752" t="str">
        <f>"137052"</f>
        <v>137052</v>
      </c>
      <c r="C752" t="s">
        <v>440</v>
      </c>
      <c r="D752" s="3">
        <v>426.4</v>
      </c>
      <c r="E752" t="s">
        <v>441</v>
      </c>
      <c r="F752" t="s">
        <v>134</v>
      </c>
    </row>
    <row r="753" spans="1:6" x14ac:dyDescent="0.25">
      <c r="A753">
        <v>20210415</v>
      </c>
      <c r="B753" t="str">
        <f>"137053"</f>
        <v>137053</v>
      </c>
      <c r="C753" t="s">
        <v>240</v>
      </c>
      <c r="D753" s="3">
        <v>107.52</v>
      </c>
      <c r="E753" t="s">
        <v>442</v>
      </c>
      <c r="F753" t="s">
        <v>134</v>
      </c>
    </row>
    <row r="754" spans="1:6" x14ac:dyDescent="0.25">
      <c r="A754">
        <v>20210415</v>
      </c>
      <c r="B754" t="str">
        <f>"137053"</f>
        <v>137053</v>
      </c>
      <c r="C754" t="s">
        <v>240</v>
      </c>
      <c r="D754" s="3">
        <v>55.71</v>
      </c>
      <c r="E754" t="s">
        <v>442</v>
      </c>
      <c r="F754" t="s">
        <v>134</v>
      </c>
    </row>
    <row r="755" spans="1:6" x14ac:dyDescent="0.25">
      <c r="A755">
        <v>20210415</v>
      </c>
      <c r="B755" t="str">
        <f>"137054"</f>
        <v>137054</v>
      </c>
      <c r="C755" t="s">
        <v>242</v>
      </c>
      <c r="D755" s="3">
        <v>1217</v>
      </c>
      <c r="E755" t="s">
        <v>243</v>
      </c>
      <c r="F755" t="s">
        <v>134</v>
      </c>
    </row>
    <row r="756" spans="1:6" x14ac:dyDescent="0.25">
      <c r="A756">
        <v>20210415</v>
      </c>
      <c r="B756" t="str">
        <f>"137054"</f>
        <v>137054</v>
      </c>
      <c r="C756" t="s">
        <v>242</v>
      </c>
      <c r="D756" s="3">
        <v>5665.04</v>
      </c>
      <c r="E756" t="s">
        <v>243</v>
      </c>
      <c r="F756" t="s">
        <v>134</v>
      </c>
    </row>
    <row r="757" spans="1:6" x14ac:dyDescent="0.25">
      <c r="A757">
        <v>20210415</v>
      </c>
      <c r="B757" t="str">
        <f>"137054"</f>
        <v>137054</v>
      </c>
      <c r="C757" t="s">
        <v>242</v>
      </c>
      <c r="D757" s="3">
        <v>2198.4</v>
      </c>
      <c r="E757" t="s">
        <v>243</v>
      </c>
      <c r="F757" t="s">
        <v>134</v>
      </c>
    </row>
    <row r="758" spans="1:6" x14ac:dyDescent="0.25">
      <c r="A758">
        <v>20210415</v>
      </c>
      <c r="B758" t="str">
        <f>"137054"</f>
        <v>137054</v>
      </c>
      <c r="C758" t="s">
        <v>242</v>
      </c>
      <c r="D758" s="3">
        <v>5763.67</v>
      </c>
      <c r="E758" t="s">
        <v>243</v>
      </c>
      <c r="F758" t="s">
        <v>134</v>
      </c>
    </row>
    <row r="759" spans="1:6" x14ac:dyDescent="0.25">
      <c r="A759">
        <v>20210415</v>
      </c>
      <c r="B759" t="str">
        <f>"137055"</f>
        <v>137055</v>
      </c>
      <c r="C759" t="s">
        <v>244</v>
      </c>
      <c r="D759" s="3">
        <v>30.3</v>
      </c>
      <c r="E759" t="s">
        <v>36</v>
      </c>
      <c r="F759" t="s">
        <v>134</v>
      </c>
    </row>
    <row r="760" spans="1:6" x14ac:dyDescent="0.25">
      <c r="A760">
        <v>20210415</v>
      </c>
      <c r="B760" t="str">
        <f>"137056"</f>
        <v>137056</v>
      </c>
      <c r="C760" t="s">
        <v>443</v>
      </c>
      <c r="D760" s="3">
        <v>75</v>
      </c>
      <c r="E760" t="s">
        <v>444</v>
      </c>
      <c r="F760" t="s">
        <v>134</v>
      </c>
    </row>
    <row r="761" spans="1:6" x14ac:dyDescent="0.25">
      <c r="A761">
        <v>20210415</v>
      </c>
      <c r="B761" t="str">
        <f>"137057"</f>
        <v>137057</v>
      </c>
      <c r="C761" t="s">
        <v>445</v>
      </c>
      <c r="D761" s="3">
        <v>600</v>
      </c>
      <c r="E761" t="s">
        <v>446</v>
      </c>
      <c r="F761" t="s">
        <v>134</v>
      </c>
    </row>
    <row r="762" spans="1:6" x14ac:dyDescent="0.25">
      <c r="A762">
        <v>20210415</v>
      </c>
      <c r="B762" t="str">
        <f>"137058"</f>
        <v>137058</v>
      </c>
      <c r="C762" t="s">
        <v>447</v>
      </c>
      <c r="D762" s="3">
        <v>249.5</v>
      </c>
      <c r="E762" t="s">
        <v>36</v>
      </c>
      <c r="F762" t="s">
        <v>134</v>
      </c>
    </row>
    <row r="763" spans="1:6" x14ac:dyDescent="0.25">
      <c r="A763">
        <v>20210415</v>
      </c>
      <c r="B763" t="str">
        <f>"137059"</f>
        <v>137059</v>
      </c>
      <c r="C763" t="s">
        <v>246</v>
      </c>
      <c r="D763" s="3">
        <v>259.17</v>
      </c>
      <c r="E763" t="s">
        <v>36</v>
      </c>
      <c r="F763" t="s">
        <v>134</v>
      </c>
    </row>
    <row r="764" spans="1:6" x14ac:dyDescent="0.25">
      <c r="A764">
        <v>20210415</v>
      </c>
      <c r="B764" t="str">
        <f>"137060"</f>
        <v>137060</v>
      </c>
      <c r="C764" t="s">
        <v>448</v>
      </c>
      <c r="D764" s="3">
        <v>200</v>
      </c>
      <c r="E764" t="s">
        <v>449</v>
      </c>
      <c r="F764" t="s">
        <v>143</v>
      </c>
    </row>
    <row r="765" spans="1:6" x14ac:dyDescent="0.25">
      <c r="A765">
        <v>20210415</v>
      </c>
      <c r="B765" t="str">
        <f>"137061"</f>
        <v>137061</v>
      </c>
      <c r="C765" t="s">
        <v>247</v>
      </c>
      <c r="D765" s="3">
        <v>1353</v>
      </c>
      <c r="E765" t="s">
        <v>248</v>
      </c>
      <c r="F765" t="s">
        <v>134</v>
      </c>
    </row>
    <row r="766" spans="1:6" x14ac:dyDescent="0.25">
      <c r="A766">
        <v>20210415</v>
      </c>
      <c r="B766" t="str">
        <f>"137062"</f>
        <v>137062</v>
      </c>
      <c r="C766" t="s">
        <v>450</v>
      </c>
      <c r="D766" s="3">
        <v>225</v>
      </c>
      <c r="E766" t="s">
        <v>62</v>
      </c>
      <c r="F766" t="s">
        <v>143</v>
      </c>
    </row>
    <row r="767" spans="1:6" x14ac:dyDescent="0.25">
      <c r="A767">
        <v>20210415</v>
      </c>
      <c r="B767" t="str">
        <f>"137063"</f>
        <v>137063</v>
      </c>
      <c r="C767" t="s">
        <v>451</v>
      </c>
      <c r="D767" s="3">
        <v>1260</v>
      </c>
      <c r="E767" t="s">
        <v>187</v>
      </c>
      <c r="F767" t="s">
        <v>134</v>
      </c>
    </row>
    <row r="768" spans="1:6" x14ac:dyDescent="0.25">
      <c r="A768">
        <v>20210415</v>
      </c>
      <c r="B768" t="str">
        <f>"137064"</f>
        <v>137064</v>
      </c>
      <c r="C768" t="s">
        <v>452</v>
      </c>
      <c r="D768" s="3">
        <v>750</v>
      </c>
      <c r="E768" t="s">
        <v>453</v>
      </c>
      <c r="F768" t="s">
        <v>143</v>
      </c>
    </row>
    <row r="769" spans="1:6" x14ac:dyDescent="0.25">
      <c r="A769">
        <v>20210415</v>
      </c>
      <c r="B769" t="str">
        <f>"137066"</f>
        <v>137066</v>
      </c>
      <c r="C769" t="s">
        <v>454</v>
      </c>
      <c r="D769" s="3">
        <v>384.94</v>
      </c>
      <c r="E769" t="s">
        <v>36</v>
      </c>
      <c r="F769" t="s">
        <v>134</v>
      </c>
    </row>
    <row r="770" spans="1:6" x14ac:dyDescent="0.25">
      <c r="A770">
        <v>20210415</v>
      </c>
      <c r="B770" t="str">
        <f>"137067"</f>
        <v>137067</v>
      </c>
      <c r="C770" t="s">
        <v>51</v>
      </c>
      <c r="D770" s="3">
        <v>61.92</v>
      </c>
      <c r="E770" t="s">
        <v>366</v>
      </c>
      <c r="F770" t="s">
        <v>134</v>
      </c>
    </row>
    <row r="771" spans="1:6" x14ac:dyDescent="0.25">
      <c r="A771">
        <v>20210415</v>
      </c>
      <c r="B771" t="str">
        <f>"137068"</f>
        <v>137068</v>
      </c>
      <c r="C771" t="s">
        <v>455</v>
      </c>
      <c r="D771" s="3">
        <v>42</v>
      </c>
      <c r="E771" t="s">
        <v>153</v>
      </c>
      <c r="F771" t="s">
        <v>134</v>
      </c>
    </row>
    <row r="772" spans="1:6" x14ac:dyDescent="0.25">
      <c r="A772">
        <v>20210415</v>
      </c>
      <c r="B772" t="str">
        <f>"137069"</f>
        <v>137069</v>
      </c>
      <c r="C772" t="s">
        <v>456</v>
      </c>
      <c r="D772" s="3">
        <v>75.989999999999995</v>
      </c>
      <c r="E772" t="s">
        <v>457</v>
      </c>
      <c r="F772" t="s">
        <v>134</v>
      </c>
    </row>
    <row r="773" spans="1:6" x14ac:dyDescent="0.25">
      <c r="A773">
        <v>20210415</v>
      </c>
      <c r="B773" t="str">
        <f>"137069"</f>
        <v>137069</v>
      </c>
      <c r="C773" t="s">
        <v>456</v>
      </c>
      <c r="D773" s="3">
        <v>93</v>
      </c>
      <c r="E773" t="s">
        <v>457</v>
      </c>
      <c r="F773" t="s">
        <v>134</v>
      </c>
    </row>
    <row r="774" spans="1:6" x14ac:dyDescent="0.25">
      <c r="A774">
        <v>20210415</v>
      </c>
      <c r="B774" t="str">
        <f>"137069"</f>
        <v>137069</v>
      </c>
      <c r="C774" t="s">
        <v>456</v>
      </c>
      <c r="D774" s="3">
        <v>119.85</v>
      </c>
      <c r="E774" t="s">
        <v>457</v>
      </c>
      <c r="F774" t="s">
        <v>134</v>
      </c>
    </row>
    <row r="775" spans="1:6" x14ac:dyDescent="0.25">
      <c r="A775">
        <v>20210415</v>
      </c>
      <c r="B775" t="str">
        <f>"137070"</f>
        <v>137070</v>
      </c>
      <c r="C775" t="s">
        <v>458</v>
      </c>
      <c r="D775" s="3">
        <v>102.72</v>
      </c>
      <c r="E775" t="s">
        <v>374</v>
      </c>
      <c r="F775" t="s">
        <v>218</v>
      </c>
    </row>
    <row r="776" spans="1:6" x14ac:dyDescent="0.25">
      <c r="A776">
        <v>20210415</v>
      </c>
      <c r="B776" t="str">
        <f>"137070"</f>
        <v>137070</v>
      </c>
      <c r="C776" t="s">
        <v>458</v>
      </c>
      <c r="D776" s="3">
        <v>146.31</v>
      </c>
      <c r="E776" t="s">
        <v>374</v>
      </c>
      <c r="F776" t="s">
        <v>218</v>
      </c>
    </row>
    <row r="777" spans="1:6" x14ac:dyDescent="0.25">
      <c r="A777">
        <v>20210415</v>
      </c>
      <c r="B777" t="str">
        <f>"137070"</f>
        <v>137070</v>
      </c>
      <c r="C777" t="s">
        <v>458</v>
      </c>
      <c r="D777" s="3">
        <v>483.74</v>
      </c>
      <c r="E777" t="s">
        <v>374</v>
      </c>
      <c r="F777" t="s">
        <v>218</v>
      </c>
    </row>
    <row r="778" spans="1:6" x14ac:dyDescent="0.25">
      <c r="A778">
        <v>20210415</v>
      </c>
      <c r="B778" t="str">
        <f t="shared" ref="B778:B786" si="18">"137071"</f>
        <v>137071</v>
      </c>
      <c r="C778" t="s">
        <v>459</v>
      </c>
      <c r="D778" s="3">
        <v>73</v>
      </c>
      <c r="E778" t="s">
        <v>374</v>
      </c>
      <c r="F778" t="s">
        <v>218</v>
      </c>
    </row>
    <row r="779" spans="1:6" x14ac:dyDescent="0.25">
      <c r="A779">
        <v>20210415</v>
      </c>
      <c r="B779" t="str">
        <f t="shared" si="18"/>
        <v>137071</v>
      </c>
      <c r="C779" t="s">
        <v>459</v>
      </c>
      <c r="D779" s="3">
        <v>58.76</v>
      </c>
      <c r="E779" t="s">
        <v>374</v>
      </c>
      <c r="F779" t="s">
        <v>218</v>
      </c>
    </row>
    <row r="780" spans="1:6" x14ac:dyDescent="0.25">
      <c r="A780">
        <v>20210415</v>
      </c>
      <c r="B780" t="str">
        <f t="shared" si="18"/>
        <v>137071</v>
      </c>
      <c r="C780" t="s">
        <v>459</v>
      </c>
      <c r="D780" s="3">
        <v>58.76</v>
      </c>
      <c r="E780" t="s">
        <v>374</v>
      </c>
      <c r="F780" t="s">
        <v>218</v>
      </c>
    </row>
    <row r="781" spans="1:6" x14ac:dyDescent="0.25">
      <c r="A781">
        <v>20210415</v>
      </c>
      <c r="B781" t="str">
        <f t="shared" si="18"/>
        <v>137071</v>
      </c>
      <c r="C781" t="s">
        <v>459</v>
      </c>
      <c r="D781" s="3">
        <v>58.76</v>
      </c>
      <c r="E781" t="s">
        <v>374</v>
      </c>
      <c r="F781" t="s">
        <v>218</v>
      </c>
    </row>
    <row r="782" spans="1:6" x14ac:dyDescent="0.25">
      <c r="A782">
        <v>20210415</v>
      </c>
      <c r="B782" t="str">
        <f t="shared" si="18"/>
        <v>137071</v>
      </c>
      <c r="C782" t="s">
        <v>459</v>
      </c>
      <c r="D782" s="3">
        <v>58.76</v>
      </c>
      <c r="E782" t="s">
        <v>374</v>
      </c>
      <c r="F782" t="s">
        <v>218</v>
      </c>
    </row>
    <row r="783" spans="1:6" x14ac:dyDescent="0.25">
      <c r="A783">
        <v>20210415</v>
      </c>
      <c r="B783" t="str">
        <f t="shared" si="18"/>
        <v>137071</v>
      </c>
      <c r="C783" t="s">
        <v>459</v>
      </c>
      <c r="D783" s="3">
        <v>43.8</v>
      </c>
      <c r="E783" t="s">
        <v>374</v>
      </c>
      <c r="F783" t="s">
        <v>218</v>
      </c>
    </row>
    <row r="784" spans="1:6" x14ac:dyDescent="0.25">
      <c r="A784">
        <v>20210415</v>
      </c>
      <c r="B784" t="str">
        <f t="shared" si="18"/>
        <v>137071</v>
      </c>
      <c r="C784" t="s">
        <v>459</v>
      </c>
      <c r="D784" s="3">
        <v>36.5</v>
      </c>
      <c r="E784" t="s">
        <v>374</v>
      </c>
      <c r="F784" t="s">
        <v>218</v>
      </c>
    </row>
    <row r="785" spans="1:6" x14ac:dyDescent="0.25">
      <c r="A785">
        <v>20210415</v>
      </c>
      <c r="B785" t="str">
        <f t="shared" si="18"/>
        <v>137071</v>
      </c>
      <c r="C785" t="s">
        <v>459</v>
      </c>
      <c r="D785" s="3">
        <v>58.76</v>
      </c>
      <c r="E785" t="s">
        <v>374</v>
      </c>
      <c r="F785" t="s">
        <v>218</v>
      </c>
    </row>
    <row r="786" spans="1:6" x14ac:dyDescent="0.25">
      <c r="A786">
        <v>20210415</v>
      </c>
      <c r="B786" t="str">
        <f t="shared" si="18"/>
        <v>137071</v>
      </c>
      <c r="C786" t="s">
        <v>459</v>
      </c>
      <c r="D786" s="3">
        <v>-36.5</v>
      </c>
      <c r="E786" t="s">
        <v>460</v>
      </c>
      <c r="F786" t="s">
        <v>218</v>
      </c>
    </row>
    <row r="787" spans="1:6" x14ac:dyDescent="0.25">
      <c r="A787">
        <v>20210415</v>
      </c>
      <c r="B787" t="str">
        <f t="shared" ref="B787:B850" si="19">"137072"</f>
        <v>137072</v>
      </c>
      <c r="C787" t="s">
        <v>461</v>
      </c>
      <c r="D787" s="3">
        <v>3717.54</v>
      </c>
      <c r="E787" t="s">
        <v>392</v>
      </c>
      <c r="F787" t="s">
        <v>218</v>
      </c>
    </row>
    <row r="788" spans="1:6" x14ac:dyDescent="0.25">
      <c r="A788">
        <v>20210415</v>
      </c>
      <c r="B788" t="str">
        <f t="shared" si="19"/>
        <v>137072</v>
      </c>
      <c r="C788" t="s">
        <v>461</v>
      </c>
      <c r="D788" s="3">
        <v>3035.37</v>
      </c>
      <c r="E788" t="s">
        <v>392</v>
      </c>
      <c r="F788" t="s">
        <v>218</v>
      </c>
    </row>
    <row r="789" spans="1:6" x14ac:dyDescent="0.25">
      <c r="A789">
        <v>20210415</v>
      </c>
      <c r="B789" t="str">
        <f t="shared" si="19"/>
        <v>137072</v>
      </c>
      <c r="C789" t="s">
        <v>461</v>
      </c>
      <c r="D789" s="3">
        <v>30.53</v>
      </c>
      <c r="E789" t="s">
        <v>392</v>
      </c>
      <c r="F789" t="s">
        <v>218</v>
      </c>
    </row>
    <row r="790" spans="1:6" x14ac:dyDescent="0.25">
      <c r="A790">
        <v>20210415</v>
      </c>
      <c r="B790" t="str">
        <f t="shared" si="19"/>
        <v>137072</v>
      </c>
      <c r="C790" t="s">
        <v>461</v>
      </c>
      <c r="D790" s="3">
        <v>3166.39</v>
      </c>
      <c r="E790" t="s">
        <v>392</v>
      </c>
      <c r="F790" t="s">
        <v>218</v>
      </c>
    </row>
    <row r="791" spans="1:6" x14ac:dyDescent="0.25">
      <c r="A791">
        <v>20210415</v>
      </c>
      <c r="B791" t="str">
        <f t="shared" si="19"/>
        <v>137072</v>
      </c>
      <c r="C791" t="s">
        <v>461</v>
      </c>
      <c r="D791" s="3">
        <v>149.03</v>
      </c>
      <c r="E791" t="s">
        <v>392</v>
      </c>
      <c r="F791" t="s">
        <v>218</v>
      </c>
    </row>
    <row r="792" spans="1:6" x14ac:dyDescent="0.25">
      <c r="A792">
        <v>20210415</v>
      </c>
      <c r="B792" t="str">
        <f t="shared" si="19"/>
        <v>137072</v>
      </c>
      <c r="C792" t="s">
        <v>461</v>
      </c>
      <c r="D792" s="3">
        <v>2501.14</v>
      </c>
      <c r="E792" t="s">
        <v>392</v>
      </c>
      <c r="F792" t="s">
        <v>218</v>
      </c>
    </row>
    <row r="793" spans="1:6" x14ac:dyDescent="0.25">
      <c r="A793">
        <v>20210415</v>
      </c>
      <c r="B793" t="str">
        <f t="shared" si="19"/>
        <v>137072</v>
      </c>
      <c r="C793" t="s">
        <v>461</v>
      </c>
      <c r="D793" s="3">
        <v>-14.33</v>
      </c>
      <c r="E793" t="s">
        <v>462</v>
      </c>
      <c r="F793" t="s">
        <v>218</v>
      </c>
    </row>
    <row r="794" spans="1:6" x14ac:dyDescent="0.25">
      <c r="A794">
        <v>20210415</v>
      </c>
      <c r="B794" t="str">
        <f t="shared" si="19"/>
        <v>137072</v>
      </c>
      <c r="C794" t="s">
        <v>461</v>
      </c>
      <c r="D794" s="3">
        <v>1622.3</v>
      </c>
      <c r="E794" t="s">
        <v>392</v>
      </c>
      <c r="F794" t="s">
        <v>218</v>
      </c>
    </row>
    <row r="795" spans="1:6" x14ac:dyDescent="0.25">
      <c r="A795">
        <v>20210415</v>
      </c>
      <c r="B795" t="str">
        <f t="shared" si="19"/>
        <v>137072</v>
      </c>
      <c r="C795" t="s">
        <v>461</v>
      </c>
      <c r="D795" s="3">
        <v>1176.6099999999999</v>
      </c>
      <c r="E795" t="s">
        <v>392</v>
      </c>
      <c r="F795" t="s">
        <v>218</v>
      </c>
    </row>
    <row r="796" spans="1:6" x14ac:dyDescent="0.25">
      <c r="A796">
        <v>20210415</v>
      </c>
      <c r="B796" t="str">
        <f t="shared" si="19"/>
        <v>137072</v>
      </c>
      <c r="C796" t="s">
        <v>461</v>
      </c>
      <c r="D796" s="3">
        <v>1470.1</v>
      </c>
      <c r="E796" t="s">
        <v>374</v>
      </c>
      <c r="F796" t="s">
        <v>218</v>
      </c>
    </row>
    <row r="797" spans="1:6" x14ac:dyDescent="0.25">
      <c r="A797">
        <v>20210415</v>
      </c>
      <c r="B797" t="str">
        <f t="shared" si="19"/>
        <v>137072</v>
      </c>
      <c r="C797" t="s">
        <v>461</v>
      </c>
      <c r="D797" s="3">
        <v>1170.01</v>
      </c>
      <c r="E797" t="s">
        <v>392</v>
      </c>
      <c r="F797" t="s">
        <v>218</v>
      </c>
    </row>
    <row r="798" spans="1:6" x14ac:dyDescent="0.25">
      <c r="A798">
        <v>20210415</v>
      </c>
      <c r="B798" t="str">
        <f t="shared" si="19"/>
        <v>137072</v>
      </c>
      <c r="C798" t="s">
        <v>461</v>
      </c>
      <c r="D798" s="3">
        <v>-6.65</v>
      </c>
      <c r="E798" t="s">
        <v>463</v>
      </c>
      <c r="F798" t="s">
        <v>218</v>
      </c>
    </row>
    <row r="799" spans="1:6" x14ac:dyDescent="0.25">
      <c r="A799">
        <v>20210415</v>
      </c>
      <c r="B799" t="str">
        <f t="shared" si="19"/>
        <v>137072</v>
      </c>
      <c r="C799" t="s">
        <v>461</v>
      </c>
      <c r="D799" s="3">
        <v>-26.87</v>
      </c>
      <c r="E799" t="s">
        <v>464</v>
      </c>
      <c r="F799" t="s">
        <v>218</v>
      </c>
    </row>
    <row r="800" spans="1:6" x14ac:dyDescent="0.25">
      <c r="A800">
        <v>20210415</v>
      </c>
      <c r="B800" t="str">
        <f t="shared" si="19"/>
        <v>137072</v>
      </c>
      <c r="C800" t="s">
        <v>461</v>
      </c>
      <c r="D800" s="3">
        <v>2370.2800000000002</v>
      </c>
      <c r="E800" t="s">
        <v>392</v>
      </c>
      <c r="F800" t="s">
        <v>218</v>
      </c>
    </row>
    <row r="801" spans="1:6" x14ac:dyDescent="0.25">
      <c r="A801">
        <v>20210415</v>
      </c>
      <c r="B801" t="str">
        <f t="shared" si="19"/>
        <v>137072</v>
      </c>
      <c r="C801" t="s">
        <v>461</v>
      </c>
      <c r="D801" s="3">
        <v>3367.22</v>
      </c>
      <c r="E801" t="s">
        <v>392</v>
      </c>
      <c r="F801" t="s">
        <v>218</v>
      </c>
    </row>
    <row r="802" spans="1:6" x14ac:dyDescent="0.25">
      <c r="A802">
        <v>20210415</v>
      </c>
      <c r="B802" t="str">
        <f t="shared" si="19"/>
        <v>137072</v>
      </c>
      <c r="C802" t="s">
        <v>461</v>
      </c>
      <c r="D802" s="3">
        <v>2879.35</v>
      </c>
      <c r="E802" t="s">
        <v>392</v>
      </c>
      <c r="F802" t="s">
        <v>218</v>
      </c>
    </row>
    <row r="803" spans="1:6" x14ac:dyDescent="0.25">
      <c r="A803">
        <v>20210415</v>
      </c>
      <c r="B803" t="str">
        <f t="shared" si="19"/>
        <v>137072</v>
      </c>
      <c r="C803" t="s">
        <v>461</v>
      </c>
      <c r="D803" s="3">
        <v>2824.77</v>
      </c>
      <c r="E803" t="s">
        <v>392</v>
      </c>
      <c r="F803" t="s">
        <v>218</v>
      </c>
    </row>
    <row r="804" spans="1:6" x14ac:dyDescent="0.25">
      <c r="A804">
        <v>20210415</v>
      </c>
      <c r="B804" t="str">
        <f t="shared" si="19"/>
        <v>137072</v>
      </c>
      <c r="C804" t="s">
        <v>461</v>
      </c>
      <c r="D804" s="3">
        <v>30.66</v>
      </c>
      <c r="E804" t="s">
        <v>392</v>
      </c>
      <c r="F804" t="s">
        <v>218</v>
      </c>
    </row>
    <row r="805" spans="1:6" x14ac:dyDescent="0.25">
      <c r="A805">
        <v>20210415</v>
      </c>
      <c r="B805" t="str">
        <f t="shared" si="19"/>
        <v>137072</v>
      </c>
      <c r="C805" t="s">
        <v>461</v>
      </c>
      <c r="D805" s="3">
        <v>1791.24</v>
      </c>
      <c r="E805" t="s">
        <v>392</v>
      </c>
      <c r="F805" t="s">
        <v>218</v>
      </c>
    </row>
    <row r="806" spans="1:6" x14ac:dyDescent="0.25">
      <c r="A806">
        <v>20210415</v>
      </c>
      <c r="B806" t="str">
        <f t="shared" si="19"/>
        <v>137072</v>
      </c>
      <c r="C806" t="s">
        <v>461</v>
      </c>
      <c r="D806" s="3">
        <v>1309.24</v>
      </c>
      <c r="E806" t="s">
        <v>392</v>
      </c>
      <c r="F806" t="s">
        <v>218</v>
      </c>
    </row>
    <row r="807" spans="1:6" x14ac:dyDescent="0.25">
      <c r="A807">
        <v>20210415</v>
      </c>
      <c r="B807" t="str">
        <f t="shared" si="19"/>
        <v>137072</v>
      </c>
      <c r="C807" t="s">
        <v>461</v>
      </c>
      <c r="D807" s="3">
        <v>1484.5</v>
      </c>
      <c r="E807" t="s">
        <v>392</v>
      </c>
      <c r="F807" t="s">
        <v>218</v>
      </c>
    </row>
    <row r="808" spans="1:6" x14ac:dyDescent="0.25">
      <c r="A808">
        <v>20210415</v>
      </c>
      <c r="B808" t="str">
        <f t="shared" si="19"/>
        <v>137072</v>
      </c>
      <c r="C808" t="s">
        <v>461</v>
      </c>
      <c r="D808" s="3">
        <v>45.3</v>
      </c>
      <c r="E808" t="s">
        <v>392</v>
      </c>
      <c r="F808" t="s">
        <v>218</v>
      </c>
    </row>
    <row r="809" spans="1:6" x14ac:dyDescent="0.25">
      <c r="A809">
        <v>20210415</v>
      </c>
      <c r="B809" t="str">
        <f t="shared" si="19"/>
        <v>137072</v>
      </c>
      <c r="C809" t="s">
        <v>461</v>
      </c>
      <c r="D809" s="3">
        <v>134.79</v>
      </c>
      <c r="E809" t="s">
        <v>392</v>
      </c>
      <c r="F809" t="s">
        <v>218</v>
      </c>
    </row>
    <row r="810" spans="1:6" x14ac:dyDescent="0.25">
      <c r="A810">
        <v>20210415</v>
      </c>
      <c r="B810" t="str">
        <f t="shared" si="19"/>
        <v>137072</v>
      </c>
      <c r="C810" t="s">
        <v>461</v>
      </c>
      <c r="D810" s="3">
        <v>30.66</v>
      </c>
      <c r="E810" t="s">
        <v>392</v>
      </c>
      <c r="F810" t="s">
        <v>218</v>
      </c>
    </row>
    <row r="811" spans="1:6" x14ac:dyDescent="0.25">
      <c r="A811">
        <v>20210415</v>
      </c>
      <c r="B811" t="str">
        <f t="shared" si="19"/>
        <v>137072</v>
      </c>
      <c r="C811" t="s">
        <v>461</v>
      </c>
      <c r="D811" s="3">
        <v>1499.29</v>
      </c>
      <c r="E811" t="s">
        <v>392</v>
      </c>
      <c r="F811" t="s">
        <v>218</v>
      </c>
    </row>
    <row r="812" spans="1:6" x14ac:dyDescent="0.25">
      <c r="A812">
        <v>20210415</v>
      </c>
      <c r="B812" t="str">
        <f t="shared" si="19"/>
        <v>137072</v>
      </c>
      <c r="C812" t="s">
        <v>461</v>
      </c>
      <c r="D812" s="3">
        <v>-12.6</v>
      </c>
      <c r="E812" t="s">
        <v>465</v>
      </c>
      <c r="F812" t="s">
        <v>218</v>
      </c>
    </row>
    <row r="813" spans="1:6" x14ac:dyDescent="0.25">
      <c r="A813">
        <v>20210415</v>
      </c>
      <c r="B813" t="str">
        <f t="shared" si="19"/>
        <v>137072</v>
      </c>
      <c r="C813" t="s">
        <v>461</v>
      </c>
      <c r="D813" s="3">
        <v>1476.46</v>
      </c>
      <c r="E813" t="s">
        <v>392</v>
      </c>
      <c r="F813" t="s">
        <v>218</v>
      </c>
    </row>
    <row r="814" spans="1:6" x14ac:dyDescent="0.25">
      <c r="A814">
        <v>20210415</v>
      </c>
      <c r="B814" t="str">
        <f t="shared" si="19"/>
        <v>137072</v>
      </c>
      <c r="C814" t="s">
        <v>461</v>
      </c>
      <c r="D814" s="3">
        <v>2197.81</v>
      </c>
      <c r="E814" t="s">
        <v>392</v>
      </c>
      <c r="F814" t="s">
        <v>218</v>
      </c>
    </row>
    <row r="815" spans="1:6" x14ac:dyDescent="0.25">
      <c r="A815">
        <v>20210415</v>
      </c>
      <c r="B815" t="str">
        <f t="shared" si="19"/>
        <v>137072</v>
      </c>
      <c r="C815" t="s">
        <v>461</v>
      </c>
      <c r="D815" s="3">
        <v>45.3</v>
      </c>
      <c r="E815" t="s">
        <v>392</v>
      </c>
      <c r="F815" t="s">
        <v>218</v>
      </c>
    </row>
    <row r="816" spans="1:6" x14ac:dyDescent="0.25">
      <c r="A816">
        <v>20210415</v>
      </c>
      <c r="B816" t="str">
        <f t="shared" si="19"/>
        <v>137072</v>
      </c>
      <c r="C816" t="s">
        <v>461</v>
      </c>
      <c r="D816" s="3">
        <v>1247.83</v>
      </c>
      <c r="E816" t="s">
        <v>392</v>
      </c>
      <c r="F816" t="s">
        <v>218</v>
      </c>
    </row>
    <row r="817" spans="1:6" x14ac:dyDescent="0.25">
      <c r="A817">
        <v>20210415</v>
      </c>
      <c r="B817" t="str">
        <f t="shared" si="19"/>
        <v>137072</v>
      </c>
      <c r="C817" t="s">
        <v>461</v>
      </c>
      <c r="D817" s="3">
        <v>1199.8699999999999</v>
      </c>
      <c r="E817" t="s">
        <v>374</v>
      </c>
      <c r="F817" t="s">
        <v>218</v>
      </c>
    </row>
    <row r="818" spans="1:6" x14ac:dyDescent="0.25">
      <c r="A818">
        <v>20210415</v>
      </c>
      <c r="B818" t="str">
        <f t="shared" si="19"/>
        <v>137072</v>
      </c>
      <c r="C818" t="s">
        <v>461</v>
      </c>
      <c r="D818" s="3">
        <v>1158.33</v>
      </c>
      <c r="E818" t="s">
        <v>392</v>
      </c>
      <c r="F818" t="s">
        <v>218</v>
      </c>
    </row>
    <row r="819" spans="1:6" x14ac:dyDescent="0.25">
      <c r="A819">
        <v>20210415</v>
      </c>
      <c r="B819" t="str">
        <f t="shared" si="19"/>
        <v>137072</v>
      </c>
      <c r="C819" t="s">
        <v>461</v>
      </c>
      <c r="D819" s="3">
        <v>1072.8399999999999</v>
      </c>
      <c r="E819" t="s">
        <v>392</v>
      </c>
      <c r="F819" t="s">
        <v>218</v>
      </c>
    </row>
    <row r="820" spans="1:6" x14ac:dyDescent="0.25">
      <c r="A820">
        <v>20210415</v>
      </c>
      <c r="B820" t="str">
        <f t="shared" si="19"/>
        <v>137072</v>
      </c>
      <c r="C820" t="s">
        <v>461</v>
      </c>
      <c r="D820" s="3">
        <v>2434.8200000000002</v>
      </c>
      <c r="E820" t="s">
        <v>392</v>
      </c>
      <c r="F820" t="s">
        <v>218</v>
      </c>
    </row>
    <row r="821" spans="1:6" x14ac:dyDescent="0.25">
      <c r="A821">
        <v>20210415</v>
      </c>
      <c r="B821" t="str">
        <f t="shared" si="19"/>
        <v>137072</v>
      </c>
      <c r="C821" t="s">
        <v>461</v>
      </c>
      <c r="D821" s="3">
        <v>973.04</v>
      </c>
      <c r="E821" t="s">
        <v>392</v>
      </c>
      <c r="F821" t="s">
        <v>218</v>
      </c>
    </row>
    <row r="822" spans="1:6" x14ac:dyDescent="0.25">
      <c r="A822">
        <v>20210415</v>
      </c>
      <c r="B822" t="str">
        <f t="shared" si="19"/>
        <v>137072</v>
      </c>
      <c r="C822" t="s">
        <v>461</v>
      </c>
      <c r="D822" s="3">
        <v>1550.35</v>
      </c>
      <c r="E822" t="s">
        <v>392</v>
      </c>
      <c r="F822" t="s">
        <v>218</v>
      </c>
    </row>
    <row r="823" spans="1:6" x14ac:dyDescent="0.25">
      <c r="A823">
        <v>20210415</v>
      </c>
      <c r="B823" t="str">
        <f t="shared" si="19"/>
        <v>137072</v>
      </c>
      <c r="C823" t="s">
        <v>461</v>
      </c>
      <c r="D823" s="3">
        <v>45.99</v>
      </c>
      <c r="E823" t="s">
        <v>392</v>
      </c>
      <c r="F823" t="s">
        <v>218</v>
      </c>
    </row>
    <row r="824" spans="1:6" x14ac:dyDescent="0.25">
      <c r="A824">
        <v>20210415</v>
      </c>
      <c r="B824" t="str">
        <f t="shared" si="19"/>
        <v>137072</v>
      </c>
      <c r="C824" t="s">
        <v>461</v>
      </c>
      <c r="D824" s="3">
        <v>1312.7</v>
      </c>
      <c r="E824" t="s">
        <v>392</v>
      </c>
      <c r="F824" t="s">
        <v>218</v>
      </c>
    </row>
    <row r="825" spans="1:6" x14ac:dyDescent="0.25">
      <c r="A825">
        <v>20210415</v>
      </c>
      <c r="B825" t="str">
        <f t="shared" si="19"/>
        <v>137072</v>
      </c>
      <c r="C825" t="s">
        <v>461</v>
      </c>
      <c r="D825" s="3">
        <v>1255.01</v>
      </c>
      <c r="E825" t="s">
        <v>392</v>
      </c>
      <c r="F825" t="s">
        <v>218</v>
      </c>
    </row>
    <row r="826" spans="1:6" x14ac:dyDescent="0.25">
      <c r="A826">
        <v>20210415</v>
      </c>
      <c r="B826" t="str">
        <f t="shared" si="19"/>
        <v>137072</v>
      </c>
      <c r="C826" t="s">
        <v>461</v>
      </c>
      <c r="D826" s="3">
        <v>1585.67</v>
      </c>
      <c r="E826" t="s">
        <v>392</v>
      </c>
      <c r="F826" t="s">
        <v>218</v>
      </c>
    </row>
    <row r="827" spans="1:6" x14ac:dyDescent="0.25">
      <c r="A827">
        <v>20210415</v>
      </c>
      <c r="B827" t="str">
        <f t="shared" si="19"/>
        <v>137072</v>
      </c>
      <c r="C827" t="s">
        <v>461</v>
      </c>
      <c r="D827" s="3">
        <v>45.3</v>
      </c>
      <c r="E827" t="s">
        <v>392</v>
      </c>
      <c r="F827" t="s">
        <v>218</v>
      </c>
    </row>
    <row r="828" spans="1:6" x14ac:dyDescent="0.25">
      <c r="A828">
        <v>20210415</v>
      </c>
      <c r="B828" t="str">
        <f t="shared" si="19"/>
        <v>137072</v>
      </c>
      <c r="C828" t="s">
        <v>461</v>
      </c>
      <c r="D828" s="3">
        <v>343.2</v>
      </c>
      <c r="E828" t="s">
        <v>392</v>
      </c>
      <c r="F828" t="s">
        <v>218</v>
      </c>
    </row>
    <row r="829" spans="1:6" x14ac:dyDescent="0.25">
      <c r="A829">
        <v>20210415</v>
      </c>
      <c r="B829" t="str">
        <f t="shared" si="19"/>
        <v>137072</v>
      </c>
      <c r="C829" t="s">
        <v>461</v>
      </c>
      <c r="D829" s="3">
        <v>2301.7600000000002</v>
      </c>
      <c r="E829" t="s">
        <v>392</v>
      </c>
      <c r="F829" t="s">
        <v>218</v>
      </c>
    </row>
    <row r="830" spans="1:6" x14ac:dyDescent="0.25">
      <c r="A830">
        <v>20210415</v>
      </c>
      <c r="B830" t="str">
        <f t="shared" si="19"/>
        <v>137072</v>
      </c>
      <c r="C830" t="s">
        <v>461</v>
      </c>
      <c r="D830" s="3">
        <v>45.99</v>
      </c>
      <c r="E830" t="s">
        <v>392</v>
      </c>
      <c r="F830" t="s">
        <v>218</v>
      </c>
    </row>
    <row r="831" spans="1:6" x14ac:dyDescent="0.25">
      <c r="A831">
        <v>20210415</v>
      </c>
      <c r="B831" t="str">
        <f t="shared" si="19"/>
        <v>137072</v>
      </c>
      <c r="C831" t="s">
        <v>461</v>
      </c>
      <c r="D831" s="3">
        <v>1628.18</v>
      </c>
      <c r="E831" t="s">
        <v>392</v>
      </c>
      <c r="F831" t="s">
        <v>218</v>
      </c>
    </row>
    <row r="832" spans="1:6" x14ac:dyDescent="0.25">
      <c r="A832">
        <v>20210415</v>
      </c>
      <c r="B832" t="str">
        <f t="shared" si="19"/>
        <v>137072</v>
      </c>
      <c r="C832" t="s">
        <v>461</v>
      </c>
      <c r="D832" s="3">
        <v>45.3</v>
      </c>
      <c r="E832" t="s">
        <v>392</v>
      </c>
      <c r="F832" t="s">
        <v>218</v>
      </c>
    </row>
    <row r="833" spans="1:6" x14ac:dyDescent="0.25">
      <c r="A833">
        <v>20210415</v>
      </c>
      <c r="B833" t="str">
        <f t="shared" si="19"/>
        <v>137072</v>
      </c>
      <c r="C833" t="s">
        <v>461</v>
      </c>
      <c r="D833" s="3">
        <v>1926.62</v>
      </c>
      <c r="E833" t="s">
        <v>392</v>
      </c>
      <c r="F833" t="s">
        <v>218</v>
      </c>
    </row>
    <row r="834" spans="1:6" x14ac:dyDescent="0.25">
      <c r="A834">
        <v>20210415</v>
      </c>
      <c r="B834" t="str">
        <f t="shared" si="19"/>
        <v>137072</v>
      </c>
      <c r="C834" t="s">
        <v>461</v>
      </c>
      <c r="D834" s="3">
        <v>45.3</v>
      </c>
      <c r="E834" t="s">
        <v>392</v>
      </c>
      <c r="F834" t="s">
        <v>218</v>
      </c>
    </row>
    <row r="835" spans="1:6" x14ac:dyDescent="0.25">
      <c r="A835">
        <v>20210415</v>
      </c>
      <c r="B835" t="str">
        <f t="shared" si="19"/>
        <v>137072</v>
      </c>
      <c r="C835" t="s">
        <v>461</v>
      </c>
      <c r="D835" s="3">
        <v>1105.78</v>
      </c>
      <c r="E835" t="s">
        <v>392</v>
      </c>
      <c r="F835" t="s">
        <v>218</v>
      </c>
    </row>
    <row r="836" spans="1:6" x14ac:dyDescent="0.25">
      <c r="A836">
        <v>20210415</v>
      </c>
      <c r="B836" t="str">
        <f t="shared" si="19"/>
        <v>137072</v>
      </c>
      <c r="C836" t="s">
        <v>461</v>
      </c>
      <c r="D836" s="3">
        <v>1658.94</v>
      </c>
      <c r="E836" t="s">
        <v>392</v>
      </c>
      <c r="F836" t="s">
        <v>218</v>
      </c>
    </row>
    <row r="837" spans="1:6" x14ac:dyDescent="0.25">
      <c r="A837">
        <v>20210415</v>
      </c>
      <c r="B837" t="str">
        <f t="shared" si="19"/>
        <v>137072</v>
      </c>
      <c r="C837" t="s">
        <v>461</v>
      </c>
      <c r="D837" s="3">
        <v>15.33</v>
      </c>
      <c r="E837" t="s">
        <v>392</v>
      </c>
      <c r="F837" t="s">
        <v>218</v>
      </c>
    </row>
    <row r="838" spans="1:6" x14ac:dyDescent="0.25">
      <c r="A838">
        <v>20210415</v>
      </c>
      <c r="B838" t="str">
        <f t="shared" si="19"/>
        <v>137072</v>
      </c>
      <c r="C838" t="s">
        <v>461</v>
      </c>
      <c r="D838" s="3">
        <v>68.33</v>
      </c>
      <c r="E838" t="s">
        <v>392</v>
      </c>
      <c r="F838" t="s">
        <v>218</v>
      </c>
    </row>
    <row r="839" spans="1:6" x14ac:dyDescent="0.25">
      <c r="A839">
        <v>20210415</v>
      </c>
      <c r="B839" t="str">
        <f t="shared" si="19"/>
        <v>137072</v>
      </c>
      <c r="C839" t="s">
        <v>461</v>
      </c>
      <c r="D839" s="3">
        <v>2438.81</v>
      </c>
      <c r="E839" t="s">
        <v>392</v>
      </c>
      <c r="F839" t="s">
        <v>218</v>
      </c>
    </row>
    <row r="840" spans="1:6" x14ac:dyDescent="0.25">
      <c r="A840">
        <v>20210415</v>
      </c>
      <c r="B840" t="str">
        <f t="shared" si="19"/>
        <v>137072</v>
      </c>
      <c r="C840" t="s">
        <v>461</v>
      </c>
      <c r="D840" s="3">
        <v>2236.6</v>
      </c>
      <c r="E840" t="s">
        <v>392</v>
      </c>
      <c r="F840" t="s">
        <v>218</v>
      </c>
    </row>
    <row r="841" spans="1:6" x14ac:dyDescent="0.25">
      <c r="A841">
        <v>20210415</v>
      </c>
      <c r="B841" t="str">
        <f t="shared" si="19"/>
        <v>137072</v>
      </c>
      <c r="C841" t="s">
        <v>461</v>
      </c>
      <c r="D841" s="3">
        <v>1359.58</v>
      </c>
      <c r="E841" t="s">
        <v>392</v>
      </c>
      <c r="F841" t="s">
        <v>218</v>
      </c>
    </row>
    <row r="842" spans="1:6" x14ac:dyDescent="0.25">
      <c r="A842">
        <v>20210415</v>
      </c>
      <c r="B842" t="str">
        <f t="shared" si="19"/>
        <v>137072</v>
      </c>
      <c r="C842" t="s">
        <v>461</v>
      </c>
      <c r="D842" s="3">
        <v>1328.4</v>
      </c>
      <c r="E842" t="s">
        <v>392</v>
      </c>
      <c r="F842" t="s">
        <v>218</v>
      </c>
    </row>
    <row r="843" spans="1:6" x14ac:dyDescent="0.25">
      <c r="A843">
        <v>20210415</v>
      </c>
      <c r="B843" t="str">
        <f t="shared" si="19"/>
        <v>137072</v>
      </c>
      <c r="C843" t="s">
        <v>461</v>
      </c>
      <c r="D843" s="3">
        <v>3141.2</v>
      </c>
      <c r="E843" t="s">
        <v>392</v>
      </c>
      <c r="F843" t="s">
        <v>218</v>
      </c>
    </row>
    <row r="844" spans="1:6" x14ac:dyDescent="0.25">
      <c r="A844">
        <v>20210415</v>
      </c>
      <c r="B844" t="str">
        <f t="shared" si="19"/>
        <v>137072</v>
      </c>
      <c r="C844" t="s">
        <v>461</v>
      </c>
      <c r="D844" s="3">
        <v>112.09</v>
      </c>
      <c r="E844" t="s">
        <v>392</v>
      </c>
      <c r="F844" t="s">
        <v>218</v>
      </c>
    </row>
    <row r="845" spans="1:6" x14ac:dyDescent="0.25">
      <c r="A845">
        <v>20210415</v>
      </c>
      <c r="B845" t="str">
        <f t="shared" si="19"/>
        <v>137072</v>
      </c>
      <c r="C845" t="s">
        <v>461</v>
      </c>
      <c r="D845" s="3">
        <v>541.16</v>
      </c>
      <c r="E845" t="s">
        <v>392</v>
      </c>
      <c r="F845" t="s">
        <v>218</v>
      </c>
    </row>
    <row r="846" spans="1:6" x14ac:dyDescent="0.25">
      <c r="A846">
        <v>20210415</v>
      </c>
      <c r="B846" t="str">
        <f t="shared" si="19"/>
        <v>137072</v>
      </c>
      <c r="C846" t="s">
        <v>461</v>
      </c>
      <c r="D846" s="3">
        <v>327.99</v>
      </c>
      <c r="E846" t="s">
        <v>392</v>
      </c>
      <c r="F846" t="s">
        <v>218</v>
      </c>
    </row>
    <row r="847" spans="1:6" x14ac:dyDescent="0.25">
      <c r="A847">
        <v>20210415</v>
      </c>
      <c r="B847" t="str">
        <f t="shared" si="19"/>
        <v>137072</v>
      </c>
      <c r="C847" t="s">
        <v>461</v>
      </c>
      <c r="D847" s="3">
        <v>245.15</v>
      </c>
      <c r="E847" t="s">
        <v>392</v>
      </c>
      <c r="F847" t="s">
        <v>218</v>
      </c>
    </row>
    <row r="848" spans="1:6" x14ac:dyDescent="0.25">
      <c r="A848">
        <v>20210415</v>
      </c>
      <c r="B848" t="str">
        <f t="shared" si="19"/>
        <v>137072</v>
      </c>
      <c r="C848" t="s">
        <v>461</v>
      </c>
      <c r="D848" s="3">
        <v>219.26</v>
      </c>
      <c r="E848" t="s">
        <v>392</v>
      </c>
      <c r="F848" t="s">
        <v>218</v>
      </c>
    </row>
    <row r="849" spans="1:6" x14ac:dyDescent="0.25">
      <c r="A849">
        <v>20210415</v>
      </c>
      <c r="B849" t="str">
        <f t="shared" si="19"/>
        <v>137072</v>
      </c>
      <c r="C849" t="s">
        <v>461</v>
      </c>
      <c r="D849" s="3">
        <v>164.59</v>
      </c>
      <c r="E849" t="s">
        <v>392</v>
      </c>
      <c r="F849" t="s">
        <v>218</v>
      </c>
    </row>
    <row r="850" spans="1:6" x14ac:dyDescent="0.25">
      <c r="A850">
        <v>20210415</v>
      </c>
      <c r="B850" t="str">
        <f t="shared" si="19"/>
        <v>137072</v>
      </c>
      <c r="C850" t="s">
        <v>461</v>
      </c>
      <c r="D850" s="3">
        <v>108.6</v>
      </c>
      <c r="E850" t="s">
        <v>392</v>
      </c>
      <c r="F850" t="s">
        <v>218</v>
      </c>
    </row>
    <row r="851" spans="1:6" x14ac:dyDescent="0.25">
      <c r="A851">
        <v>20210415</v>
      </c>
      <c r="B851" t="str">
        <f t="shared" ref="B851:B881" si="20">"137072"</f>
        <v>137072</v>
      </c>
      <c r="C851" t="s">
        <v>461</v>
      </c>
      <c r="D851" s="3">
        <v>89.48</v>
      </c>
      <c r="E851" t="s">
        <v>392</v>
      </c>
      <c r="F851" t="s">
        <v>218</v>
      </c>
    </row>
    <row r="852" spans="1:6" x14ac:dyDescent="0.25">
      <c r="A852">
        <v>20210415</v>
      </c>
      <c r="B852" t="str">
        <f t="shared" si="20"/>
        <v>137072</v>
      </c>
      <c r="C852" t="s">
        <v>461</v>
      </c>
      <c r="D852" s="3">
        <v>245.4</v>
      </c>
      <c r="E852" t="s">
        <v>392</v>
      </c>
      <c r="F852" t="s">
        <v>218</v>
      </c>
    </row>
    <row r="853" spans="1:6" x14ac:dyDescent="0.25">
      <c r="A853">
        <v>20210415</v>
      </c>
      <c r="B853" t="str">
        <f t="shared" si="20"/>
        <v>137072</v>
      </c>
      <c r="C853" t="s">
        <v>461</v>
      </c>
      <c r="D853" s="3">
        <v>235.82</v>
      </c>
      <c r="E853" t="s">
        <v>392</v>
      </c>
      <c r="F853" t="s">
        <v>218</v>
      </c>
    </row>
    <row r="854" spans="1:6" x14ac:dyDescent="0.25">
      <c r="A854">
        <v>20210415</v>
      </c>
      <c r="B854" t="str">
        <f t="shared" si="20"/>
        <v>137072</v>
      </c>
      <c r="C854" t="s">
        <v>461</v>
      </c>
      <c r="D854" s="3">
        <v>462.28</v>
      </c>
      <c r="E854" t="s">
        <v>392</v>
      </c>
      <c r="F854" t="s">
        <v>218</v>
      </c>
    </row>
    <row r="855" spans="1:6" x14ac:dyDescent="0.25">
      <c r="A855">
        <v>20210415</v>
      </c>
      <c r="B855" t="str">
        <f t="shared" si="20"/>
        <v>137072</v>
      </c>
      <c r="C855" t="s">
        <v>461</v>
      </c>
      <c r="D855" s="3">
        <v>175.88</v>
      </c>
      <c r="E855" t="s">
        <v>392</v>
      </c>
      <c r="F855" t="s">
        <v>218</v>
      </c>
    </row>
    <row r="856" spans="1:6" x14ac:dyDescent="0.25">
      <c r="A856">
        <v>20210415</v>
      </c>
      <c r="B856" t="str">
        <f t="shared" si="20"/>
        <v>137072</v>
      </c>
      <c r="C856" t="s">
        <v>461</v>
      </c>
      <c r="D856" s="3">
        <v>189.92</v>
      </c>
      <c r="E856" t="s">
        <v>392</v>
      </c>
      <c r="F856" t="s">
        <v>218</v>
      </c>
    </row>
    <row r="857" spans="1:6" x14ac:dyDescent="0.25">
      <c r="A857">
        <v>20210415</v>
      </c>
      <c r="B857" t="str">
        <f t="shared" si="20"/>
        <v>137072</v>
      </c>
      <c r="C857" t="s">
        <v>461</v>
      </c>
      <c r="D857" s="3">
        <v>70.540000000000006</v>
      </c>
      <c r="E857" t="s">
        <v>392</v>
      </c>
      <c r="F857" t="s">
        <v>218</v>
      </c>
    </row>
    <row r="858" spans="1:6" x14ac:dyDescent="0.25">
      <c r="A858">
        <v>20210415</v>
      </c>
      <c r="B858" t="str">
        <f t="shared" si="20"/>
        <v>137072</v>
      </c>
      <c r="C858" t="s">
        <v>461</v>
      </c>
      <c r="D858" s="3">
        <v>107.09</v>
      </c>
      <c r="E858" t="s">
        <v>392</v>
      </c>
      <c r="F858" t="s">
        <v>218</v>
      </c>
    </row>
    <row r="859" spans="1:6" x14ac:dyDescent="0.25">
      <c r="A859">
        <v>20210415</v>
      </c>
      <c r="B859" t="str">
        <f t="shared" si="20"/>
        <v>137072</v>
      </c>
      <c r="C859" t="s">
        <v>461</v>
      </c>
      <c r="D859" s="3">
        <v>57.52</v>
      </c>
      <c r="E859" t="s">
        <v>392</v>
      </c>
      <c r="F859" t="s">
        <v>218</v>
      </c>
    </row>
    <row r="860" spans="1:6" x14ac:dyDescent="0.25">
      <c r="A860">
        <v>20210415</v>
      </c>
      <c r="B860" t="str">
        <f t="shared" si="20"/>
        <v>137072</v>
      </c>
      <c r="C860" t="s">
        <v>461</v>
      </c>
      <c r="D860" s="3">
        <v>116.63</v>
      </c>
      <c r="E860" t="s">
        <v>392</v>
      </c>
      <c r="F860" t="s">
        <v>218</v>
      </c>
    </row>
    <row r="861" spans="1:6" x14ac:dyDescent="0.25">
      <c r="A861">
        <v>20210415</v>
      </c>
      <c r="B861" t="str">
        <f t="shared" si="20"/>
        <v>137072</v>
      </c>
      <c r="C861" t="s">
        <v>461</v>
      </c>
      <c r="D861" s="3">
        <v>69.33</v>
      </c>
      <c r="E861" t="s">
        <v>392</v>
      </c>
      <c r="F861" t="s">
        <v>218</v>
      </c>
    </row>
    <row r="862" spans="1:6" x14ac:dyDescent="0.25">
      <c r="A862">
        <v>20210415</v>
      </c>
      <c r="B862" t="str">
        <f t="shared" si="20"/>
        <v>137072</v>
      </c>
      <c r="C862" t="s">
        <v>461</v>
      </c>
      <c r="D862" s="3">
        <v>87.89</v>
      </c>
      <c r="E862" t="s">
        <v>392</v>
      </c>
      <c r="F862" t="s">
        <v>218</v>
      </c>
    </row>
    <row r="863" spans="1:6" x14ac:dyDescent="0.25">
      <c r="A863">
        <v>20210415</v>
      </c>
      <c r="B863" t="str">
        <f t="shared" si="20"/>
        <v>137072</v>
      </c>
      <c r="C863" t="s">
        <v>461</v>
      </c>
      <c r="D863" s="3">
        <v>208.48</v>
      </c>
      <c r="E863" t="s">
        <v>466</v>
      </c>
      <c r="F863" t="s">
        <v>218</v>
      </c>
    </row>
    <row r="864" spans="1:6" x14ac:dyDescent="0.25">
      <c r="A864">
        <v>20210415</v>
      </c>
      <c r="B864" t="str">
        <f t="shared" si="20"/>
        <v>137072</v>
      </c>
      <c r="C864" t="s">
        <v>461</v>
      </c>
      <c r="D864" s="3">
        <v>271.22000000000003</v>
      </c>
      <c r="E864" t="s">
        <v>392</v>
      </c>
      <c r="F864" t="s">
        <v>218</v>
      </c>
    </row>
    <row r="865" spans="1:6" x14ac:dyDescent="0.25">
      <c r="A865">
        <v>20210415</v>
      </c>
      <c r="B865" t="str">
        <f t="shared" si="20"/>
        <v>137072</v>
      </c>
      <c r="C865" t="s">
        <v>461</v>
      </c>
      <c r="D865" s="3">
        <v>154.84</v>
      </c>
      <c r="E865" t="s">
        <v>392</v>
      </c>
      <c r="F865" t="s">
        <v>218</v>
      </c>
    </row>
    <row r="866" spans="1:6" x14ac:dyDescent="0.25">
      <c r="A866">
        <v>20210415</v>
      </c>
      <c r="B866" t="str">
        <f t="shared" si="20"/>
        <v>137072</v>
      </c>
      <c r="C866" t="s">
        <v>461</v>
      </c>
      <c r="D866" s="3">
        <v>558.33000000000004</v>
      </c>
      <c r="E866" t="s">
        <v>392</v>
      </c>
      <c r="F866" t="s">
        <v>218</v>
      </c>
    </row>
    <row r="867" spans="1:6" x14ac:dyDescent="0.25">
      <c r="A867">
        <v>20210415</v>
      </c>
      <c r="B867" t="str">
        <f t="shared" si="20"/>
        <v>137072</v>
      </c>
      <c r="C867" t="s">
        <v>461</v>
      </c>
      <c r="D867" s="3">
        <v>122.55</v>
      </c>
      <c r="E867" t="s">
        <v>392</v>
      </c>
      <c r="F867" t="s">
        <v>218</v>
      </c>
    </row>
    <row r="868" spans="1:6" x14ac:dyDescent="0.25">
      <c r="A868">
        <v>20210415</v>
      </c>
      <c r="B868" t="str">
        <f t="shared" si="20"/>
        <v>137072</v>
      </c>
      <c r="C868" t="s">
        <v>461</v>
      </c>
      <c r="D868" s="3">
        <v>363.35</v>
      </c>
      <c r="E868" t="s">
        <v>392</v>
      </c>
      <c r="F868" t="s">
        <v>218</v>
      </c>
    </row>
    <row r="869" spans="1:6" x14ac:dyDescent="0.25">
      <c r="A869">
        <v>20210415</v>
      </c>
      <c r="B869" t="str">
        <f t="shared" si="20"/>
        <v>137072</v>
      </c>
      <c r="C869" t="s">
        <v>461</v>
      </c>
      <c r="D869" s="3">
        <v>286.55</v>
      </c>
      <c r="E869" t="s">
        <v>392</v>
      </c>
      <c r="F869" t="s">
        <v>218</v>
      </c>
    </row>
    <row r="870" spans="1:6" x14ac:dyDescent="0.25">
      <c r="A870">
        <v>20210415</v>
      </c>
      <c r="B870" t="str">
        <f t="shared" si="20"/>
        <v>137072</v>
      </c>
      <c r="C870" t="s">
        <v>461</v>
      </c>
      <c r="D870" s="3">
        <v>219.07</v>
      </c>
      <c r="E870" t="s">
        <v>392</v>
      </c>
      <c r="F870" t="s">
        <v>218</v>
      </c>
    </row>
    <row r="871" spans="1:6" x14ac:dyDescent="0.25">
      <c r="A871">
        <v>20210415</v>
      </c>
      <c r="B871" t="str">
        <f t="shared" si="20"/>
        <v>137072</v>
      </c>
      <c r="C871" t="s">
        <v>461</v>
      </c>
      <c r="D871" s="3">
        <v>141.38999999999999</v>
      </c>
      <c r="E871" t="s">
        <v>392</v>
      </c>
      <c r="F871" t="s">
        <v>218</v>
      </c>
    </row>
    <row r="872" spans="1:6" x14ac:dyDescent="0.25">
      <c r="A872">
        <v>20210415</v>
      </c>
      <c r="B872" t="str">
        <f t="shared" si="20"/>
        <v>137072</v>
      </c>
      <c r="C872" t="s">
        <v>461</v>
      </c>
      <c r="D872" s="3">
        <v>348.4</v>
      </c>
      <c r="E872" t="s">
        <v>392</v>
      </c>
      <c r="F872" t="s">
        <v>218</v>
      </c>
    </row>
    <row r="873" spans="1:6" x14ac:dyDescent="0.25">
      <c r="A873">
        <v>20210415</v>
      </c>
      <c r="B873" t="str">
        <f t="shared" si="20"/>
        <v>137072</v>
      </c>
      <c r="C873" t="s">
        <v>461</v>
      </c>
      <c r="D873" s="3">
        <v>213.85</v>
      </c>
      <c r="E873" t="s">
        <v>392</v>
      </c>
      <c r="F873" t="s">
        <v>218</v>
      </c>
    </row>
    <row r="874" spans="1:6" x14ac:dyDescent="0.25">
      <c r="A874">
        <v>20210415</v>
      </c>
      <c r="B874" t="str">
        <f t="shared" si="20"/>
        <v>137072</v>
      </c>
      <c r="C874" t="s">
        <v>461</v>
      </c>
      <c r="D874" s="3">
        <v>43.06</v>
      </c>
      <c r="E874" t="s">
        <v>392</v>
      </c>
      <c r="F874" t="s">
        <v>218</v>
      </c>
    </row>
    <row r="875" spans="1:6" x14ac:dyDescent="0.25">
      <c r="A875">
        <v>20210415</v>
      </c>
      <c r="B875" t="str">
        <f t="shared" si="20"/>
        <v>137072</v>
      </c>
      <c r="C875" t="s">
        <v>461</v>
      </c>
      <c r="D875" s="3">
        <v>207.5</v>
      </c>
      <c r="E875" t="s">
        <v>392</v>
      </c>
      <c r="F875" t="s">
        <v>218</v>
      </c>
    </row>
    <row r="876" spans="1:6" x14ac:dyDescent="0.25">
      <c r="A876">
        <v>20210415</v>
      </c>
      <c r="B876" t="str">
        <f t="shared" si="20"/>
        <v>137072</v>
      </c>
      <c r="C876" t="s">
        <v>461</v>
      </c>
      <c r="D876" s="3">
        <v>23.33</v>
      </c>
      <c r="E876" t="s">
        <v>392</v>
      </c>
      <c r="F876" t="s">
        <v>218</v>
      </c>
    </row>
    <row r="877" spans="1:6" x14ac:dyDescent="0.25">
      <c r="A877">
        <v>20210415</v>
      </c>
      <c r="B877" t="str">
        <f t="shared" si="20"/>
        <v>137072</v>
      </c>
      <c r="C877" t="s">
        <v>461</v>
      </c>
      <c r="D877" s="3">
        <v>93.24</v>
      </c>
      <c r="E877" t="s">
        <v>392</v>
      </c>
      <c r="F877" t="s">
        <v>218</v>
      </c>
    </row>
    <row r="878" spans="1:6" x14ac:dyDescent="0.25">
      <c r="A878">
        <v>20210415</v>
      </c>
      <c r="B878" t="str">
        <f t="shared" si="20"/>
        <v>137072</v>
      </c>
      <c r="C878" t="s">
        <v>461</v>
      </c>
      <c r="D878" s="3">
        <v>212.55</v>
      </c>
      <c r="E878" t="s">
        <v>392</v>
      </c>
      <c r="F878" t="s">
        <v>218</v>
      </c>
    </row>
    <row r="879" spans="1:6" x14ac:dyDescent="0.25">
      <c r="A879">
        <v>20210415</v>
      </c>
      <c r="B879" t="str">
        <f t="shared" si="20"/>
        <v>137072</v>
      </c>
      <c r="C879" t="s">
        <v>461</v>
      </c>
      <c r="D879" s="3">
        <v>123.14</v>
      </c>
      <c r="E879" t="s">
        <v>392</v>
      </c>
      <c r="F879" t="s">
        <v>218</v>
      </c>
    </row>
    <row r="880" spans="1:6" x14ac:dyDescent="0.25">
      <c r="A880">
        <v>20210415</v>
      </c>
      <c r="B880" t="str">
        <f t="shared" si="20"/>
        <v>137072</v>
      </c>
      <c r="C880" t="s">
        <v>461</v>
      </c>
      <c r="D880" s="3">
        <v>121.19</v>
      </c>
      <c r="E880" t="s">
        <v>392</v>
      </c>
      <c r="F880" t="s">
        <v>218</v>
      </c>
    </row>
    <row r="881" spans="1:6" x14ac:dyDescent="0.25">
      <c r="A881">
        <v>20210415</v>
      </c>
      <c r="B881" t="str">
        <f t="shared" si="20"/>
        <v>137072</v>
      </c>
      <c r="C881" t="s">
        <v>461</v>
      </c>
      <c r="D881" s="3">
        <v>137.13999999999999</v>
      </c>
      <c r="E881" t="s">
        <v>392</v>
      </c>
      <c r="F881" t="s">
        <v>218</v>
      </c>
    </row>
    <row r="882" spans="1:6" x14ac:dyDescent="0.25">
      <c r="A882">
        <v>20210415</v>
      </c>
      <c r="B882" t="str">
        <f>"137073"</f>
        <v>137073</v>
      </c>
      <c r="C882" t="s">
        <v>467</v>
      </c>
      <c r="D882" s="3">
        <v>620.71</v>
      </c>
      <c r="E882" t="s">
        <v>36</v>
      </c>
      <c r="F882" t="s">
        <v>134</v>
      </c>
    </row>
    <row r="883" spans="1:6" x14ac:dyDescent="0.25">
      <c r="A883">
        <v>20210415</v>
      </c>
      <c r="B883" t="str">
        <f>"137074"</f>
        <v>137074</v>
      </c>
      <c r="C883" t="s">
        <v>468</v>
      </c>
      <c r="D883" s="3">
        <v>2000</v>
      </c>
      <c r="E883" t="s">
        <v>149</v>
      </c>
      <c r="F883" t="s">
        <v>134</v>
      </c>
    </row>
    <row r="884" spans="1:6" x14ac:dyDescent="0.25">
      <c r="A884">
        <v>20210415</v>
      </c>
      <c r="B884" t="str">
        <f>"137075"</f>
        <v>137075</v>
      </c>
      <c r="C884" t="s">
        <v>469</v>
      </c>
      <c r="D884" s="3">
        <v>500</v>
      </c>
      <c r="E884" t="s">
        <v>429</v>
      </c>
      <c r="F884" t="s">
        <v>134</v>
      </c>
    </row>
    <row r="885" spans="1:6" x14ac:dyDescent="0.25">
      <c r="A885">
        <v>20210415</v>
      </c>
      <c r="B885" t="str">
        <f>"137075"</f>
        <v>137075</v>
      </c>
      <c r="C885" t="s">
        <v>469</v>
      </c>
      <c r="D885" s="3">
        <v>1444</v>
      </c>
      <c r="E885" t="s">
        <v>429</v>
      </c>
      <c r="F885" t="s">
        <v>134</v>
      </c>
    </row>
    <row r="886" spans="1:6" x14ac:dyDescent="0.25">
      <c r="A886">
        <v>20210415</v>
      </c>
      <c r="B886" t="str">
        <f>"137076"</f>
        <v>137076</v>
      </c>
      <c r="C886" t="s">
        <v>470</v>
      </c>
      <c r="D886" s="3">
        <v>49.26</v>
      </c>
      <c r="E886" t="s">
        <v>471</v>
      </c>
      <c r="F886" t="s">
        <v>134</v>
      </c>
    </row>
    <row r="887" spans="1:6" x14ac:dyDescent="0.25">
      <c r="A887">
        <v>20210415</v>
      </c>
      <c r="B887" t="str">
        <f>"137077"</f>
        <v>137077</v>
      </c>
      <c r="C887" t="s">
        <v>472</v>
      </c>
      <c r="D887" s="3">
        <v>129.94</v>
      </c>
      <c r="E887" t="s">
        <v>36</v>
      </c>
      <c r="F887" t="s">
        <v>134</v>
      </c>
    </row>
    <row r="888" spans="1:6" x14ac:dyDescent="0.25">
      <c r="A888">
        <v>20210415</v>
      </c>
      <c r="B888" t="str">
        <f>"137078"</f>
        <v>137078</v>
      </c>
      <c r="C888" t="s">
        <v>473</v>
      </c>
      <c r="D888" s="3">
        <v>235.61</v>
      </c>
      <c r="E888" t="s">
        <v>474</v>
      </c>
      <c r="F888" t="s">
        <v>134</v>
      </c>
    </row>
    <row r="889" spans="1:6" x14ac:dyDescent="0.25">
      <c r="A889">
        <v>20210415</v>
      </c>
      <c r="B889" t="str">
        <f>"137079"</f>
        <v>137079</v>
      </c>
      <c r="C889" t="s">
        <v>260</v>
      </c>
      <c r="D889" s="3">
        <v>256.86</v>
      </c>
      <c r="E889" t="s">
        <v>36</v>
      </c>
      <c r="F889" t="s">
        <v>134</v>
      </c>
    </row>
    <row r="890" spans="1:6" x14ac:dyDescent="0.25">
      <c r="A890">
        <v>20210415</v>
      </c>
      <c r="B890" t="str">
        <f>"137079"</f>
        <v>137079</v>
      </c>
      <c r="C890" t="s">
        <v>260</v>
      </c>
      <c r="D890" s="3">
        <v>95.86</v>
      </c>
      <c r="E890" t="s">
        <v>36</v>
      </c>
      <c r="F890" t="s">
        <v>134</v>
      </c>
    </row>
    <row r="891" spans="1:6" x14ac:dyDescent="0.25">
      <c r="A891">
        <v>20210415</v>
      </c>
      <c r="B891" t="str">
        <f>"137079"</f>
        <v>137079</v>
      </c>
      <c r="C891" t="s">
        <v>260</v>
      </c>
      <c r="D891" s="3">
        <v>49.93</v>
      </c>
      <c r="E891" t="s">
        <v>36</v>
      </c>
      <c r="F891" t="s">
        <v>134</v>
      </c>
    </row>
    <row r="892" spans="1:6" x14ac:dyDescent="0.25">
      <c r="A892">
        <v>20210415</v>
      </c>
      <c r="B892" t="str">
        <f>"137079"</f>
        <v>137079</v>
      </c>
      <c r="C892" t="s">
        <v>260</v>
      </c>
      <c r="D892" s="3">
        <v>98.99</v>
      </c>
      <c r="E892" t="s">
        <v>36</v>
      </c>
      <c r="F892" t="s">
        <v>134</v>
      </c>
    </row>
    <row r="893" spans="1:6" x14ac:dyDescent="0.25">
      <c r="A893">
        <v>20210415</v>
      </c>
      <c r="B893" t="str">
        <f>"137080"</f>
        <v>137080</v>
      </c>
      <c r="C893" t="s">
        <v>475</v>
      </c>
      <c r="D893" s="3">
        <v>400</v>
      </c>
      <c r="E893" t="s">
        <v>349</v>
      </c>
      <c r="F893" t="s">
        <v>143</v>
      </c>
    </row>
    <row r="894" spans="1:6" x14ac:dyDescent="0.25">
      <c r="A894">
        <v>20210415</v>
      </c>
      <c r="B894" t="str">
        <f>"137081"</f>
        <v>137081</v>
      </c>
      <c r="C894" t="s">
        <v>476</v>
      </c>
      <c r="D894" s="3">
        <v>2128</v>
      </c>
      <c r="E894" t="s">
        <v>477</v>
      </c>
      <c r="F894" t="s">
        <v>143</v>
      </c>
    </row>
    <row r="895" spans="1:6" x14ac:dyDescent="0.25">
      <c r="A895">
        <v>20210415</v>
      </c>
      <c r="B895" t="str">
        <f>"137081"</f>
        <v>137081</v>
      </c>
      <c r="C895" t="s">
        <v>476</v>
      </c>
      <c r="D895" s="3">
        <v>24</v>
      </c>
      <c r="E895" t="s">
        <v>478</v>
      </c>
      <c r="F895" t="s">
        <v>134</v>
      </c>
    </row>
    <row r="896" spans="1:6" x14ac:dyDescent="0.25">
      <c r="A896">
        <v>20210415</v>
      </c>
      <c r="B896" t="str">
        <f>"137081"</f>
        <v>137081</v>
      </c>
      <c r="C896" t="s">
        <v>476</v>
      </c>
      <c r="D896" s="3">
        <v>980</v>
      </c>
      <c r="E896" t="s">
        <v>479</v>
      </c>
      <c r="F896" t="s">
        <v>134</v>
      </c>
    </row>
    <row r="897" spans="1:6" x14ac:dyDescent="0.25">
      <c r="A897">
        <v>20210415</v>
      </c>
      <c r="B897" t="str">
        <f>"137082"</f>
        <v>137082</v>
      </c>
      <c r="C897" t="s">
        <v>480</v>
      </c>
      <c r="D897" s="3">
        <v>500</v>
      </c>
      <c r="E897" t="s">
        <v>481</v>
      </c>
      <c r="F897" t="s">
        <v>134</v>
      </c>
    </row>
    <row r="898" spans="1:6" x14ac:dyDescent="0.25">
      <c r="A898">
        <v>20210415</v>
      </c>
      <c r="B898" t="str">
        <f>"137083"</f>
        <v>137083</v>
      </c>
      <c r="C898" t="s">
        <v>482</v>
      </c>
      <c r="D898" s="3">
        <v>8840.0300000000007</v>
      </c>
      <c r="E898" t="s">
        <v>483</v>
      </c>
      <c r="F898" t="s">
        <v>218</v>
      </c>
    </row>
    <row r="899" spans="1:6" x14ac:dyDescent="0.25">
      <c r="A899">
        <v>20210415</v>
      </c>
      <c r="B899" t="str">
        <f>"137084"</f>
        <v>137084</v>
      </c>
      <c r="C899" t="s">
        <v>264</v>
      </c>
      <c r="D899" s="3">
        <v>13.4</v>
      </c>
      <c r="E899" t="s">
        <v>484</v>
      </c>
      <c r="F899" t="s">
        <v>134</v>
      </c>
    </row>
    <row r="900" spans="1:6" x14ac:dyDescent="0.25">
      <c r="A900">
        <v>20210415</v>
      </c>
      <c r="B900" t="str">
        <f>"137085"</f>
        <v>137085</v>
      </c>
      <c r="C900" t="s">
        <v>485</v>
      </c>
      <c r="D900" s="3">
        <v>119</v>
      </c>
      <c r="E900" t="s">
        <v>149</v>
      </c>
      <c r="F900" t="s">
        <v>134</v>
      </c>
    </row>
    <row r="901" spans="1:6" x14ac:dyDescent="0.25">
      <c r="A901">
        <v>20210415</v>
      </c>
      <c r="B901" t="str">
        <f>"137086"</f>
        <v>137086</v>
      </c>
      <c r="C901" t="s">
        <v>486</v>
      </c>
      <c r="D901" s="3">
        <v>183.74</v>
      </c>
      <c r="E901" t="s">
        <v>161</v>
      </c>
      <c r="F901" t="s">
        <v>134</v>
      </c>
    </row>
    <row r="902" spans="1:6" x14ac:dyDescent="0.25">
      <c r="A902">
        <v>20210415</v>
      </c>
      <c r="B902" t="str">
        <f>"137087"</f>
        <v>137087</v>
      </c>
      <c r="C902" t="s">
        <v>273</v>
      </c>
      <c r="D902" s="3">
        <v>77.3</v>
      </c>
      <c r="E902" t="s">
        <v>36</v>
      </c>
      <c r="F902" t="s">
        <v>134</v>
      </c>
    </row>
    <row r="903" spans="1:6" x14ac:dyDescent="0.25">
      <c r="A903">
        <v>20210415</v>
      </c>
      <c r="B903" t="str">
        <f>"137087"</f>
        <v>137087</v>
      </c>
      <c r="C903" t="s">
        <v>273</v>
      </c>
      <c r="D903" s="3">
        <v>282.58999999999997</v>
      </c>
      <c r="E903" t="s">
        <v>263</v>
      </c>
      <c r="F903" t="s">
        <v>134</v>
      </c>
    </row>
    <row r="904" spans="1:6" x14ac:dyDescent="0.25">
      <c r="A904">
        <v>20210415</v>
      </c>
      <c r="B904" t="str">
        <f>"137087"</f>
        <v>137087</v>
      </c>
      <c r="C904" t="s">
        <v>273</v>
      </c>
      <c r="D904" s="3">
        <v>289.60000000000002</v>
      </c>
      <c r="E904" t="s">
        <v>263</v>
      </c>
      <c r="F904" t="s">
        <v>134</v>
      </c>
    </row>
    <row r="905" spans="1:6" x14ac:dyDescent="0.25">
      <c r="A905">
        <v>20210415</v>
      </c>
      <c r="B905" t="str">
        <f>"137087"</f>
        <v>137087</v>
      </c>
      <c r="C905" t="s">
        <v>273</v>
      </c>
      <c r="D905" s="3">
        <v>85.71</v>
      </c>
      <c r="E905" t="s">
        <v>487</v>
      </c>
      <c r="F905" t="s">
        <v>134</v>
      </c>
    </row>
    <row r="906" spans="1:6" x14ac:dyDescent="0.25">
      <c r="A906">
        <v>20210415</v>
      </c>
      <c r="B906" t="str">
        <f>"137088"</f>
        <v>137088</v>
      </c>
      <c r="C906" t="s">
        <v>275</v>
      </c>
      <c r="D906" s="3">
        <v>163.28</v>
      </c>
      <c r="E906" t="s">
        <v>36</v>
      </c>
      <c r="F906" t="s">
        <v>134</v>
      </c>
    </row>
    <row r="907" spans="1:6" x14ac:dyDescent="0.25">
      <c r="A907">
        <v>20210415</v>
      </c>
      <c r="B907" t="str">
        <f>"137088"</f>
        <v>137088</v>
      </c>
      <c r="C907" t="s">
        <v>275</v>
      </c>
      <c r="D907" s="3">
        <v>146.83000000000001</v>
      </c>
      <c r="E907" t="s">
        <v>36</v>
      </c>
      <c r="F907" t="s">
        <v>134</v>
      </c>
    </row>
    <row r="908" spans="1:6" x14ac:dyDescent="0.25">
      <c r="A908">
        <v>20210415</v>
      </c>
      <c r="B908" t="str">
        <f>"137089"</f>
        <v>137089</v>
      </c>
      <c r="C908" t="s">
        <v>276</v>
      </c>
      <c r="D908" s="3">
        <v>200.1</v>
      </c>
      <c r="E908" t="s">
        <v>488</v>
      </c>
      <c r="F908" t="s">
        <v>134</v>
      </c>
    </row>
    <row r="909" spans="1:6" x14ac:dyDescent="0.25">
      <c r="A909">
        <v>20210415</v>
      </c>
      <c r="B909" t="str">
        <f>"137089"</f>
        <v>137089</v>
      </c>
      <c r="C909" t="s">
        <v>276</v>
      </c>
      <c r="D909" s="3">
        <v>82.4</v>
      </c>
      <c r="E909" t="s">
        <v>36</v>
      </c>
      <c r="F909" t="s">
        <v>134</v>
      </c>
    </row>
    <row r="910" spans="1:6" x14ac:dyDescent="0.25">
      <c r="A910">
        <v>20210415</v>
      </c>
      <c r="B910" t="str">
        <f>"137090"</f>
        <v>137090</v>
      </c>
      <c r="C910" t="s">
        <v>278</v>
      </c>
      <c r="D910" s="3">
        <v>2276.27</v>
      </c>
      <c r="E910" t="s">
        <v>489</v>
      </c>
      <c r="F910" t="s">
        <v>134</v>
      </c>
    </row>
    <row r="911" spans="1:6" x14ac:dyDescent="0.25">
      <c r="A911">
        <v>20210415</v>
      </c>
      <c r="B911" t="str">
        <f>"137091"</f>
        <v>137091</v>
      </c>
      <c r="C911" t="s">
        <v>490</v>
      </c>
      <c r="D911" s="3">
        <v>659.95</v>
      </c>
      <c r="E911" t="s">
        <v>36</v>
      </c>
      <c r="F911" t="s">
        <v>134</v>
      </c>
    </row>
    <row r="912" spans="1:6" x14ac:dyDescent="0.25">
      <c r="A912">
        <v>20210415</v>
      </c>
      <c r="B912" t="str">
        <f>"137091"</f>
        <v>137091</v>
      </c>
      <c r="C912" t="s">
        <v>490</v>
      </c>
      <c r="D912" s="3">
        <v>1022.4</v>
      </c>
      <c r="E912" t="s">
        <v>211</v>
      </c>
      <c r="F912" t="s">
        <v>134</v>
      </c>
    </row>
    <row r="913" spans="1:6" x14ac:dyDescent="0.25">
      <c r="A913">
        <v>20210415</v>
      </c>
      <c r="B913" t="str">
        <f>"137091"</f>
        <v>137091</v>
      </c>
      <c r="C913" t="s">
        <v>490</v>
      </c>
      <c r="D913" s="3">
        <v>818.52</v>
      </c>
      <c r="E913" t="s">
        <v>36</v>
      </c>
      <c r="F913" t="s">
        <v>134</v>
      </c>
    </row>
    <row r="914" spans="1:6" x14ac:dyDescent="0.25">
      <c r="A914">
        <v>20210415</v>
      </c>
      <c r="B914" t="str">
        <f>"137091"</f>
        <v>137091</v>
      </c>
      <c r="C914" t="s">
        <v>490</v>
      </c>
      <c r="D914" s="3">
        <v>1272.5999999999999</v>
      </c>
      <c r="E914" t="s">
        <v>211</v>
      </c>
      <c r="F914" t="s">
        <v>134</v>
      </c>
    </row>
    <row r="915" spans="1:6" x14ac:dyDescent="0.25">
      <c r="A915">
        <v>20210415</v>
      </c>
      <c r="B915" t="str">
        <f>"137092"</f>
        <v>137092</v>
      </c>
      <c r="C915" t="s">
        <v>491</v>
      </c>
      <c r="D915" s="3">
        <v>67.78</v>
      </c>
      <c r="E915" t="s">
        <v>36</v>
      </c>
      <c r="F915" t="s">
        <v>134</v>
      </c>
    </row>
    <row r="916" spans="1:6" x14ac:dyDescent="0.25">
      <c r="A916">
        <v>20210415</v>
      </c>
      <c r="B916" t="str">
        <f>"137092"</f>
        <v>137092</v>
      </c>
      <c r="C916" t="s">
        <v>491</v>
      </c>
      <c r="D916" s="3">
        <v>453.82</v>
      </c>
      <c r="E916" t="s">
        <v>36</v>
      </c>
      <c r="F916" t="s">
        <v>134</v>
      </c>
    </row>
    <row r="917" spans="1:6" x14ac:dyDescent="0.25">
      <c r="A917">
        <v>20210415</v>
      </c>
      <c r="B917" t="str">
        <f>"137092"</f>
        <v>137092</v>
      </c>
      <c r="C917" t="s">
        <v>491</v>
      </c>
      <c r="D917" s="3">
        <v>464</v>
      </c>
      <c r="E917" t="s">
        <v>36</v>
      </c>
      <c r="F917" t="s">
        <v>134</v>
      </c>
    </row>
    <row r="918" spans="1:6" x14ac:dyDescent="0.25">
      <c r="A918">
        <v>20210415</v>
      </c>
      <c r="B918" t="str">
        <f>"137092"</f>
        <v>137092</v>
      </c>
      <c r="C918" t="s">
        <v>491</v>
      </c>
      <c r="D918" s="3">
        <v>502.7</v>
      </c>
      <c r="E918" t="s">
        <v>36</v>
      </c>
      <c r="F918" t="s">
        <v>134</v>
      </c>
    </row>
    <row r="919" spans="1:6" x14ac:dyDescent="0.25">
      <c r="A919">
        <v>20210415</v>
      </c>
      <c r="B919" t="str">
        <f t="shared" ref="B919:B931" si="21">"137093"</f>
        <v>137093</v>
      </c>
      <c r="C919" t="s">
        <v>492</v>
      </c>
      <c r="D919" s="3">
        <v>68.180000000000007</v>
      </c>
      <c r="E919" t="s">
        <v>233</v>
      </c>
      <c r="F919" t="s">
        <v>134</v>
      </c>
    </row>
    <row r="920" spans="1:6" x14ac:dyDescent="0.25">
      <c r="A920">
        <v>20210415</v>
      </c>
      <c r="B920" t="str">
        <f t="shared" si="21"/>
        <v>137093</v>
      </c>
      <c r="C920" t="s">
        <v>492</v>
      </c>
      <c r="D920" s="3">
        <v>34.090000000000003</v>
      </c>
      <c r="E920" t="s">
        <v>233</v>
      </c>
      <c r="F920" t="s">
        <v>134</v>
      </c>
    </row>
    <row r="921" spans="1:6" x14ac:dyDescent="0.25">
      <c r="A921">
        <v>20210415</v>
      </c>
      <c r="B921" t="str">
        <f t="shared" si="21"/>
        <v>137093</v>
      </c>
      <c r="C921" t="s">
        <v>492</v>
      </c>
      <c r="D921" s="3">
        <v>34.090000000000003</v>
      </c>
      <c r="E921" t="s">
        <v>233</v>
      </c>
      <c r="F921" t="s">
        <v>134</v>
      </c>
    </row>
    <row r="922" spans="1:6" x14ac:dyDescent="0.25">
      <c r="A922">
        <v>20210415</v>
      </c>
      <c r="B922" t="str">
        <f t="shared" si="21"/>
        <v>137093</v>
      </c>
      <c r="C922" t="s">
        <v>492</v>
      </c>
      <c r="D922" s="3">
        <v>68.180000000000007</v>
      </c>
      <c r="E922" t="s">
        <v>233</v>
      </c>
      <c r="F922" t="s">
        <v>134</v>
      </c>
    </row>
    <row r="923" spans="1:6" x14ac:dyDescent="0.25">
      <c r="A923">
        <v>20210415</v>
      </c>
      <c r="B923" t="str">
        <f t="shared" si="21"/>
        <v>137093</v>
      </c>
      <c r="C923" t="s">
        <v>492</v>
      </c>
      <c r="D923" s="3">
        <v>68.180000000000007</v>
      </c>
      <c r="E923" t="s">
        <v>233</v>
      </c>
      <c r="F923" t="s">
        <v>134</v>
      </c>
    </row>
    <row r="924" spans="1:6" x14ac:dyDescent="0.25">
      <c r="A924">
        <v>20210415</v>
      </c>
      <c r="B924" t="str">
        <f t="shared" si="21"/>
        <v>137093</v>
      </c>
      <c r="C924" t="s">
        <v>492</v>
      </c>
      <c r="D924" s="3">
        <v>68.180000000000007</v>
      </c>
      <c r="E924" t="s">
        <v>233</v>
      </c>
      <c r="F924" t="s">
        <v>134</v>
      </c>
    </row>
    <row r="925" spans="1:6" x14ac:dyDescent="0.25">
      <c r="A925">
        <v>20210415</v>
      </c>
      <c r="B925" t="str">
        <f t="shared" si="21"/>
        <v>137093</v>
      </c>
      <c r="C925" t="s">
        <v>492</v>
      </c>
      <c r="D925" s="3">
        <v>68.180000000000007</v>
      </c>
      <c r="E925" t="s">
        <v>233</v>
      </c>
      <c r="F925" t="s">
        <v>134</v>
      </c>
    </row>
    <row r="926" spans="1:6" x14ac:dyDescent="0.25">
      <c r="A926">
        <v>20210415</v>
      </c>
      <c r="B926" t="str">
        <f t="shared" si="21"/>
        <v>137093</v>
      </c>
      <c r="C926" t="s">
        <v>492</v>
      </c>
      <c r="D926" s="3">
        <v>68.180000000000007</v>
      </c>
      <c r="E926" t="s">
        <v>233</v>
      </c>
      <c r="F926" t="s">
        <v>134</v>
      </c>
    </row>
    <row r="927" spans="1:6" x14ac:dyDescent="0.25">
      <c r="A927">
        <v>20210415</v>
      </c>
      <c r="B927" t="str">
        <f t="shared" si="21"/>
        <v>137093</v>
      </c>
      <c r="C927" t="s">
        <v>492</v>
      </c>
      <c r="D927" s="3">
        <v>68.180000000000007</v>
      </c>
      <c r="E927" t="s">
        <v>233</v>
      </c>
      <c r="F927" t="s">
        <v>134</v>
      </c>
    </row>
    <row r="928" spans="1:6" x14ac:dyDescent="0.25">
      <c r="A928">
        <v>20210415</v>
      </c>
      <c r="B928" t="str">
        <f t="shared" si="21"/>
        <v>137093</v>
      </c>
      <c r="C928" t="s">
        <v>492</v>
      </c>
      <c r="D928" s="3">
        <v>68.180000000000007</v>
      </c>
      <c r="E928" t="s">
        <v>233</v>
      </c>
      <c r="F928" t="s">
        <v>134</v>
      </c>
    </row>
    <row r="929" spans="1:6" x14ac:dyDescent="0.25">
      <c r="A929">
        <v>20210415</v>
      </c>
      <c r="B929" t="str">
        <f t="shared" si="21"/>
        <v>137093</v>
      </c>
      <c r="C929" t="s">
        <v>492</v>
      </c>
      <c r="D929" s="3">
        <v>68.180000000000007</v>
      </c>
      <c r="E929" t="s">
        <v>233</v>
      </c>
      <c r="F929" t="s">
        <v>134</v>
      </c>
    </row>
    <row r="930" spans="1:6" x14ac:dyDescent="0.25">
      <c r="A930">
        <v>20210415</v>
      </c>
      <c r="B930" t="str">
        <f t="shared" si="21"/>
        <v>137093</v>
      </c>
      <c r="C930" t="s">
        <v>492</v>
      </c>
      <c r="D930" s="3">
        <v>34.1</v>
      </c>
      <c r="E930" t="s">
        <v>233</v>
      </c>
      <c r="F930" t="s">
        <v>134</v>
      </c>
    </row>
    <row r="931" spans="1:6" x14ac:dyDescent="0.25">
      <c r="A931">
        <v>20210415</v>
      </c>
      <c r="B931" t="str">
        <f t="shared" si="21"/>
        <v>137093</v>
      </c>
      <c r="C931" t="s">
        <v>492</v>
      </c>
      <c r="D931" s="3">
        <v>34.1</v>
      </c>
      <c r="E931" t="s">
        <v>233</v>
      </c>
      <c r="F931" t="s">
        <v>134</v>
      </c>
    </row>
    <row r="932" spans="1:6" x14ac:dyDescent="0.25">
      <c r="A932">
        <v>20210415</v>
      </c>
      <c r="B932" t="str">
        <f t="shared" ref="B932:B956" si="22">"137094"</f>
        <v>137094</v>
      </c>
      <c r="C932" t="s">
        <v>281</v>
      </c>
      <c r="D932" s="3">
        <v>167.4</v>
      </c>
      <c r="E932" t="s">
        <v>36</v>
      </c>
      <c r="F932" t="s">
        <v>134</v>
      </c>
    </row>
    <row r="933" spans="1:6" x14ac:dyDescent="0.25">
      <c r="A933">
        <v>20210415</v>
      </c>
      <c r="B933" t="str">
        <f t="shared" si="22"/>
        <v>137094</v>
      </c>
      <c r="C933" t="s">
        <v>281</v>
      </c>
      <c r="D933" s="3">
        <v>15.18</v>
      </c>
      <c r="E933" t="s">
        <v>36</v>
      </c>
      <c r="F933" t="s">
        <v>134</v>
      </c>
    </row>
    <row r="934" spans="1:6" x14ac:dyDescent="0.25">
      <c r="A934">
        <v>20210415</v>
      </c>
      <c r="B934" t="str">
        <f t="shared" si="22"/>
        <v>137094</v>
      </c>
      <c r="C934" t="s">
        <v>281</v>
      </c>
      <c r="D934" s="3">
        <v>22.8</v>
      </c>
      <c r="E934" t="s">
        <v>36</v>
      </c>
      <c r="F934" t="s">
        <v>134</v>
      </c>
    </row>
    <row r="935" spans="1:6" x14ac:dyDescent="0.25">
      <c r="A935">
        <v>20210415</v>
      </c>
      <c r="B935" t="str">
        <f t="shared" si="22"/>
        <v>137094</v>
      </c>
      <c r="C935" t="s">
        <v>281</v>
      </c>
      <c r="D935" s="3">
        <v>347.3</v>
      </c>
      <c r="E935" t="s">
        <v>36</v>
      </c>
      <c r="F935" t="s">
        <v>134</v>
      </c>
    </row>
    <row r="936" spans="1:6" x14ac:dyDescent="0.25">
      <c r="A936">
        <v>20210415</v>
      </c>
      <c r="B936" t="str">
        <f t="shared" si="22"/>
        <v>137094</v>
      </c>
      <c r="C936" t="s">
        <v>281</v>
      </c>
      <c r="D936" s="3">
        <v>72.36</v>
      </c>
      <c r="E936" t="s">
        <v>36</v>
      </c>
      <c r="F936" t="s">
        <v>134</v>
      </c>
    </row>
    <row r="937" spans="1:6" x14ac:dyDescent="0.25">
      <c r="A937">
        <v>20210415</v>
      </c>
      <c r="B937" t="str">
        <f t="shared" si="22"/>
        <v>137094</v>
      </c>
      <c r="C937" t="s">
        <v>281</v>
      </c>
      <c r="D937" s="3">
        <v>138.13</v>
      </c>
      <c r="E937" t="s">
        <v>36</v>
      </c>
      <c r="F937" t="s">
        <v>134</v>
      </c>
    </row>
    <row r="938" spans="1:6" x14ac:dyDescent="0.25">
      <c r="A938">
        <v>20210415</v>
      </c>
      <c r="B938" t="str">
        <f t="shared" si="22"/>
        <v>137094</v>
      </c>
      <c r="C938" t="s">
        <v>281</v>
      </c>
      <c r="D938" s="3">
        <v>33.119999999999997</v>
      </c>
      <c r="E938" t="s">
        <v>36</v>
      </c>
      <c r="F938" t="s">
        <v>134</v>
      </c>
    </row>
    <row r="939" spans="1:6" x14ac:dyDescent="0.25">
      <c r="A939">
        <v>20210415</v>
      </c>
      <c r="B939" t="str">
        <f t="shared" si="22"/>
        <v>137094</v>
      </c>
      <c r="C939" t="s">
        <v>281</v>
      </c>
      <c r="D939" s="3">
        <v>21.57</v>
      </c>
      <c r="E939" t="s">
        <v>36</v>
      </c>
      <c r="F939" t="s">
        <v>134</v>
      </c>
    </row>
    <row r="940" spans="1:6" x14ac:dyDescent="0.25">
      <c r="A940">
        <v>20210415</v>
      </c>
      <c r="B940" t="str">
        <f t="shared" si="22"/>
        <v>137094</v>
      </c>
      <c r="C940" t="s">
        <v>281</v>
      </c>
      <c r="D940" s="3">
        <v>16.260000000000002</v>
      </c>
      <c r="E940" t="s">
        <v>36</v>
      </c>
      <c r="F940" t="s">
        <v>134</v>
      </c>
    </row>
    <row r="941" spans="1:6" x14ac:dyDescent="0.25">
      <c r="A941">
        <v>20210415</v>
      </c>
      <c r="B941" t="str">
        <f t="shared" si="22"/>
        <v>137094</v>
      </c>
      <c r="C941" t="s">
        <v>281</v>
      </c>
      <c r="D941" s="3">
        <v>340.04</v>
      </c>
      <c r="E941" t="s">
        <v>36</v>
      </c>
      <c r="F941" t="s">
        <v>134</v>
      </c>
    </row>
    <row r="942" spans="1:6" x14ac:dyDescent="0.25">
      <c r="A942">
        <v>20210415</v>
      </c>
      <c r="B942" t="str">
        <f t="shared" si="22"/>
        <v>137094</v>
      </c>
      <c r="C942" t="s">
        <v>281</v>
      </c>
      <c r="D942" s="3">
        <v>25.52</v>
      </c>
      <c r="E942" t="s">
        <v>36</v>
      </c>
      <c r="F942" t="s">
        <v>134</v>
      </c>
    </row>
    <row r="943" spans="1:6" x14ac:dyDescent="0.25">
      <c r="A943">
        <v>20210415</v>
      </c>
      <c r="B943" t="str">
        <f t="shared" si="22"/>
        <v>137094</v>
      </c>
      <c r="C943" t="s">
        <v>281</v>
      </c>
      <c r="D943" s="3">
        <v>24.42</v>
      </c>
      <c r="E943" t="s">
        <v>36</v>
      </c>
      <c r="F943" t="s">
        <v>134</v>
      </c>
    </row>
    <row r="944" spans="1:6" x14ac:dyDescent="0.25">
      <c r="A944">
        <v>20210415</v>
      </c>
      <c r="B944" t="str">
        <f t="shared" si="22"/>
        <v>137094</v>
      </c>
      <c r="C944" t="s">
        <v>281</v>
      </c>
      <c r="D944" s="3">
        <v>18.579999999999998</v>
      </c>
      <c r="E944" t="s">
        <v>36</v>
      </c>
      <c r="F944" t="s">
        <v>134</v>
      </c>
    </row>
    <row r="945" spans="1:6" x14ac:dyDescent="0.25">
      <c r="A945">
        <v>20210415</v>
      </c>
      <c r="B945" t="str">
        <f t="shared" si="22"/>
        <v>137094</v>
      </c>
      <c r="C945" t="s">
        <v>281</v>
      </c>
      <c r="D945" s="3">
        <v>52.34</v>
      </c>
      <c r="E945" t="s">
        <v>36</v>
      </c>
      <c r="F945" t="s">
        <v>134</v>
      </c>
    </row>
    <row r="946" spans="1:6" x14ac:dyDescent="0.25">
      <c r="A946">
        <v>20210415</v>
      </c>
      <c r="B946" t="str">
        <f t="shared" si="22"/>
        <v>137094</v>
      </c>
      <c r="C946" t="s">
        <v>281</v>
      </c>
      <c r="D946" s="3">
        <v>93.49</v>
      </c>
      <c r="E946" t="s">
        <v>36</v>
      </c>
      <c r="F946" t="s">
        <v>134</v>
      </c>
    </row>
    <row r="947" spans="1:6" x14ac:dyDescent="0.25">
      <c r="A947">
        <v>20210415</v>
      </c>
      <c r="B947" t="str">
        <f t="shared" si="22"/>
        <v>137094</v>
      </c>
      <c r="C947" t="s">
        <v>281</v>
      </c>
      <c r="D947" s="3">
        <v>122.58</v>
      </c>
      <c r="E947" t="s">
        <v>36</v>
      </c>
      <c r="F947" t="s">
        <v>134</v>
      </c>
    </row>
    <row r="948" spans="1:6" x14ac:dyDescent="0.25">
      <c r="A948">
        <v>20210415</v>
      </c>
      <c r="B948" t="str">
        <f t="shared" si="22"/>
        <v>137094</v>
      </c>
      <c r="C948" t="s">
        <v>281</v>
      </c>
      <c r="D948" s="3">
        <v>-8.14</v>
      </c>
      <c r="E948" t="s">
        <v>493</v>
      </c>
      <c r="F948" t="s">
        <v>134</v>
      </c>
    </row>
    <row r="949" spans="1:6" x14ac:dyDescent="0.25">
      <c r="A949">
        <v>20210415</v>
      </c>
      <c r="B949" t="str">
        <f t="shared" si="22"/>
        <v>137094</v>
      </c>
      <c r="C949" t="s">
        <v>281</v>
      </c>
      <c r="D949" s="3">
        <v>63.88</v>
      </c>
      <c r="E949" t="s">
        <v>36</v>
      </c>
      <c r="F949" t="s">
        <v>134</v>
      </c>
    </row>
    <row r="950" spans="1:6" x14ac:dyDescent="0.25">
      <c r="A950">
        <v>20210415</v>
      </c>
      <c r="B950" t="str">
        <f t="shared" si="22"/>
        <v>137094</v>
      </c>
      <c r="C950" t="s">
        <v>281</v>
      </c>
      <c r="D950" s="3">
        <v>182.57</v>
      </c>
      <c r="E950" t="s">
        <v>494</v>
      </c>
      <c r="F950" t="s">
        <v>134</v>
      </c>
    </row>
    <row r="951" spans="1:6" x14ac:dyDescent="0.25">
      <c r="A951">
        <v>20210415</v>
      </c>
      <c r="B951" t="str">
        <f t="shared" si="22"/>
        <v>137094</v>
      </c>
      <c r="C951" t="s">
        <v>281</v>
      </c>
      <c r="D951" s="3">
        <v>59.66</v>
      </c>
      <c r="E951" t="s">
        <v>36</v>
      </c>
      <c r="F951" t="s">
        <v>134</v>
      </c>
    </row>
    <row r="952" spans="1:6" x14ac:dyDescent="0.25">
      <c r="A952">
        <v>20210415</v>
      </c>
      <c r="B952" t="str">
        <f t="shared" si="22"/>
        <v>137094</v>
      </c>
      <c r="C952" t="s">
        <v>281</v>
      </c>
      <c r="D952" s="3">
        <v>27.62</v>
      </c>
      <c r="E952" t="s">
        <v>36</v>
      </c>
      <c r="F952" t="s">
        <v>134</v>
      </c>
    </row>
    <row r="953" spans="1:6" x14ac:dyDescent="0.25">
      <c r="A953">
        <v>20210415</v>
      </c>
      <c r="B953" t="str">
        <f t="shared" si="22"/>
        <v>137094</v>
      </c>
      <c r="C953" t="s">
        <v>281</v>
      </c>
      <c r="D953" s="3">
        <v>182.5</v>
      </c>
      <c r="E953" t="s">
        <v>36</v>
      </c>
      <c r="F953" t="s">
        <v>218</v>
      </c>
    </row>
    <row r="954" spans="1:6" x14ac:dyDescent="0.25">
      <c r="A954">
        <v>20210415</v>
      </c>
      <c r="B954" t="str">
        <f t="shared" si="22"/>
        <v>137094</v>
      </c>
      <c r="C954" t="s">
        <v>281</v>
      </c>
      <c r="D954" s="3">
        <v>146</v>
      </c>
      <c r="E954" t="s">
        <v>36</v>
      </c>
      <c r="F954" t="s">
        <v>218</v>
      </c>
    </row>
    <row r="955" spans="1:6" x14ac:dyDescent="0.25">
      <c r="A955">
        <v>20210415</v>
      </c>
      <c r="B955" t="str">
        <f t="shared" si="22"/>
        <v>137094</v>
      </c>
      <c r="C955" t="s">
        <v>281</v>
      </c>
      <c r="D955" s="3">
        <v>36.5</v>
      </c>
      <c r="E955" t="s">
        <v>36</v>
      </c>
      <c r="F955" t="s">
        <v>218</v>
      </c>
    </row>
    <row r="956" spans="1:6" x14ac:dyDescent="0.25">
      <c r="A956">
        <v>20210415</v>
      </c>
      <c r="B956" t="str">
        <f t="shared" si="22"/>
        <v>137094</v>
      </c>
      <c r="C956" t="s">
        <v>281</v>
      </c>
      <c r="D956" s="3">
        <v>182.5</v>
      </c>
      <c r="E956" t="s">
        <v>36</v>
      </c>
      <c r="F956" t="s">
        <v>218</v>
      </c>
    </row>
    <row r="957" spans="1:6" x14ac:dyDescent="0.25">
      <c r="A957">
        <v>20210415</v>
      </c>
      <c r="B957" t="str">
        <f t="shared" ref="B957:B992" si="23">"137095"</f>
        <v>137095</v>
      </c>
      <c r="C957" t="s">
        <v>495</v>
      </c>
      <c r="D957" s="3">
        <v>529.71</v>
      </c>
      <c r="E957" t="s">
        <v>374</v>
      </c>
      <c r="F957" t="s">
        <v>218</v>
      </c>
    </row>
    <row r="958" spans="1:6" x14ac:dyDescent="0.25">
      <c r="A958">
        <v>20210415</v>
      </c>
      <c r="B958" t="str">
        <f t="shared" si="23"/>
        <v>137095</v>
      </c>
      <c r="C958" t="s">
        <v>495</v>
      </c>
      <c r="D958" s="3">
        <v>278.52999999999997</v>
      </c>
      <c r="E958" t="s">
        <v>374</v>
      </c>
      <c r="F958" t="s">
        <v>218</v>
      </c>
    </row>
    <row r="959" spans="1:6" x14ac:dyDescent="0.25">
      <c r="A959">
        <v>20210415</v>
      </c>
      <c r="B959" t="str">
        <f t="shared" si="23"/>
        <v>137095</v>
      </c>
      <c r="C959" t="s">
        <v>495</v>
      </c>
      <c r="D959" s="3">
        <v>566.59</v>
      </c>
      <c r="E959" t="s">
        <v>374</v>
      </c>
      <c r="F959" t="s">
        <v>218</v>
      </c>
    </row>
    <row r="960" spans="1:6" x14ac:dyDescent="0.25">
      <c r="A960">
        <v>20210415</v>
      </c>
      <c r="B960" t="str">
        <f t="shared" si="23"/>
        <v>137095</v>
      </c>
      <c r="C960" t="s">
        <v>495</v>
      </c>
      <c r="D960" s="3">
        <v>483.13</v>
      </c>
      <c r="E960" t="s">
        <v>374</v>
      </c>
      <c r="F960" t="s">
        <v>218</v>
      </c>
    </row>
    <row r="961" spans="1:6" x14ac:dyDescent="0.25">
      <c r="A961">
        <v>20210415</v>
      </c>
      <c r="B961" t="str">
        <f t="shared" si="23"/>
        <v>137095</v>
      </c>
      <c r="C961" t="s">
        <v>495</v>
      </c>
      <c r="D961" s="3">
        <v>243.54</v>
      </c>
      <c r="E961" t="s">
        <v>374</v>
      </c>
      <c r="F961" t="s">
        <v>218</v>
      </c>
    </row>
    <row r="962" spans="1:6" x14ac:dyDescent="0.25">
      <c r="A962">
        <v>20210415</v>
      </c>
      <c r="B962" t="str">
        <f t="shared" si="23"/>
        <v>137095</v>
      </c>
      <c r="C962" t="s">
        <v>495</v>
      </c>
      <c r="D962" s="3">
        <v>146.53</v>
      </c>
      <c r="E962" t="s">
        <v>374</v>
      </c>
      <c r="F962" t="s">
        <v>218</v>
      </c>
    </row>
    <row r="963" spans="1:6" x14ac:dyDescent="0.25">
      <c r="A963">
        <v>20210415</v>
      </c>
      <c r="B963" t="str">
        <f t="shared" si="23"/>
        <v>137095</v>
      </c>
      <c r="C963" t="s">
        <v>495</v>
      </c>
      <c r="D963" s="3">
        <v>180.98</v>
      </c>
      <c r="E963" t="s">
        <v>374</v>
      </c>
      <c r="F963" t="s">
        <v>218</v>
      </c>
    </row>
    <row r="964" spans="1:6" x14ac:dyDescent="0.25">
      <c r="A964">
        <v>20210415</v>
      </c>
      <c r="B964" t="str">
        <f t="shared" si="23"/>
        <v>137095</v>
      </c>
      <c r="C964" t="s">
        <v>495</v>
      </c>
      <c r="D964" s="3">
        <v>216.99</v>
      </c>
      <c r="E964" t="s">
        <v>374</v>
      </c>
      <c r="F964" t="s">
        <v>218</v>
      </c>
    </row>
    <row r="965" spans="1:6" x14ac:dyDescent="0.25">
      <c r="A965">
        <v>20210415</v>
      </c>
      <c r="B965" t="str">
        <f t="shared" si="23"/>
        <v>137095</v>
      </c>
      <c r="C965" t="s">
        <v>495</v>
      </c>
      <c r="D965" s="3">
        <v>278.95</v>
      </c>
      <c r="E965" t="s">
        <v>374</v>
      </c>
      <c r="F965" t="s">
        <v>218</v>
      </c>
    </row>
    <row r="966" spans="1:6" x14ac:dyDescent="0.25">
      <c r="A966">
        <v>20210415</v>
      </c>
      <c r="B966" t="str">
        <f t="shared" si="23"/>
        <v>137095</v>
      </c>
      <c r="C966" t="s">
        <v>495</v>
      </c>
      <c r="D966" s="3">
        <v>270.18</v>
      </c>
      <c r="E966" t="s">
        <v>374</v>
      </c>
      <c r="F966" t="s">
        <v>218</v>
      </c>
    </row>
    <row r="967" spans="1:6" x14ac:dyDescent="0.25">
      <c r="A967">
        <v>20210415</v>
      </c>
      <c r="B967" t="str">
        <f t="shared" si="23"/>
        <v>137095</v>
      </c>
      <c r="C967" t="s">
        <v>495</v>
      </c>
      <c r="D967" s="3">
        <v>215.68</v>
      </c>
      <c r="E967" t="s">
        <v>374</v>
      </c>
      <c r="F967" t="s">
        <v>218</v>
      </c>
    </row>
    <row r="968" spans="1:6" x14ac:dyDescent="0.25">
      <c r="A968">
        <v>20210415</v>
      </c>
      <c r="B968" t="str">
        <f t="shared" si="23"/>
        <v>137095</v>
      </c>
      <c r="C968" t="s">
        <v>495</v>
      </c>
      <c r="D968" s="3">
        <v>232.29</v>
      </c>
      <c r="E968" t="s">
        <v>374</v>
      </c>
      <c r="F968" t="s">
        <v>218</v>
      </c>
    </row>
    <row r="969" spans="1:6" x14ac:dyDescent="0.25">
      <c r="A969">
        <v>20210415</v>
      </c>
      <c r="B969" t="str">
        <f t="shared" si="23"/>
        <v>137095</v>
      </c>
      <c r="C969" t="s">
        <v>495</v>
      </c>
      <c r="D969" s="3">
        <v>359.6</v>
      </c>
      <c r="E969" t="s">
        <v>374</v>
      </c>
      <c r="F969" t="s">
        <v>218</v>
      </c>
    </row>
    <row r="970" spans="1:6" x14ac:dyDescent="0.25">
      <c r="A970">
        <v>20210415</v>
      </c>
      <c r="B970" t="str">
        <f t="shared" si="23"/>
        <v>137095</v>
      </c>
      <c r="C970" t="s">
        <v>495</v>
      </c>
      <c r="D970" s="3">
        <v>399.15</v>
      </c>
      <c r="E970" t="s">
        <v>374</v>
      </c>
      <c r="F970" t="s">
        <v>218</v>
      </c>
    </row>
    <row r="971" spans="1:6" x14ac:dyDescent="0.25">
      <c r="A971">
        <v>20210415</v>
      </c>
      <c r="B971" t="str">
        <f t="shared" si="23"/>
        <v>137095</v>
      </c>
      <c r="C971" t="s">
        <v>495</v>
      </c>
      <c r="D971" s="3">
        <v>483.8</v>
      </c>
      <c r="E971" t="s">
        <v>374</v>
      </c>
      <c r="F971" t="s">
        <v>218</v>
      </c>
    </row>
    <row r="972" spans="1:6" x14ac:dyDescent="0.25">
      <c r="A972">
        <v>20210415</v>
      </c>
      <c r="B972" t="str">
        <f t="shared" si="23"/>
        <v>137095</v>
      </c>
      <c r="C972" t="s">
        <v>495</v>
      </c>
      <c r="D972" s="3">
        <v>387.64</v>
      </c>
      <c r="E972" t="s">
        <v>374</v>
      </c>
      <c r="F972" t="s">
        <v>218</v>
      </c>
    </row>
    <row r="973" spans="1:6" x14ac:dyDescent="0.25">
      <c r="A973">
        <v>20210415</v>
      </c>
      <c r="B973" t="str">
        <f t="shared" si="23"/>
        <v>137095</v>
      </c>
      <c r="C973" t="s">
        <v>495</v>
      </c>
      <c r="D973" s="3">
        <v>449.75</v>
      </c>
      <c r="E973" t="s">
        <v>374</v>
      </c>
      <c r="F973" t="s">
        <v>218</v>
      </c>
    </row>
    <row r="974" spans="1:6" x14ac:dyDescent="0.25">
      <c r="A974">
        <v>20210415</v>
      </c>
      <c r="B974" t="str">
        <f t="shared" si="23"/>
        <v>137095</v>
      </c>
      <c r="C974" t="s">
        <v>495</v>
      </c>
      <c r="D974" s="3">
        <v>592.6</v>
      </c>
      <c r="E974" t="s">
        <v>496</v>
      </c>
      <c r="F974" t="s">
        <v>218</v>
      </c>
    </row>
    <row r="975" spans="1:6" x14ac:dyDescent="0.25">
      <c r="A975">
        <v>20210415</v>
      </c>
      <c r="B975" t="str">
        <f t="shared" si="23"/>
        <v>137095</v>
      </c>
      <c r="C975" t="s">
        <v>495</v>
      </c>
      <c r="D975" s="3">
        <v>508.4</v>
      </c>
      <c r="E975" t="s">
        <v>374</v>
      </c>
      <c r="F975" t="s">
        <v>218</v>
      </c>
    </row>
    <row r="976" spans="1:6" x14ac:dyDescent="0.25">
      <c r="A976">
        <v>20210415</v>
      </c>
      <c r="B976" t="str">
        <f t="shared" si="23"/>
        <v>137095</v>
      </c>
      <c r="C976" t="s">
        <v>495</v>
      </c>
      <c r="D976" s="3">
        <v>619.95000000000005</v>
      </c>
      <c r="E976" t="s">
        <v>374</v>
      </c>
      <c r="F976" t="s">
        <v>218</v>
      </c>
    </row>
    <row r="977" spans="1:6" x14ac:dyDescent="0.25">
      <c r="A977">
        <v>20210415</v>
      </c>
      <c r="B977" t="str">
        <f t="shared" si="23"/>
        <v>137095</v>
      </c>
      <c r="C977" t="s">
        <v>495</v>
      </c>
      <c r="D977" s="3">
        <v>377.74</v>
      </c>
      <c r="E977" t="s">
        <v>374</v>
      </c>
      <c r="F977" t="s">
        <v>218</v>
      </c>
    </row>
    <row r="978" spans="1:6" x14ac:dyDescent="0.25">
      <c r="A978">
        <v>20210415</v>
      </c>
      <c r="B978" t="str">
        <f t="shared" si="23"/>
        <v>137095</v>
      </c>
      <c r="C978" t="s">
        <v>495</v>
      </c>
      <c r="D978" s="3">
        <v>261.54000000000002</v>
      </c>
      <c r="E978" t="s">
        <v>374</v>
      </c>
      <c r="F978" t="s">
        <v>218</v>
      </c>
    </row>
    <row r="979" spans="1:6" x14ac:dyDescent="0.25">
      <c r="A979">
        <v>20210415</v>
      </c>
      <c r="B979" t="str">
        <f t="shared" si="23"/>
        <v>137095</v>
      </c>
      <c r="C979" t="s">
        <v>495</v>
      </c>
      <c r="D979" s="3">
        <v>491.81</v>
      </c>
      <c r="E979" t="s">
        <v>374</v>
      </c>
      <c r="F979" t="s">
        <v>218</v>
      </c>
    </row>
    <row r="980" spans="1:6" x14ac:dyDescent="0.25">
      <c r="A980">
        <v>20210415</v>
      </c>
      <c r="B980" t="str">
        <f t="shared" si="23"/>
        <v>137095</v>
      </c>
      <c r="C980" t="s">
        <v>495</v>
      </c>
      <c r="D980" s="3">
        <v>454.23</v>
      </c>
      <c r="E980" t="s">
        <v>374</v>
      </c>
      <c r="F980" t="s">
        <v>218</v>
      </c>
    </row>
    <row r="981" spans="1:6" x14ac:dyDescent="0.25">
      <c r="A981">
        <v>20210415</v>
      </c>
      <c r="B981" t="str">
        <f t="shared" si="23"/>
        <v>137095</v>
      </c>
      <c r="C981" t="s">
        <v>495</v>
      </c>
      <c r="D981" s="3">
        <v>264.64999999999998</v>
      </c>
      <c r="E981" t="s">
        <v>374</v>
      </c>
      <c r="F981" t="s">
        <v>218</v>
      </c>
    </row>
    <row r="982" spans="1:6" x14ac:dyDescent="0.25">
      <c r="A982">
        <v>20210415</v>
      </c>
      <c r="B982" t="str">
        <f t="shared" si="23"/>
        <v>137095</v>
      </c>
      <c r="C982" t="s">
        <v>495</v>
      </c>
      <c r="D982" s="3">
        <v>232.95</v>
      </c>
      <c r="E982" t="s">
        <v>374</v>
      </c>
      <c r="F982" t="s">
        <v>218</v>
      </c>
    </row>
    <row r="983" spans="1:6" x14ac:dyDescent="0.25">
      <c r="A983">
        <v>20210415</v>
      </c>
      <c r="B983" t="str">
        <f t="shared" si="23"/>
        <v>137095</v>
      </c>
      <c r="C983" t="s">
        <v>495</v>
      </c>
      <c r="D983" s="3">
        <v>518.25</v>
      </c>
      <c r="E983" t="s">
        <v>374</v>
      </c>
      <c r="F983" t="s">
        <v>218</v>
      </c>
    </row>
    <row r="984" spans="1:6" x14ac:dyDescent="0.25">
      <c r="A984">
        <v>20210415</v>
      </c>
      <c r="B984" t="str">
        <f t="shared" si="23"/>
        <v>137095</v>
      </c>
      <c r="C984" t="s">
        <v>495</v>
      </c>
      <c r="D984" s="3">
        <v>370.21</v>
      </c>
      <c r="E984" t="s">
        <v>374</v>
      </c>
      <c r="F984" t="s">
        <v>218</v>
      </c>
    </row>
    <row r="985" spans="1:6" x14ac:dyDescent="0.25">
      <c r="A985">
        <v>20210415</v>
      </c>
      <c r="B985" t="str">
        <f t="shared" si="23"/>
        <v>137095</v>
      </c>
      <c r="C985" t="s">
        <v>495</v>
      </c>
      <c r="D985" s="3">
        <v>419.15</v>
      </c>
      <c r="E985" t="s">
        <v>374</v>
      </c>
      <c r="F985" t="s">
        <v>218</v>
      </c>
    </row>
    <row r="986" spans="1:6" x14ac:dyDescent="0.25">
      <c r="A986">
        <v>20210415</v>
      </c>
      <c r="B986" t="str">
        <f t="shared" si="23"/>
        <v>137095</v>
      </c>
      <c r="C986" t="s">
        <v>495</v>
      </c>
      <c r="D986" s="3">
        <v>302.8</v>
      </c>
      <c r="E986" t="s">
        <v>374</v>
      </c>
      <c r="F986" t="s">
        <v>218</v>
      </c>
    </row>
    <row r="987" spans="1:6" x14ac:dyDescent="0.25">
      <c r="A987">
        <v>20210415</v>
      </c>
      <c r="B987" t="str">
        <f t="shared" si="23"/>
        <v>137095</v>
      </c>
      <c r="C987" t="s">
        <v>495</v>
      </c>
      <c r="D987" s="3">
        <v>714.38</v>
      </c>
      <c r="E987" t="s">
        <v>374</v>
      </c>
      <c r="F987" t="s">
        <v>218</v>
      </c>
    </row>
    <row r="988" spans="1:6" x14ac:dyDescent="0.25">
      <c r="A988">
        <v>20210415</v>
      </c>
      <c r="B988" t="str">
        <f t="shared" si="23"/>
        <v>137095</v>
      </c>
      <c r="C988" t="s">
        <v>495</v>
      </c>
      <c r="D988" s="3">
        <v>571.67999999999995</v>
      </c>
      <c r="E988" t="s">
        <v>374</v>
      </c>
      <c r="F988" t="s">
        <v>218</v>
      </c>
    </row>
    <row r="989" spans="1:6" x14ac:dyDescent="0.25">
      <c r="A989">
        <v>20210415</v>
      </c>
      <c r="B989" t="str">
        <f t="shared" si="23"/>
        <v>137095</v>
      </c>
      <c r="C989" t="s">
        <v>495</v>
      </c>
      <c r="D989" s="3">
        <v>270.33</v>
      </c>
      <c r="E989" t="s">
        <v>374</v>
      </c>
      <c r="F989" t="s">
        <v>218</v>
      </c>
    </row>
    <row r="990" spans="1:6" x14ac:dyDescent="0.25">
      <c r="A990">
        <v>20210415</v>
      </c>
      <c r="B990" t="str">
        <f t="shared" si="23"/>
        <v>137095</v>
      </c>
      <c r="C990" t="s">
        <v>495</v>
      </c>
      <c r="D990" s="3">
        <v>107.23</v>
      </c>
      <c r="E990" t="s">
        <v>374</v>
      </c>
      <c r="F990" t="s">
        <v>218</v>
      </c>
    </row>
    <row r="991" spans="1:6" x14ac:dyDescent="0.25">
      <c r="A991">
        <v>20210415</v>
      </c>
      <c r="B991" t="str">
        <f t="shared" si="23"/>
        <v>137095</v>
      </c>
      <c r="C991" t="s">
        <v>495</v>
      </c>
      <c r="D991" s="3">
        <v>196.69</v>
      </c>
      <c r="E991" t="s">
        <v>497</v>
      </c>
      <c r="F991" t="s">
        <v>218</v>
      </c>
    </row>
    <row r="992" spans="1:6" x14ac:dyDescent="0.25">
      <c r="A992">
        <v>20210415</v>
      </c>
      <c r="B992" t="str">
        <f t="shared" si="23"/>
        <v>137095</v>
      </c>
      <c r="C992" t="s">
        <v>495</v>
      </c>
      <c r="D992" s="3">
        <v>250.37</v>
      </c>
      <c r="E992" t="s">
        <v>374</v>
      </c>
      <c r="F992" t="s">
        <v>218</v>
      </c>
    </row>
    <row r="993" spans="1:6" x14ac:dyDescent="0.25">
      <c r="A993">
        <v>20210415</v>
      </c>
      <c r="B993" t="str">
        <f>"137096"</f>
        <v>137096</v>
      </c>
      <c r="C993" t="s">
        <v>498</v>
      </c>
      <c r="D993" s="3">
        <v>2795.12</v>
      </c>
      <c r="E993" t="s">
        <v>202</v>
      </c>
      <c r="F993" t="s">
        <v>134</v>
      </c>
    </row>
    <row r="994" spans="1:6" x14ac:dyDescent="0.25">
      <c r="A994">
        <v>20210415</v>
      </c>
      <c r="B994" t="str">
        <f>"137097"</f>
        <v>137097</v>
      </c>
      <c r="C994" t="s">
        <v>499</v>
      </c>
      <c r="D994" s="3">
        <v>625</v>
      </c>
      <c r="E994" t="s">
        <v>36</v>
      </c>
      <c r="F994" t="s">
        <v>134</v>
      </c>
    </row>
    <row r="995" spans="1:6" x14ac:dyDescent="0.25">
      <c r="A995">
        <v>20210415</v>
      </c>
      <c r="B995" t="str">
        <f>"137098"</f>
        <v>137098</v>
      </c>
      <c r="C995" t="s">
        <v>499</v>
      </c>
      <c r="D995" s="3">
        <v>5278</v>
      </c>
      <c r="E995" t="s">
        <v>500</v>
      </c>
      <c r="F995" t="s">
        <v>134</v>
      </c>
    </row>
    <row r="996" spans="1:6" x14ac:dyDescent="0.25">
      <c r="A996">
        <v>20210415</v>
      </c>
      <c r="B996" t="str">
        <f>"137099"</f>
        <v>137099</v>
      </c>
      <c r="C996" t="s">
        <v>501</v>
      </c>
      <c r="D996" s="3">
        <v>565.6</v>
      </c>
      <c r="E996" t="s">
        <v>502</v>
      </c>
      <c r="F996" t="s">
        <v>134</v>
      </c>
    </row>
    <row r="997" spans="1:6" x14ac:dyDescent="0.25">
      <c r="A997">
        <v>20210415</v>
      </c>
      <c r="B997" t="str">
        <f>"137100"</f>
        <v>137100</v>
      </c>
      <c r="C997" t="s">
        <v>503</v>
      </c>
      <c r="D997" s="3">
        <v>475</v>
      </c>
      <c r="E997" t="s">
        <v>327</v>
      </c>
      <c r="F997" t="s">
        <v>134</v>
      </c>
    </row>
    <row r="998" spans="1:6" x14ac:dyDescent="0.25">
      <c r="A998">
        <v>20210415</v>
      </c>
      <c r="B998" t="str">
        <f>"137100"</f>
        <v>137100</v>
      </c>
      <c r="C998" t="s">
        <v>503</v>
      </c>
      <c r="D998" s="3">
        <v>475</v>
      </c>
      <c r="E998" t="s">
        <v>327</v>
      </c>
      <c r="F998" t="s">
        <v>134</v>
      </c>
    </row>
    <row r="999" spans="1:6" x14ac:dyDescent="0.25">
      <c r="A999">
        <v>20210415</v>
      </c>
      <c r="B999" t="str">
        <f>"137100"</f>
        <v>137100</v>
      </c>
      <c r="C999" t="s">
        <v>503</v>
      </c>
      <c r="D999" s="3">
        <v>475</v>
      </c>
      <c r="E999" t="s">
        <v>327</v>
      </c>
      <c r="F999" t="s">
        <v>134</v>
      </c>
    </row>
    <row r="1000" spans="1:6" x14ac:dyDescent="0.25">
      <c r="A1000">
        <v>20210415</v>
      </c>
      <c r="B1000" t="str">
        <f>"137101"</f>
        <v>137101</v>
      </c>
      <c r="C1000" t="s">
        <v>504</v>
      </c>
      <c r="D1000" s="3">
        <v>13307.36</v>
      </c>
      <c r="E1000" t="s">
        <v>505</v>
      </c>
      <c r="F1000" t="s">
        <v>134</v>
      </c>
    </row>
    <row r="1001" spans="1:6" x14ac:dyDescent="0.25">
      <c r="A1001">
        <v>20210415</v>
      </c>
      <c r="B1001" t="str">
        <f>"137102"</f>
        <v>137102</v>
      </c>
      <c r="C1001" t="s">
        <v>506</v>
      </c>
      <c r="D1001" s="3">
        <v>25725</v>
      </c>
      <c r="E1001" t="s">
        <v>507</v>
      </c>
      <c r="F1001" t="s">
        <v>134</v>
      </c>
    </row>
    <row r="1002" spans="1:6" x14ac:dyDescent="0.25">
      <c r="A1002">
        <v>20210415</v>
      </c>
      <c r="B1002" t="str">
        <f>"137103"</f>
        <v>137103</v>
      </c>
      <c r="C1002" t="s">
        <v>508</v>
      </c>
      <c r="D1002" s="3">
        <v>2066.25</v>
      </c>
      <c r="E1002" t="s">
        <v>509</v>
      </c>
      <c r="F1002" t="s">
        <v>303</v>
      </c>
    </row>
    <row r="1003" spans="1:6" x14ac:dyDescent="0.25">
      <c r="A1003">
        <v>20210415</v>
      </c>
      <c r="B1003" t="str">
        <f>"137104"</f>
        <v>137104</v>
      </c>
      <c r="C1003" t="s">
        <v>290</v>
      </c>
      <c r="D1003" s="3">
        <v>59.4</v>
      </c>
      <c r="E1003" t="s">
        <v>36</v>
      </c>
      <c r="F1003" t="s">
        <v>134</v>
      </c>
    </row>
    <row r="1004" spans="1:6" x14ac:dyDescent="0.25">
      <c r="A1004">
        <v>20210415</v>
      </c>
      <c r="B1004" t="str">
        <f>"137104"</f>
        <v>137104</v>
      </c>
      <c r="C1004" t="s">
        <v>290</v>
      </c>
      <c r="D1004" s="3">
        <v>444.74</v>
      </c>
      <c r="E1004" t="s">
        <v>36</v>
      </c>
      <c r="F1004" t="s">
        <v>134</v>
      </c>
    </row>
    <row r="1005" spans="1:6" x14ac:dyDescent="0.25">
      <c r="A1005">
        <v>20210415</v>
      </c>
      <c r="B1005" t="str">
        <f t="shared" ref="B1005:B1013" si="24">"137105"</f>
        <v>137105</v>
      </c>
      <c r="C1005" t="s">
        <v>510</v>
      </c>
      <c r="D1005" s="3">
        <v>131.85</v>
      </c>
      <c r="E1005" t="s">
        <v>36</v>
      </c>
      <c r="F1005" t="s">
        <v>134</v>
      </c>
    </row>
    <row r="1006" spans="1:6" x14ac:dyDescent="0.25">
      <c r="A1006">
        <v>20210415</v>
      </c>
      <c r="B1006" t="str">
        <f t="shared" si="24"/>
        <v>137105</v>
      </c>
      <c r="C1006" t="s">
        <v>510</v>
      </c>
      <c r="D1006" s="3">
        <v>3000</v>
      </c>
      <c r="E1006" t="s">
        <v>149</v>
      </c>
      <c r="F1006" t="s">
        <v>511</v>
      </c>
    </row>
    <row r="1007" spans="1:6" x14ac:dyDescent="0.25">
      <c r="A1007">
        <v>20210415</v>
      </c>
      <c r="B1007" t="str">
        <f t="shared" si="24"/>
        <v>137105</v>
      </c>
      <c r="C1007" t="s">
        <v>510</v>
      </c>
      <c r="D1007" s="3">
        <v>3000</v>
      </c>
      <c r="E1007" t="s">
        <v>149</v>
      </c>
      <c r="F1007" t="s">
        <v>511</v>
      </c>
    </row>
    <row r="1008" spans="1:6" x14ac:dyDescent="0.25">
      <c r="A1008">
        <v>20210415</v>
      </c>
      <c r="B1008" t="str">
        <f t="shared" si="24"/>
        <v>137105</v>
      </c>
      <c r="C1008" t="s">
        <v>510</v>
      </c>
      <c r="D1008" s="3">
        <v>3000</v>
      </c>
      <c r="E1008" t="s">
        <v>149</v>
      </c>
      <c r="F1008" t="s">
        <v>511</v>
      </c>
    </row>
    <row r="1009" spans="1:6" x14ac:dyDescent="0.25">
      <c r="A1009">
        <v>20210415</v>
      </c>
      <c r="B1009" t="str">
        <f t="shared" si="24"/>
        <v>137105</v>
      </c>
      <c r="C1009" t="s">
        <v>510</v>
      </c>
      <c r="D1009" s="3">
        <v>3000</v>
      </c>
      <c r="E1009" t="s">
        <v>149</v>
      </c>
      <c r="F1009" t="s">
        <v>511</v>
      </c>
    </row>
    <row r="1010" spans="1:6" x14ac:dyDescent="0.25">
      <c r="A1010">
        <v>20210415</v>
      </c>
      <c r="B1010" t="str">
        <f t="shared" si="24"/>
        <v>137105</v>
      </c>
      <c r="C1010" t="s">
        <v>510</v>
      </c>
      <c r="D1010" s="3">
        <v>3000</v>
      </c>
      <c r="E1010" t="s">
        <v>149</v>
      </c>
      <c r="F1010" t="s">
        <v>511</v>
      </c>
    </row>
    <row r="1011" spans="1:6" x14ac:dyDescent="0.25">
      <c r="A1011">
        <v>20210415</v>
      </c>
      <c r="B1011" t="str">
        <f t="shared" si="24"/>
        <v>137105</v>
      </c>
      <c r="C1011" t="s">
        <v>510</v>
      </c>
      <c r="D1011" s="3">
        <v>3000</v>
      </c>
      <c r="E1011" t="s">
        <v>149</v>
      </c>
      <c r="F1011" t="s">
        <v>511</v>
      </c>
    </row>
    <row r="1012" spans="1:6" x14ac:dyDescent="0.25">
      <c r="A1012">
        <v>20210415</v>
      </c>
      <c r="B1012" t="str">
        <f t="shared" si="24"/>
        <v>137105</v>
      </c>
      <c r="C1012" t="s">
        <v>510</v>
      </c>
      <c r="D1012" s="3">
        <v>3000</v>
      </c>
      <c r="E1012" t="s">
        <v>149</v>
      </c>
      <c r="F1012" t="s">
        <v>511</v>
      </c>
    </row>
    <row r="1013" spans="1:6" x14ac:dyDescent="0.25">
      <c r="A1013">
        <v>20210415</v>
      </c>
      <c r="B1013" t="str">
        <f t="shared" si="24"/>
        <v>137105</v>
      </c>
      <c r="C1013" t="s">
        <v>510</v>
      </c>
      <c r="D1013" s="3">
        <v>3000</v>
      </c>
      <c r="E1013" t="s">
        <v>149</v>
      </c>
      <c r="F1013" t="s">
        <v>511</v>
      </c>
    </row>
    <row r="1014" spans="1:6" x14ac:dyDescent="0.25">
      <c r="A1014">
        <v>20210415</v>
      </c>
      <c r="B1014" t="str">
        <f>"137106"</f>
        <v>137106</v>
      </c>
      <c r="C1014" t="s">
        <v>512</v>
      </c>
      <c r="D1014" s="3">
        <v>329.3</v>
      </c>
      <c r="E1014" t="s">
        <v>36</v>
      </c>
      <c r="F1014" t="s">
        <v>134</v>
      </c>
    </row>
    <row r="1015" spans="1:6" x14ac:dyDescent="0.25">
      <c r="A1015">
        <v>20210415</v>
      </c>
      <c r="B1015" t="str">
        <f>"137106"</f>
        <v>137106</v>
      </c>
      <c r="C1015" t="s">
        <v>512</v>
      </c>
      <c r="D1015" s="3">
        <v>143.08000000000001</v>
      </c>
      <c r="E1015" t="s">
        <v>36</v>
      </c>
      <c r="F1015" t="s">
        <v>134</v>
      </c>
    </row>
    <row r="1016" spans="1:6" x14ac:dyDescent="0.25">
      <c r="A1016">
        <v>20210415</v>
      </c>
      <c r="B1016" t="str">
        <f>"137107"</f>
        <v>137107</v>
      </c>
      <c r="C1016" t="s">
        <v>300</v>
      </c>
      <c r="D1016" s="3">
        <v>295.60000000000002</v>
      </c>
      <c r="E1016" t="s">
        <v>36</v>
      </c>
      <c r="F1016" t="s">
        <v>134</v>
      </c>
    </row>
    <row r="1017" spans="1:6" x14ac:dyDescent="0.25">
      <c r="A1017">
        <v>20210415</v>
      </c>
      <c r="B1017" t="str">
        <f>"137108"</f>
        <v>137108</v>
      </c>
      <c r="C1017" t="s">
        <v>513</v>
      </c>
      <c r="D1017" s="3">
        <v>270</v>
      </c>
      <c r="E1017" t="s">
        <v>36</v>
      </c>
      <c r="F1017" t="s">
        <v>134</v>
      </c>
    </row>
    <row r="1018" spans="1:6" x14ac:dyDescent="0.25">
      <c r="A1018">
        <v>20210415</v>
      </c>
      <c r="B1018" t="str">
        <f>"137109"</f>
        <v>137109</v>
      </c>
      <c r="C1018" t="s">
        <v>514</v>
      </c>
      <c r="D1018" s="3">
        <v>48</v>
      </c>
      <c r="E1018" t="s">
        <v>36</v>
      </c>
      <c r="F1018" t="s">
        <v>134</v>
      </c>
    </row>
    <row r="1019" spans="1:6" x14ac:dyDescent="0.25">
      <c r="A1019">
        <v>20210415</v>
      </c>
      <c r="B1019" t="str">
        <f>"137110"</f>
        <v>137110</v>
      </c>
      <c r="C1019" t="s">
        <v>515</v>
      </c>
      <c r="D1019" s="3">
        <v>5338.03</v>
      </c>
      <c r="E1019" t="s">
        <v>36</v>
      </c>
      <c r="F1019" t="s">
        <v>134</v>
      </c>
    </row>
    <row r="1020" spans="1:6" x14ac:dyDescent="0.25">
      <c r="A1020">
        <v>20210415</v>
      </c>
      <c r="B1020" t="str">
        <f>"137110"</f>
        <v>137110</v>
      </c>
      <c r="C1020" t="s">
        <v>515</v>
      </c>
      <c r="D1020" s="3">
        <v>-2700</v>
      </c>
      <c r="E1020" t="s">
        <v>516</v>
      </c>
      <c r="F1020" t="s">
        <v>134</v>
      </c>
    </row>
    <row r="1021" spans="1:6" x14ac:dyDescent="0.25">
      <c r="A1021">
        <v>20210415</v>
      </c>
      <c r="B1021" t="str">
        <f>"137111"</f>
        <v>137111</v>
      </c>
      <c r="C1021" t="s">
        <v>301</v>
      </c>
      <c r="D1021" s="3">
        <v>1455</v>
      </c>
      <c r="E1021" t="s">
        <v>302</v>
      </c>
      <c r="F1021" t="s">
        <v>303</v>
      </c>
    </row>
    <row r="1022" spans="1:6" x14ac:dyDescent="0.25">
      <c r="A1022">
        <v>20210415</v>
      </c>
      <c r="B1022" t="str">
        <f>"137111"</f>
        <v>137111</v>
      </c>
      <c r="C1022" t="s">
        <v>301</v>
      </c>
      <c r="D1022" s="3">
        <v>1844.5</v>
      </c>
      <c r="E1022" t="s">
        <v>305</v>
      </c>
      <c r="F1022" t="s">
        <v>303</v>
      </c>
    </row>
    <row r="1023" spans="1:6" x14ac:dyDescent="0.25">
      <c r="A1023">
        <v>20210415</v>
      </c>
      <c r="B1023" t="str">
        <f>"137111"</f>
        <v>137111</v>
      </c>
      <c r="C1023" t="s">
        <v>301</v>
      </c>
      <c r="D1023" s="3">
        <v>2600</v>
      </c>
      <c r="E1023" t="s">
        <v>305</v>
      </c>
      <c r="F1023" t="s">
        <v>303</v>
      </c>
    </row>
    <row r="1024" spans="1:6" x14ac:dyDescent="0.25">
      <c r="A1024">
        <v>20210415</v>
      </c>
      <c r="B1024" t="str">
        <f>"137112"</f>
        <v>137112</v>
      </c>
      <c r="C1024" t="s">
        <v>517</v>
      </c>
      <c r="D1024" s="3">
        <v>750</v>
      </c>
      <c r="E1024" t="s">
        <v>518</v>
      </c>
      <c r="F1024" t="s">
        <v>134</v>
      </c>
    </row>
    <row r="1025" spans="1:6" x14ac:dyDescent="0.25">
      <c r="A1025">
        <v>20210415</v>
      </c>
      <c r="B1025" t="str">
        <f>"137113"</f>
        <v>137113</v>
      </c>
      <c r="C1025" t="s">
        <v>519</v>
      </c>
      <c r="D1025" s="3">
        <v>331.25</v>
      </c>
      <c r="E1025" t="s">
        <v>520</v>
      </c>
      <c r="F1025" t="s">
        <v>134</v>
      </c>
    </row>
    <row r="1026" spans="1:6" x14ac:dyDescent="0.25">
      <c r="A1026">
        <v>20210415</v>
      </c>
      <c r="B1026" t="str">
        <f>"137114"</f>
        <v>137114</v>
      </c>
      <c r="C1026" t="s">
        <v>521</v>
      </c>
      <c r="D1026" s="3">
        <v>99.73</v>
      </c>
      <c r="E1026" t="s">
        <v>36</v>
      </c>
      <c r="F1026" t="s">
        <v>134</v>
      </c>
    </row>
    <row r="1027" spans="1:6" x14ac:dyDescent="0.25">
      <c r="A1027">
        <v>20210415</v>
      </c>
      <c r="B1027" t="str">
        <f>"137115"</f>
        <v>137115</v>
      </c>
      <c r="C1027" t="s">
        <v>315</v>
      </c>
      <c r="D1027" s="3">
        <v>843</v>
      </c>
      <c r="E1027" t="s">
        <v>317</v>
      </c>
      <c r="F1027" t="s">
        <v>134</v>
      </c>
    </row>
    <row r="1028" spans="1:6" x14ac:dyDescent="0.25">
      <c r="A1028">
        <v>20210415</v>
      </c>
      <c r="B1028" t="str">
        <f>"137116"</f>
        <v>137116</v>
      </c>
      <c r="C1028" t="s">
        <v>522</v>
      </c>
      <c r="D1028" s="3">
        <v>300</v>
      </c>
      <c r="E1028" t="s">
        <v>149</v>
      </c>
      <c r="F1028" t="s">
        <v>134</v>
      </c>
    </row>
    <row r="1029" spans="1:6" x14ac:dyDescent="0.25">
      <c r="A1029">
        <v>20210415</v>
      </c>
      <c r="B1029" t="str">
        <f>"137116"</f>
        <v>137116</v>
      </c>
      <c r="C1029" t="s">
        <v>522</v>
      </c>
      <c r="D1029" s="3">
        <v>300</v>
      </c>
      <c r="E1029" t="s">
        <v>149</v>
      </c>
      <c r="F1029" t="s">
        <v>134</v>
      </c>
    </row>
    <row r="1030" spans="1:6" x14ac:dyDescent="0.25">
      <c r="A1030">
        <v>20210415</v>
      </c>
      <c r="B1030" t="str">
        <f>"137116"</f>
        <v>137116</v>
      </c>
      <c r="C1030" t="s">
        <v>522</v>
      </c>
      <c r="D1030" s="3">
        <v>300</v>
      </c>
      <c r="E1030" t="s">
        <v>149</v>
      </c>
      <c r="F1030" t="s">
        <v>134</v>
      </c>
    </row>
    <row r="1031" spans="1:6" x14ac:dyDescent="0.25">
      <c r="A1031">
        <v>20210415</v>
      </c>
      <c r="B1031" t="str">
        <f>"137117"</f>
        <v>137117</v>
      </c>
      <c r="C1031" t="s">
        <v>322</v>
      </c>
      <c r="D1031" s="3">
        <v>99</v>
      </c>
      <c r="E1031" t="s">
        <v>149</v>
      </c>
      <c r="F1031" t="s">
        <v>134</v>
      </c>
    </row>
    <row r="1032" spans="1:6" x14ac:dyDescent="0.25">
      <c r="A1032">
        <v>20210415</v>
      </c>
      <c r="B1032" t="str">
        <f>"137118"</f>
        <v>137118</v>
      </c>
      <c r="C1032" t="s">
        <v>523</v>
      </c>
      <c r="D1032" s="3">
        <v>410.66</v>
      </c>
      <c r="E1032" t="s">
        <v>228</v>
      </c>
      <c r="F1032" t="s">
        <v>34</v>
      </c>
    </row>
    <row r="1033" spans="1:6" x14ac:dyDescent="0.25">
      <c r="A1033">
        <v>20210415</v>
      </c>
      <c r="B1033" t="str">
        <f>"137118"</f>
        <v>137118</v>
      </c>
      <c r="C1033" t="s">
        <v>523</v>
      </c>
      <c r="D1033" s="3">
        <v>238.66</v>
      </c>
      <c r="E1033" t="s">
        <v>228</v>
      </c>
      <c r="F1033" t="s">
        <v>34</v>
      </c>
    </row>
    <row r="1034" spans="1:6" x14ac:dyDescent="0.25">
      <c r="A1034">
        <v>20210415</v>
      </c>
      <c r="B1034" t="str">
        <f>"137118"</f>
        <v>137118</v>
      </c>
      <c r="C1034" t="s">
        <v>523</v>
      </c>
      <c r="D1034" s="3">
        <v>262.66000000000003</v>
      </c>
      <c r="E1034" t="s">
        <v>228</v>
      </c>
      <c r="F1034" t="s">
        <v>34</v>
      </c>
    </row>
    <row r="1035" spans="1:6" x14ac:dyDescent="0.25">
      <c r="A1035">
        <v>20210415</v>
      </c>
      <c r="B1035" t="str">
        <f>"137119"</f>
        <v>137119</v>
      </c>
      <c r="C1035" t="s">
        <v>524</v>
      </c>
      <c r="D1035" s="3">
        <v>220</v>
      </c>
      <c r="E1035" t="s">
        <v>419</v>
      </c>
      <c r="F1035" t="s">
        <v>134</v>
      </c>
    </row>
    <row r="1036" spans="1:6" x14ac:dyDescent="0.25">
      <c r="A1036">
        <v>20210415</v>
      </c>
      <c r="B1036" t="str">
        <f t="shared" ref="B1036:B1044" si="25">"137120"</f>
        <v>137120</v>
      </c>
      <c r="C1036" t="s">
        <v>525</v>
      </c>
      <c r="D1036" s="3">
        <v>20</v>
      </c>
      <c r="E1036" t="s">
        <v>526</v>
      </c>
      <c r="F1036" t="s">
        <v>134</v>
      </c>
    </row>
    <row r="1037" spans="1:6" x14ac:dyDescent="0.25">
      <c r="A1037">
        <v>20210415</v>
      </c>
      <c r="B1037" t="str">
        <f t="shared" si="25"/>
        <v>137120</v>
      </c>
      <c r="C1037" t="s">
        <v>525</v>
      </c>
      <c r="D1037" s="3">
        <v>20</v>
      </c>
      <c r="E1037" t="s">
        <v>526</v>
      </c>
      <c r="F1037" t="s">
        <v>134</v>
      </c>
    </row>
    <row r="1038" spans="1:6" x14ac:dyDescent="0.25">
      <c r="A1038">
        <v>20210415</v>
      </c>
      <c r="B1038" t="str">
        <f t="shared" si="25"/>
        <v>137120</v>
      </c>
      <c r="C1038" t="s">
        <v>525</v>
      </c>
      <c r="D1038" s="3">
        <v>20</v>
      </c>
      <c r="E1038" t="s">
        <v>526</v>
      </c>
      <c r="F1038" t="s">
        <v>134</v>
      </c>
    </row>
    <row r="1039" spans="1:6" x14ac:dyDescent="0.25">
      <c r="A1039">
        <v>20210415</v>
      </c>
      <c r="B1039" t="str">
        <f t="shared" si="25"/>
        <v>137120</v>
      </c>
      <c r="C1039" t="s">
        <v>525</v>
      </c>
      <c r="D1039" s="3">
        <v>20</v>
      </c>
      <c r="E1039" t="s">
        <v>526</v>
      </c>
      <c r="F1039" t="s">
        <v>134</v>
      </c>
    </row>
    <row r="1040" spans="1:6" x14ac:dyDescent="0.25">
      <c r="A1040">
        <v>20210415</v>
      </c>
      <c r="B1040" t="str">
        <f t="shared" si="25"/>
        <v>137120</v>
      </c>
      <c r="C1040" t="s">
        <v>525</v>
      </c>
      <c r="D1040" s="3">
        <v>20</v>
      </c>
      <c r="E1040" t="s">
        <v>526</v>
      </c>
      <c r="F1040" t="s">
        <v>134</v>
      </c>
    </row>
    <row r="1041" spans="1:6" x14ac:dyDescent="0.25">
      <c r="A1041">
        <v>20210415</v>
      </c>
      <c r="B1041" t="str">
        <f t="shared" si="25"/>
        <v>137120</v>
      </c>
      <c r="C1041" t="s">
        <v>525</v>
      </c>
      <c r="D1041" s="3">
        <v>20</v>
      </c>
      <c r="E1041" t="s">
        <v>526</v>
      </c>
      <c r="F1041" t="s">
        <v>134</v>
      </c>
    </row>
    <row r="1042" spans="1:6" x14ac:dyDescent="0.25">
      <c r="A1042">
        <v>20210415</v>
      </c>
      <c r="B1042" t="str">
        <f t="shared" si="25"/>
        <v>137120</v>
      </c>
      <c r="C1042" t="s">
        <v>525</v>
      </c>
      <c r="D1042" s="3">
        <v>20</v>
      </c>
      <c r="E1042" t="s">
        <v>526</v>
      </c>
      <c r="F1042" t="s">
        <v>134</v>
      </c>
    </row>
    <row r="1043" spans="1:6" x14ac:dyDescent="0.25">
      <c r="A1043">
        <v>20210415</v>
      </c>
      <c r="B1043" t="str">
        <f t="shared" si="25"/>
        <v>137120</v>
      </c>
      <c r="C1043" t="s">
        <v>525</v>
      </c>
      <c r="D1043" s="3">
        <v>20</v>
      </c>
      <c r="E1043" t="s">
        <v>526</v>
      </c>
      <c r="F1043" t="s">
        <v>134</v>
      </c>
    </row>
    <row r="1044" spans="1:6" x14ac:dyDescent="0.25">
      <c r="A1044">
        <v>20210415</v>
      </c>
      <c r="B1044" t="str">
        <f t="shared" si="25"/>
        <v>137120</v>
      </c>
      <c r="C1044" t="s">
        <v>525</v>
      </c>
      <c r="D1044" s="3">
        <v>20</v>
      </c>
      <c r="E1044" t="s">
        <v>526</v>
      </c>
      <c r="F1044" t="s">
        <v>134</v>
      </c>
    </row>
    <row r="1045" spans="1:6" x14ac:dyDescent="0.25">
      <c r="A1045">
        <v>20210415</v>
      </c>
      <c r="B1045" t="str">
        <f>"137121"</f>
        <v>137121</v>
      </c>
      <c r="C1045" t="s">
        <v>527</v>
      </c>
      <c r="D1045" s="3">
        <v>1650</v>
      </c>
      <c r="E1045" t="s">
        <v>528</v>
      </c>
      <c r="F1045" t="s">
        <v>134</v>
      </c>
    </row>
    <row r="1046" spans="1:6" x14ac:dyDescent="0.25">
      <c r="A1046">
        <v>20210415</v>
      </c>
      <c r="B1046" t="str">
        <f>"137122"</f>
        <v>137122</v>
      </c>
      <c r="C1046" t="s">
        <v>329</v>
      </c>
      <c r="D1046" s="3">
        <v>63.22</v>
      </c>
      <c r="E1046" t="s">
        <v>330</v>
      </c>
      <c r="F1046" t="s">
        <v>134</v>
      </c>
    </row>
    <row r="1047" spans="1:6" x14ac:dyDescent="0.25">
      <c r="A1047">
        <v>20210415</v>
      </c>
      <c r="B1047" t="str">
        <f>"137123"</f>
        <v>137123</v>
      </c>
      <c r="C1047" t="s">
        <v>529</v>
      </c>
      <c r="D1047" s="3">
        <v>324.32</v>
      </c>
      <c r="E1047" t="s">
        <v>530</v>
      </c>
      <c r="F1047" t="s">
        <v>143</v>
      </c>
    </row>
    <row r="1048" spans="1:6" x14ac:dyDescent="0.25">
      <c r="A1048">
        <v>20210415</v>
      </c>
      <c r="B1048" t="str">
        <f>"137124"</f>
        <v>137124</v>
      </c>
      <c r="C1048" t="s">
        <v>531</v>
      </c>
      <c r="D1048" s="3">
        <v>252</v>
      </c>
      <c r="E1048" t="s">
        <v>532</v>
      </c>
      <c r="F1048" t="s">
        <v>134</v>
      </c>
    </row>
    <row r="1049" spans="1:6" x14ac:dyDescent="0.25">
      <c r="A1049">
        <v>20210415</v>
      </c>
      <c r="B1049" t="str">
        <f>"137124"</f>
        <v>137124</v>
      </c>
      <c r="C1049" t="s">
        <v>531</v>
      </c>
      <c r="D1049" s="3">
        <v>147.5</v>
      </c>
      <c r="E1049" t="s">
        <v>533</v>
      </c>
      <c r="F1049" t="s">
        <v>134</v>
      </c>
    </row>
    <row r="1050" spans="1:6" x14ac:dyDescent="0.25">
      <c r="A1050">
        <v>20210415</v>
      </c>
      <c r="B1050" t="str">
        <f>"137124"</f>
        <v>137124</v>
      </c>
      <c r="C1050" t="s">
        <v>531</v>
      </c>
      <c r="D1050" s="3">
        <v>220.5</v>
      </c>
      <c r="E1050" t="s">
        <v>534</v>
      </c>
      <c r="F1050" t="s">
        <v>134</v>
      </c>
    </row>
    <row r="1051" spans="1:6" x14ac:dyDescent="0.25">
      <c r="A1051">
        <v>20210415</v>
      </c>
      <c r="B1051" t="str">
        <f>"137124"</f>
        <v>137124</v>
      </c>
      <c r="C1051" t="s">
        <v>531</v>
      </c>
      <c r="D1051" s="3">
        <v>315</v>
      </c>
      <c r="E1051" t="s">
        <v>535</v>
      </c>
      <c r="F1051" t="s">
        <v>134</v>
      </c>
    </row>
    <row r="1052" spans="1:6" x14ac:dyDescent="0.25">
      <c r="A1052">
        <v>20210415</v>
      </c>
      <c r="B1052" t="str">
        <f>"137125"</f>
        <v>137125</v>
      </c>
      <c r="C1052" t="s">
        <v>536</v>
      </c>
      <c r="D1052" s="3">
        <v>200</v>
      </c>
      <c r="E1052" t="s">
        <v>537</v>
      </c>
      <c r="F1052" t="s">
        <v>134</v>
      </c>
    </row>
    <row r="1053" spans="1:6" x14ac:dyDescent="0.25">
      <c r="A1053">
        <v>20210415</v>
      </c>
      <c r="B1053" t="str">
        <f>"137126"</f>
        <v>137126</v>
      </c>
      <c r="C1053" t="s">
        <v>538</v>
      </c>
      <c r="D1053" s="3">
        <v>400</v>
      </c>
      <c r="E1053" t="s">
        <v>539</v>
      </c>
      <c r="F1053" t="s">
        <v>134</v>
      </c>
    </row>
    <row r="1054" spans="1:6" x14ac:dyDescent="0.25">
      <c r="A1054">
        <v>20210415</v>
      </c>
      <c r="B1054" t="str">
        <f>"137126"</f>
        <v>137126</v>
      </c>
      <c r="C1054" t="s">
        <v>538</v>
      </c>
      <c r="D1054" s="3">
        <v>400</v>
      </c>
      <c r="E1054" t="s">
        <v>539</v>
      </c>
      <c r="F1054" t="s">
        <v>134</v>
      </c>
    </row>
    <row r="1055" spans="1:6" x14ac:dyDescent="0.25">
      <c r="A1055">
        <v>20210415</v>
      </c>
      <c r="B1055" t="str">
        <f t="shared" ref="B1055:B1072" si="26">"137127"</f>
        <v>137127</v>
      </c>
      <c r="C1055" t="s">
        <v>345</v>
      </c>
      <c r="D1055" s="3">
        <v>317.22000000000003</v>
      </c>
      <c r="E1055" t="s">
        <v>362</v>
      </c>
      <c r="F1055" t="s">
        <v>143</v>
      </c>
    </row>
    <row r="1056" spans="1:6" x14ac:dyDescent="0.25">
      <c r="A1056">
        <v>20210415</v>
      </c>
      <c r="B1056" t="str">
        <f t="shared" si="26"/>
        <v>137127</v>
      </c>
      <c r="C1056" t="s">
        <v>345</v>
      </c>
      <c r="D1056" s="3">
        <v>3476.7</v>
      </c>
      <c r="E1056" t="s">
        <v>362</v>
      </c>
      <c r="F1056" t="s">
        <v>134</v>
      </c>
    </row>
    <row r="1057" spans="1:6" x14ac:dyDescent="0.25">
      <c r="A1057">
        <v>20210415</v>
      </c>
      <c r="B1057" t="str">
        <f t="shared" si="26"/>
        <v>137127</v>
      </c>
      <c r="C1057" t="s">
        <v>345</v>
      </c>
      <c r="D1057" s="3">
        <v>215.11</v>
      </c>
      <c r="E1057" t="s">
        <v>362</v>
      </c>
      <c r="F1057" t="s">
        <v>134</v>
      </c>
    </row>
    <row r="1058" spans="1:6" x14ac:dyDescent="0.25">
      <c r="A1058">
        <v>20210415</v>
      </c>
      <c r="B1058" t="str">
        <f t="shared" si="26"/>
        <v>137127</v>
      </c>
      <c r="C1058" t="s">
        <v>345</v>
      </c>
      <c r="D1058" s="3">
        <v>945.07</v>
      </c>
      <c r="E1058" t="s">
        <v>362</v>
      </c>
      <c r="F1058" t="s">
        <v>134</v>
      </c>
    </row>
    <row r="1059" spans="1:6" x14ac:dyDescent="0.25">
      <c r="A1059">
        <v>20210415</v>
      </c>
      <c r="B1059" t="str">
        <f t="shared" si="26"/>
        <v>137127</v>
      </c>
      <c r="C1059" t="s">
        <v>345</v>
      </c>
      <c r="D1059" s="3">
        <v>2443.91</v>
      </c>
      <c r="E1059" t="s">
        <v>362</v>
      </c>
      <c r="F1059" t="s">
        <v>134</v>
      </c>
    </row>
    <row r="1060" spans="1:6" x14ac:dyDescent="0.25">
      <c r="A1060">
        <v>20210415</v>
      </c>
      <c r="B1060" t="str">
        <f t="shared" si="26"/>
        <v>137127</v>
      </c>
      <c r="C1060" t="s">
        <v>345</v>
      </c>
      <c r="D1060" s="3">
        <v>2424.81</v>
      </c>
      <c r="E1060" t="s">
        <v>362</v>
      </c>
      <c r="F1060" t="s">
        <v>134</v>
      </c>
    </row>
    <row r="1061" spans="1:6" x14ac:dyDescent="0.25">
      <c r="A1061">
        <v>20210415</v>
      </c>
      <c r="B1061" t="str">
        <f t="shared" si="26"/>
        <v>137127</v>
      </c>
      <c r="C1061" t="s">
        <v>345</v>
      </c>
      <c r="D1061" s="3">
        <v>1353.73</v>
      </c>
      <c r="E1061" t="s">
        <v>362</v>
      </c>
      <c r="F1061" t="s">
        <v>134</v>
      </c>
    </row>
    <row r="1062" spans="1:6" x14ac:dyDescent="0.25">
      <c r="A1062">
        <v>20210415</v>
      </c>
      <c r="B1062" t="str">
        <f t="shared" si="26"/>
        <v>137127</v>
      </c>
      <c r="C1062" t="s">
        <v>345</v>
      </c>
      <c r="D1062" s="3">
        <v>1694.46</v>
      </c>
      <c r="E1062" t="s">
        <v>362</v>
      </c>
      <c r="F1062" t="s">
        <v>134</v>
      </c>
    </row>
    <row r="1063" spans="1:6" x14ac:dyDescent="0.25">
      <c r="A1063">
        <v>20210415</v>
      </c>
      <c r="B1063" t="str">
        <f t="shared" si="26"/>
        <v>137127</v>
      </c>
      <c r="C1063" t="s">
        <v>345</v>
      </c>
      <c r="D1063" s="3">
        <v>1908.23</v>
      </c>
      <c r="E1063" t="s">
        <v>362</v>
      </c>
      <c r="F1063" t="s">
        <v>134</v>
      </c>
    </row>
    <row r="1064" spans="1:6" x14ac:dyDescent="0.25">
      <c r="A1064">
        <v>20210415</v>
      </c>
      <c r="B1064" t="str">
        <f t="shared" si="26"/>
        <v>137127</v>
      </c>
      <c r="C1064" t="s">
        <v>345</v>
      </c>
      <c r="D1064" s="3">
        <v>375.47</v>
      </c>
      <c r="E1064" t="s">
        <v>540</v>
      </c>
      <c r="F1064" t="s">
        <v>134</v>
      </c>
    </row>
    <row r="1065" spans="1:6" x14ac:dyDescent="0.25">
      <c r="A1065">
        <v>20210415</v>
      </c>
      <c r="B1065" t="str">
        <f t="shared" si="26"/>
        <v>137127</v>
      </c>
      <c r="C1065" t="s">
        <v>345</v>
      </c>
      <c r="D1065" s="3">
        <v>1085.6600000000001</v>
      </c>
      <c r="E1065" t="s">
        <v>541</v>
      </c>
      <c r="F1065" t="s">
        <v>134</v>
      </c>
    </row>
    <row r="1066" spans="1:6" x14ac:dyDescent="0.25">
      <c r="A1066">
        <v>20210415</v>
      </c>
      <c r="B1066" t="str">
        <f t="shared" si="26"/>
        <v>137127</v>
      </c>
      <c r="C1066" t="s">
        <v>345</v>
      </c>
      <c r="D1066" s="3">
        <v>1733.22</v>
      </c>
      <c r="E1066" t="s">
        <v>362</v>
      </c>
      <c r="F1066" t="s">
        <v>134</v>
      </c>
    </row>
    <row r="1067" spans="1:6" x14ac:dyDescent="0.25">
      <c r="A1067">
        <v>20210415</v>
      </c>
      <c r="B1067" t="str">
        <f t="shared" si="26"/>
        <v>137127</v>
      </c>
      <c r="C1067" t="s">
        <v>345</v>
      </c>
      <c r="D1067" s="3">
        <v>439.82</v>
      </c>
      <c r="E1067" t="s">
        <v>362</v>
      </c>
      <c r="F1067" t="s">
        <v>134</v>
      </c>
    </row>
    <row r="1068" spans="1:6" x14ac:dyDescent="0.25">
      <c r="A1068">
        <v>20210415</v>
      </c>
      <c r="B1068" t="str">
        <f t="shared" si="26"/>
        <v>137127</v>
      </c>
      <c r="C1068" t="s">
        <v>345</v>
      </c>
      <c r="D1068" s="3">
        <v>607.78</v>
      </c>
      <c r="E1068" t="s">
        <v>362</v>
      </c>
      <c r="F1068" t="s">
        <v>134</v>
      </c>
    </row>
    <row r="1069" spans="1:6" x14ac:dyDescent="0.25">
      <c r="A1069">
        <v>20210415</v>
      </c>
      <c r="B1069" t="str">
        <f t="shared" si="26"/>
        <v>137127</v>
      </c>
      <c r="C1069" t="s">
        <v>345</v>
      </c>
      <c r="D1069" s="3">
        <v>256.02999999999997</v>
      </c>
      <c r="E1069" t="s">
        <v>362</v>
      </c>
      <c r="F1069" t="s">
        <v>134</v>
      </c>
    </row>
    <row r="1070" spans="1:6" x14ac:dyDescent="0.25">
      <c r="A1070">
        <v>20210415</v>
      </c>
      <c r="B1070" t="str">
        <f t="shared" si="26"/>
        <v>137127</v>
      </c>
      <c r="C1070" t="s">
        <v>345</v>
      </c>
      <c r="D1070" s="3">
        <v>1118.99</v>
      </c>
      <c r="E1070" t="s">
        <v>362</v>
      </c>
      <c r="F1070" t="s">
        <v>134</v>
      </c>
    </row>
    <row r="1071" spans="1:6" x14ac:dyDescent="0.25">
      <c r="A1071">
        <v>20210415</v>
      </c>
      <c r="B1071" t="str">
        <f t="shared" si="26"/>
        <v>137127</v>
      </c>
      <c r="C1071" t="s">
        <v>345</v>
      </c>
      <c r="D1071" s="3">
        <v>668.95</v>
      </c>
      <c r="E1071" t="s">
        <v>362</v>
      </c>
      <c r="F1071" t="s">
        <v>134</v>
      </c>
    </row>
    <row r="1072" spans="1:6" x14ac:dyDescent="0.25">
      <c r="A1072">
        <v>20210415</v>
      </c>
      <c r="B1072" t="str">
        <f t="shared" si="26"/>
        <v>137127</v>
      </c>
      <c r="C1072" t="s">
        <v>345</v>
      </c>
      <c r="D1072" s="3">
        <v>225.74</v>
      </c>
      <c r="E1072" t="s">
        <v>362</v>
      </c>
      <c r="F1072" t="s">
        <v>134</v>
      </c>
    </row>
    <row r="1073" spans="1:6" x14ac:dyDescent="0.25">
      <c r="A1073">
        <v>20210415</v>
      </c>
      <c r="B1073" t="str">
        <f>"137128"</f>
        <v>137128</v>
      </c>
      <c r="C1073" t="s">
        <v>66</v>
      </c>
      <c r="D1073" s="3">
        <v>78.16</v>
      </c>
      <c r="E1073" t="s">
        <v>36</v>
      </c>
      <c r="F1073" t="s">
        <v>134</v>
      </c>
    </row>
    <row r="1074" spans="1:6" x14ac:dyDescent="0.25">
      <c r="A1074">
        <v>20210415</v>
      </c>
      <c r="B1074" t="str">
        <f>"137128"</f>
        <v>137128</v>
      </c>
      <c r="C1074" t="s">
        <v>66</v>
      </c>
      <c r="D1074" s="3">
        <v>59.01</v>
      </c>
      <c r="E1074" t="s">
        <v>36</v>
      </c>
      <c r="F1074" t="s">
        <v>134</v>
      </c>
    </row>
    <row r="1075" spans="1:6" x14ac:dyDescent="0.25">
      <c r="A1075">
        <v>20210419</v>
      </c>
      <c r="B1075" t="str">
        <f>"137129"</f>
        <v>137129</v>
      </c>
      <c r="C1075" t="s">
        <v>506</v>
      </c>
      <c r="D1075" s="3">
        <v>5435.75</v>
      </c>
      <c r="E1075" t="s">
        <v>542</v>
      </c>
      <c r="F1075" t="s">
        <v>134</v>
      </c>
    </row>
    <row r="1076" spans="1:6" x14ac:dyDescent="0.25">
      <c r="A1076">
        <v>20210421</v>
      </c>
      <c r="B1076" t="str">
        <f t="shared" ref="B1076:B1101" si="27">"137130"</f>
        <v>137130</v>
      </c>
      <c r="C1076" t="s">
        <v>543</v>
      </c>
      <c r="D1076" s="3">
        <v>1721.8</v>
      </c>
      <c r="E1076" t="s">
        <v>165</v>
      </c>
      <c r="F1076" t="s">
        <v>134</v>
      </c>
    </row>
    <row r="1077" spans="1:6" x14ac:dyDescent="0.25">
      <c r="A1077">
        <v>20210421</v>
      </c>
      <c r="B1077" t="str">
        <f t="shared" si="27"/>
        <v>137130</v>
      </c>
      <c r="C1077" t="s">
        <v>543</v>
      </c>
      <c r="D1077" s="3">
        <v>1608.51</v>
      </c>
      <c r="E1077" t="s">
        <v>165</v>
      </c>
      <c r="F1077" t="s">
        <v>134</v>
      </c>
    </row>
    <row r="1078" spans="1:6" x14ac:dyDescent="0.25">
      <c r="A1078">
        <v>20210421</v>
      </c>
      <c r="B1078" t="str">
        <f t="shared" si="27"/>
        <v>137130</v>
      </c>
      <c r="C1078" t="s">
        <v>543</v>
      </c>
      <c r="D1078" s="3">
        <v>148.93</v>
      </c>
      <c r="E1078" t="s">
        <v>165</v>
      </c>
      <c r="F1078" t="s">
        <v>134</v>
      </c>
    </row>
    <row r="1079" spans="1:6" x14ac:dyDescent="0.25">
      <c r="A1079">
        <v>20210421</v>
      </c>
      <c r="B1079" t="str">
        <f t="shared" si="27"/>
        <v>137130</v>
      </c>
      <c r="C1079" t="s">
        <v>543</v>
      </c>
      <c r="D1079" s="3">
        <v>2623.97</v>
      </c>
      <c r="E1079" t="s">
        <v>165</v>
      </c>
      <c r="F1079" t="s">
        <v>134</v>
      </c>
    </row>
    <row r="1080" spans="1:6" x14ac:dyDescent="0.25">
      <c r="A1080">
        <v>20210421</v>
      </c>
      <c r="B1080" t="str">
        <f t="shared" si="27"/>
        <v>137130</v>
      </c>
      <c r="C1080" t="s">
        <v>543</v>
      </c>
      <c r="D1080" s="3">
        <v>1326.27</v>
      </c>
      <c r="E1080" t="s">
        <v>165</v>
      </c>
      <c r="F1080" t="s">
        <v>134</v>
      </c>
    </row>
    <row r="1081" spans="1:6" x14ac:dyDescent="0.25">
      <c r="A1081">
        <v>20210421</v>
      </c>
      <c r="B1081" t="str">
        <f t="shared" si="27"/>
        <v>137130</v>
      </c>
      <c r="C1081" t="s">
        <v>543</v>
      </c>
      <c r="D1081" s="3">
        <v>17.03</v>
      </c>
      <c r="E1081" t="s">
        <v>165</v>
      </c>
      <c r="F1081" t="s">
        <v>134</v>
      </c>
    </row>
    <row r="1082" spans="1:6" x14ac:dyDescent="0.25">
      <c r="A1082">
        <v>20210421</v>
      </c>
      <c r="B1082" t="str">
        <f t="shared" si="27"/>
        <v>137130</v>
      </c>
      <c r="C1082" t="s">
        <v>543</v>
      </c>
      <c r="D1082" s="3">
        <v>590.22</v>
      </c>
      <c r="E1082" t="s">
        <v>165</v>
      </c>
      <c r="F1082" t="s">
        <v>134</v>
      </c>
    </row>
    <row r="1083" spans="1:6" x14ac:dyDescent="0.25">
      <c r="A1083">
        <v>20210421</v>
      </c>
      <c r="B1083" t="str">
        <f t="shared" si="27"/>
        <v>137130</v>
      </c>
      <c r="C1083" t="s">
        <v>543</v>
      </c>
      <c r="D1083" s="3">
        <v>791.72</v>
      </c>
      <c r="E1083" t="s">
        <v>165</v>
      </c>
      <c r="F1083" t="s">
        <v>134</v>
      </c>
    </row>
    <row r="1084" spans="1:6" x14ac:dyDescent="0.25">
      <c r="A1084">
        <v>20210421</v>
      </c>
      <c r="B1084" t="str">
        <f t="shared" si="27"/>
        <v>137130</v>
      </c>
      <c r="C1084" t="s">
        <v>543</v>
      </c>
      <c r="D1084" s="3">
        <v>1526.87</v>
      </c>
      <c r="E1084" t="s">
        <v>165</v>
      </c>
      <c r="F1084" t="s">
        <v>134</v>
      </c>
    </row>
    <row r="1085" spans="1:6" x14ac:dyDescent="0.25">
      <c r="A1085">
        <v>20210421</v>
      </c>
      <c r="B1085" t="str">
        <f t="shared" si="27"/>
        <v>137130</v>
      </c>
      <c r="C1085" t="s">
        <v>543</v>
      </c>
      <c r="D1085" s="3">
        <v>41.86</v>
      </c>
      <c r="E1085" t="s">
        <v>165</v>
      </c>
      <c r="F1085" t="s">
        <v>134</v>
      </c>
    </row>
    <row r="1086" spans="1:6" x14ac:dyDescent="0.25">
      <c r="A1086">
        <v>20210421</v>
      </c>
      <c r="B1086" t="str">
        <f t="shared" si="27"/>
        <v>137130</v>
      </c>
      <c r="C1086" t="s">
        <v>543</v>
      </c>
      <c r="D1086" s="3">
        <v>2354.85</v>
      </c>
      <c r="E1086" t="s">
        <v>165</v>
      </c>
      <c r="F1086" t="s">
        <v>134</v>
      </c>
    </row>
    <row r="1087" spans="1:6" x14ac:dyDescent="0.25">
      <c r="A1087">
        <v>20210421</v>
      </c>
      <c r="B1087" t="str">
        <f t="shared" si="27"/>
        <v>137130</v>
      </c>
      <c r="C1087" t="s">
        <v>543</v>
      </c>
      <c r="D1087" s="3">
        <v>2997.83</v>
      </c>
      <c r="E1087" t="s">
        <v>165</v>
      </c>
      <c r="F1087" t="s">
        <v>134</v>
      </c>
    </row>
    <row r="1088" spans="1:6" x14ac:dyDescent="0.25">
      <c r="A1088">
        <v>20210421</v>
      </c>
      <c r="B1088" t="str">
        <f t="shared" si="27"/>
        <v>137130</v>
      </c>
      <c r="C1088" t="s">
        <v>543</v>
      </c>
      <c r="D1088" s="3">
        <v>1684.23</v>
      </c>
      <c r="E1088" t="s">
        <v>165</v>
      </c>
      <c r="F1088" t="s">
        <v>134</v>
      </c>
    </row>
    <row r="1089" spans="1:6" x14ac:dyDescent="0.25">
      <c r="A1089">
        <v>20210421</v>
      </c>
      <c r="B1089" t="str">
        <f t="shared" si="27"/>
        <v>137130</v>
      </c>
      <c r="C1089" t="s">
        <v>543</v>
      </c>
      <c r="D1089" s="3">
        <v>20.69</v>
      </c>
      <c r="E1089" t="s">
        <v>165</v>
      </c>
      <c r="F1089" t="s">
        <v>134</v>
      </c>
    </row>
    <row r="1090" spans="1:6" x14ac:dyDescent="0.25">
      <c r="A1090">
        <v>20210421</v>
      </c>
      <c r="B1090" t="str">
        <f t="shared" si="27"/>
        <v>137130</v>
      </c>
      <c r="C1090" t="s">
        <v>543</v>
      </c>
      <c r="D1090" s="3">
        <v>18089.400000000001</v>
      </c>
      <c r="E1090" t="s">
        <v>165</v>
      </c>
      <c r="F1090" t="s">
        <v>134</v>
      </c>
    </row>
    <row r="1091" spans="1:6" x14ac:dyDescent="0.25">
      <c r="A1091">
        <v>20210421</v>
      </c>
      <c r="B1091" t="str">
        <f t="shared" si="27"/>
        <v>137130</v>
      </c>
      <c r="C1091" t="s">
        <v>543</v>
      </c>
      <c r="D1091" s="3">
        <v>1655.49</v>
      </c>
      <c r="E1091" t="s">
        <v>165</v>
      </c>
      <c r="F1091" t="s">
        <v>134</v>
      </c>
    </row>
    <row r="1092" spans="1:6" x14ac:dyDescent="0.25">
      <c r="A1092">
        <v>20210421</v>
      </c>
      <c r="B1092" t="str">
        <f t="shared" si="27"/>
        <v>137130</v>
      </c>
      <c r="C1092" t="s">
        <v>543</v>
      </c>
      <c r="D1092" s="3">
        <v>1322.11</v>
      </c>
      <c r="E1092" t="s">
        <v>165</v>
      </c>
      <c r="F1092" t="s">
        <v>134</v>
      </c>
    </row>
    <row r="1093" spans="1:6" x14ac:dyDescent="0.25">
      <c r="A1093">
        <v>20210421</v>
      </c>
      <c r="B1093" t="str">
        <f t="shared" si="27"/>
        <v>137130</v>
      </c>
      <c r="C1093" t="s">
        <v>543</v>
      </c>
      <c r="D1093" s="3">
        <v>332.93</v>
      </c>
      <c r="E1093" t="s">
        <v>165</v>
      </c>
      <c r="F1093" t="s">
        <v>134</v>
      </c>
    </row>
    <row r="1094" spans="1:6" x14ac:dyDescent="0.25">
      <c r="A1094">
        <v>20210421</v>
      </c>
      <c r="B1094" t="str">
        <f t="shared" si="27"/>
        <v>137130</v>
      </c>
      <c r="C1094" t="s">
        <v>543</v>
      </c>
      <c r="D1094" s="3">
        <v>134.21</v>
      </c>
      <c r="E1094" t="s">
        <v>165</v>
      </c>
      <c r="F1094" t="s">
        <v>134</v>
      </c>
    </row>
    <row r="1095" spans="1:6" x14ac:dyDescent="0.25">
      <c r="A1095">
        <v>20210421</v>
      </c>
      <c r="B1095" t="str">
        <f t="shared" si="27"/>
        <v>137130</v>
      </c>
      <c r="C1095" t="s">
        <v>543</v>
      </c>
      <c r="D1095" s="3">
        <v>2263.6999999999998</v>
      </c>
      <c r="E1095" t="s">
        <v>165</v>
      </c>
      <c r="F1095" t="s">
        <v>134</v>
      </c>
    </row>
    <row r="1096" spans="1:6" x14ac:dyDescent="0.25">
      <c r="A1096">
        <v>20210421</v>
      </c>
      <c r="B1096" t="str">
        <f t="shared" si="27"/>
        <v>137130</v>
      </c>
      <c r="C1096" t="s">
        <v>543</v>
      </c>
      <c r="D1096" s="3">
        <v>3394.12</v>
      </c>
      <c r="E1096" t="s">
        <v>165</v>
      </c>
      <c r="F1096" t="s">
        <v>134</v>
      </c>
    </row>
    <row r="1097" spans="1:6" x14ac:dyDescent="0.25">
      <c r="A1097">
        <v>20210421</v>
      </c>
      <c r="B1097" t="str">
        <f t="shared" si="27"/>
        <v>137130</v>
      </c>
      <c r="C1097" t="s">
        <v>543</v>
      </c>
      <c r="D1097" s="3">
        <v>177.12</v>
      </c>
      <c r="E1097" t="s">
        <v>165</v>
      </c>
      <c r="F1097" t="s">
        <v>134</v>
      </c>
    </row>
    <row r="1098" spans="1:6" x14ac:dyDescent="0.25">
      <c r="A1098">
        <v>20210421</v>
      </c>
      <c r="B1098" t="str">
        <f t="shared" si="27"/>
        <v>137130</v>
      </c>
      <c r="C1098" t="s">
        <v>543</v>
      </c>
      <c r="D1098" s="3">
        <v>7753.05</v>
      </c>
      <c r="E1098" t="s">
        <v>165</v>
      </c>
      <c r="F1098" t="s">
        <v>134</v>
      </c>
    </row>
    <row r="1099" spans="1:6" x14ac:dyDescent="0.25">
      <c r="A1099">
        <v>20210421</v>
      </c>
      <c r="B1099" t="str">
        <f t="shared" si="27"/>
        <v>137130</v>
      </c>
      <c r="C1099" t="s">
        <v>543</v>
      </c>
      <c r="D1099" s="3">
        <v>1556.5</v>
      </c>
      <c r="E1099" t="s">
        <v>165</v>
      </c>
      <c r="F1099" t="s">
        <v>134</v>
      </c>
    </row>
    <row r="1100" spans="1:6" x14ac:dyDescent="0.25">
      <c r="A1100">
        <v>20210421</v>
      </c>
      <c r="B1100" t="str">
        <f t="shared" si="27"/>
        <v>137130</v>
      </c>
      <c r="C1100" t="s">
        <v>543</v>
      </c>
      <c r="D1100" s="3">
        <v>9499.84</v>
      </c>
      <c r="E1100" t="s">
        <v>165</v>
      </c>
      <c r="F1100" t="s">
        <v>134</v>
      </c>
    </row>
    <row r="1101" spans="1:6" x14ac:dyDescent="0.25">
      <c r="A1101">
        <v>20210421</v>
      </c>
      <c r="B1101" t="str">
        <f t="shared" si="27"/>
        <v>137130</v>
      </c>
      <c r="C1101" t="s">
        <v>543</v>
      </c>
      <c r="D1101" s="3">
        <v>161.69</v>
      </c>
      <c r="E1101" t="s">
        <v>165</v>
      </c>
      <c r="F1101" t="s">
        <v>134</v>
      </c>
    </row>
    <row r="1102" spans="1:6" x14ac:dyDescent="0.25">
      <c r="A1102">
        <v>20210421</v>
      </c>
      <c r="B1102" t="str">
        <f t="shared" ref="B1102:B1165" si="28">"137131"</f>
        <v>137131</v>
      </c>
      <c r="C1102" t="s">
        <v>122</v>
      </c>
      <c r="D1102" s="3">
        <v>102.42</v>
      </c>
      <c r="E1102" t="s">
        <v>179</v>
      </c>
      <c r="F1102" t="s">
        <v>143</v>
      </c>
    </row>
    <row r="1103" spans="1:6" x14ac:dyDescent="0.25">
      <c r="A1103">
        <v>20210421</v>
      </c>
      <c r="B1103" t="str">
        <f t="shared" si="28"/>
        <v>137131</v>
      </c>
      <c r="C1103" t="s">
        <v>122</v>
      </c>
      <c r="D1103" s="3">
        <v>1029.01</v>
      </c>
      <c r="E1103" t="s">
        <v>179</v>
      </c>
      <c r="F1103" t="s">
        <v>143</v>
      </c>
    </row>
    <row r="1104" spans="1:6" x14ac:dyDescent="0.25">
      <c r="A1104">
        <v>20210421</v>
      </c>
      <c r="B1104" t="str">
        <f t="shared" si="28"/>
        <v>137131</v>
      </c>
      <c r="C1104" t="s">
        <v>122</v>
      </c>
      <c r="D1104" s="3">
        <v>91.04</v>
      </c>
      <c r="E1104" t="s">
        <v>179</v>
      </c>
      <c r="F1104" t="s">
        <v>143</v>
      </c>
    </row>
    <row r="1105" spans="1:6" x14ac:dyDescent="0.25">
      <c r="A1105">
        <v>20210421</v>
      </c>
      <c r="B1105" t="str">
        <f t="shared" si="28"/>
        <v>137131</v>
      </c>
      <c r="C1105" t="s">
        <v>122</v>
      </c>
      <c r="D1105" s="3">
        <v>73.97</v>
      </c>
      <c r="E1105" t="s">
        <v>179</v>
      </c>
      <c r="F1105" t="s">
        <v>143</v>
      </c>
    </row>
    <row r="1106" spans="1:6" x14ac:dyDescent="0.25">
      <c r="A1106">
        <v>20210421</v>
      </c>
      <c r="B1106" t="str">
        <f t="shared" si="28"/>
        <v>137131</v>
      </c>
      <c r="C1106" t="s">
        <v>122</v>
      </c>
      <c r="D1106" s="3">
        <v>99</v>
      </c>
      <c r="E1106" t="s">
        <v>80</v>
      </c>
      <c r="F1106" t="s">
        <v>143</v>
      </c>
    </row>
    <row r="1107" spans="1:6" x14ac:dyDescent="0.25">
      <c r="A1107">
        <v>20210421</v>
      </c>
      <c r="B1107" t="str">
        <f t="shared" si="28"/>
        <v>137131</v>
      </c>
      <c r="C1107" t="s">
        <v>122</v>
      </c>
      <c r="D1107" s="3">
        <v>20</v>
      </c>
      <c r="E1107" t="s">
        <v>124</v>
      </c>
      <c r="F1107" t="s">
        <v>143</v>
      </c>
    </row>
    <row r="1108" spans="1:6" x14ac:dyDescent="0.25">
      <c r="A1108">
        <v>20210421</v>
      </c>
      <c r="B1108" t="str">
        <f t="shared" si="28"/>
        <v>137131</v>
      </c>
      <c r="C1108" t="s">
        <v>122</v>
      </c>
      <c r="D1108" s="3">
        <v>45.68</v>
      </c>
      <c r="E1108" t="s">
        <v>124</v>
      </c>
      <c r="F1108" t="s">
        <v>143</v>
      </c>
    </row>
    <row r="1109" spans="1:6" x14ac:dyDescent="0.25">
      <c r="A1109">
        <v>20210421</v>
      </c>
      <c r="B1109" t="str">
        <f t="shared" si="28"/>
        <v>137131</v>
      </c>
      <c r="C1109" t="s">
        <v>122</v>
      </c>
      <c r="D1109" s="3">
        <v>20</v>
      </c>
      <c r="E1109" t="s">
        <v>124</v>
      </c>
      <c r="F1109" t="s">
        <v>143</v>
      </c>
    </row>
    <row r="1110" spans="1:6" x14ac:dyDescent="0.25">
      <c r="A1110">
        <v>20210421</v>
      </c>
      <c r="B1110" t="str">
        <f t="shared" si="28"/>
        <v>137131</v>
      </c>
      <c r="C1110" t="s">
        <v>122</v>
      </c>
      <c r="D1110" s="3">
        <v>20.5</v>
      </c>
      <c r="E1110" t="s">
        <v>45</v>
      </c>
      <c r="F1110" t="s">
        <v>143</v>
      </c>
    </row>
    <row r="1111" spans="1:6" x14ac:dyDescent="0.25">
      <c r="A1111">
        <v>20210421</v>
      </c>
      <c r="B1111" t="str">
        <f t="shared" si="28"/>
        <v>137131</v>
      </c>
      <c r="C1111" t="s">
        <v>122</v>
      </c>
      <c r="D1111" s="3">
        <v>147.5</v>
      </c>
      <c r="E1111" t="s">
        <v>45</v>
      </c>
      <c r="F1111" t="s">
        <v>143</v>
      </c>
    </row>
    <row r="1112" spans="1:6" x14ac:dyDescent="0.25">
      <c r="A1112">
        <v>20210421</v>
      </c>
      <c r="B1112" t="str">
        <f t="shared" si="28"/>
        <v>137131</v>
      </c>
      <c r="C1112" t="s">
        <v>122</v>
      </c>
      <c r="D1112" s="3">
        <v>280</v>
      </c>
      <c r="E1112" t="s">
        <v>45</v>
      </c>
      <c r="F1112" t="s">
        <v>143</v>
      </c>
    </row>
    <row r="1113" spans="1:6" x14ac:dyDescent="0.25">
      <c r="A1113">
        <v>20210421</v>
      </c>
      <c r="B1113" t="str">
        <f t="shared" si="28"/>
        <v>137131</v>
      </c>
      <c r="C1113" t="s">
        <v>122</v>
      </c>
      <c r="D1113" s="3">
        <v>248.7</v>
      </c>
      <c r="E1113" t="s">
        <v>45</v>
      </c>
      <c r="F1113" t="s">
        <v>143</v>
      </c>
    </row>
    <row r="1114" spans="1:6" x14ac:dyDescent="0.25">
      <c r="A1114">
        <v>20210421</v>
      </c>
      <c r="B1114" t="str">
        <f t="shared" si="28"/>
        <v>137131</v>
      </c>
      <c r="C1114" t="s">
        <v>122</v>
      </c>
      <c r="D1114" s="3">
        <v>643.33000000000004</v>
      </c>
      <c r="E1114" t="s">
        <v>45</v>
      </c>
      <c r="F1114" t="s">
        <v>143</v>
      </c>
    </row>
    <row r="1115" spans="1:6" x14ac:dyDescent="0.25">
      <c r="A1115">
        <v>20210421</v>
      </c>
      <c r="B1115" t="str">
        <f t="shared" si="28"/>
        <v>137131</v>
      </c>
      <c r="C1115" t="s">
        <v>122</v>
      </c>
      <c r="D1115" s="3">
        <v>297.2</v>
      </c>
      <c r="E1115" t="s">
        <v>45</v>
      </c>
      <c r="F1115" t="s">
        <v>143</v>
      </c>
    </row>
    <row r="1116" spans="1:6" x14ac:dyDescent="0.25">
      <c r="A1116">
        <v>20210421</v>
      </c>
      <c r="B1116" t="str">
        <f t="shared" si="28"/>
        <v>137131</v>
      </c>
      <c r="C1116" t="s">
        <v>122</v>
      </c>
      <c r="D1116" s="3">
        <v>230.72</v>
      </c>
      <c r="E1116" t="s">
        <v>45</v>
      </c>
      <c r="F1116" t="s">
        <v>143</v>
      </c>
    </row>
    <row r="1117" spans="1:6" x14ac:dyDescent="0.25">
      <c r="A1117">
        <v>20210421</v>
      </c>
      <c r="B1117" t="str">
        <f t="shared" si="28"/>
        <v>137131</v>
      </c>
      <c r="C1117" t="s">
        <v>122</v>
      </c>
      <c r="D1117" s="3">
        <v>105.05</v>
      </c>
      <c r="E1117" t="s">
        <v>45</v>
      </c>
      <c r="F1117" t="s">
        <v>143</v>
      </c>
    </row>
    <row r="1118" spans="1:6" x14ac:dyDescent="0.25">
      <c r="A1118">
        <v>20210421</v>
      </c>
      <c r="B1118" t="str">
        <f t="shared" si="28"/>
        <v>137131</v>
      </c>
      <c r="C1118" t="s">
        <v>122</v>
      </c>
      <c r="D1118" s="3">
        <v>263.19</v>
      </c>
      <c r="E1118" t="s">
        <v>45</v>
      </c>
      <c r="F1118" t="s">
        <v>143</v>
      </c>
    </row>
    <row r="1119" spans="1:6" x14ac:dyDescent="0.25">
      <c r="A1119">
        <v>20210421</v>
      </c>
      <c r="B1119" t="str">
        <f t="shared" si="28"/>
        <v>137131</v>
      </c>
      <c r="C1119" t="s">
        <v>122</v>
      </c>
      <c r="D1119" s="3">
        <v>32.520000000000003</v>
      </c>
      <c r="E1119" t="s">
        <v>45</v>
      </c>
      <c r="F1119" t="s">
        <v>143</v>
      </c>
    </row>
    <row r="1120" spans="1:6" x14ac:dyDescent="0.25">
      <c r="A1120">
        <v>20210421</v>
      </c>
      <c r="B1120" t="str">
        <f t="shared" si="28"/>
        <v>137131</v>
      </c>
      <c r="C1120" t="s">
        <v>122</v>
      </c>
      <c r="D1120" s="3">
        <v>106.27</v>
      </c>
      <c r="E1120" t="s">
        <v>45</v>
      </c>
      <c r="F1120" t="s">
        <v>143</v>
      </c>
    </row>
    <row r="1121" spans="1:6" x14ac:dyDescent="0.25">
      <c r="A1121">
        <v>20210421</v>
      </c>
      <c r="B1121" t="str">
        <f t="shared" si="28"/>
        <v>137131</v>
      </c>
      <c r="C1121" t="s">
        <v>122</v>
      </c>
      <c r="D1121" s="3">
        <v>248.7</v>
      </c>
      <c r="E1121" t="s">
        <v>45</v>
      </c>
      <c r="F1121" t="s">
        <v>143</v>
      </c>
    </row>
    <row r="1122" spans="1:6" x14ac:dyDescent="0.25">
      <c r="A1122">
        <v>20210421</v>
      </c>
      <c r="B1122" t="str">
        <f t="shared" si="28"/>
        <v>137131</v>
      </c>
      <c r="C1122" t="s">
        <v>122</v>
      </c>
      <c r="D1122" s="3">
        <v>63.3</v>
      </c>
      <c r="E1122" t="s">
        <v>45</v>
      </c>
      <c r="F1122" t="s">
        <v>143</v>
      </c>
    </row>
    <row r="1123" spans="1:6" x14ac:dyDescent="0.25">
      <c r="A1123">
        <v>20210421</v>
      </c>
      <c r="B1123" t="str">
        <f t="shared" si="28"/>
        <v>137131</v>
      </c>
      <c r="C1123" t="s">
        <v>122</v>
      </c>
      <c r="D1123" s="3">
        <v>1824.2</v>
      </c>
      <c r="E1123" t="s">
        <v>45</v>
      </c>
      <c r="F1123" t="s">
        <v>143</v>
      </c>
    </row>
    <row r="1124" spans="1:6" x14ac:dyDescent="0.25">
      <c r="A1124">
        <v>20210421</v>
      </c>
      <c r="B1124" t="str">
        <f t="shared" si="28"/>
        <v>137131</v>
      </c>
      <c r="C1124" t="s">
        <v>122</v>
      </c>
      <c r="D1124" s="3">
        <v>1423.62</v>
      </c>
      <c r="E1124" t="s">
        <v>45</v>
      </c>
      <c r="F1124" t="s">
        <v>143</v>
      </c>
    </row>
    <row r="1125" spans="1:6" x14ac:dyDescent="0.25">
      <c r="A1125">
        <v>20210421</v>
      </c>
      <c r="B1125" t="str">
        <f t="shared" si="28"/>
        <v>137131</v>
      </c>
      <c r="C1125" t="s">
        <v>122</v>
      </c>
      <c r="D1125" s="3">
        <v>75.75</v>
      </c>
      <c r="E1125" t="s">
        <v>36</v>
      </c>
      <c r="F1125" t="s">
        <v>143</v>
      </c>
    </row>
    <row r="1126" spans="1:6" x14ac:dyDescent="0.25">
      <c r="A1126">
        <v>20210421</v>
      </c>
      <c r="B1126" t="str">
        <f t="shared" si="28"/>
        <v>137131</v>
      </c>
      <c r="C1126" t="s">
        <v>122</v>
      </c>
      <c r="D1126" s="3">
        <v>4471.25</v>
      </c>
      <c r="E1126" t="s">
        <v>544</v>
      </c>
      <c r="F1126" t="s">
        <v>134</v>
      </c>
    </row>
    <row r="1127" spans="1:6" x14ac:dyDescent="0.25">
      <c r="A1127">
        <v>20210421</v>
      </c>
      <c r="B1127" t="str">
        <f t="shared" si="28"/>
        <v>137131</v>
      </c>
      <c r="C1127" t="s">
        <v>122</v>
      </c>
      <c r="D1127" s="3">
        <v>59</v>
      </c>
      <c r="E1127" t="s">
        <v>36</v>
      </c>
      <c r="F1127" t="s">
        <v>134</v>
      </c>
    </row>
    <row r="1128" spans="1:6" x14ac:dyDescent="0.25">
      <c r="A1128">
        <v>20210421</v>
      </c>
      <c r="B1128" t="str">
        <f t="shared" si="28"/>
        <v>137131</v>
      </c>
      <c r="C1128" t="s">
        <v>122</v>
      </c>
      <c r="D1128" s="3">
        <v>5</v>
      </c>
      <c r="E1128" t="s">
        <v>36</v>
      </c>
      <c r="F1128" t="s">
        <v>134</v>
      </c>
    </row>
    <row r="1129" spans="1:6" x14ac:dyDescent="0.25">
      <c r="A1129">
        <v>20210421</v>
      </c>
      <c r="B1129" t="str">
        <f t="shared" si="28"/>
        <v>137131</v>
      </c>
      <c r="C1129" t="s">
        <v>122</v>
      </c>
      <c r="D1129" s="3">
        <v>89.52</v>
      </c>
      <c r="E1129" t="s">
        <v>36</v>
      </c>
      <c r="F1129" t="s">
        <v>134</v>
      </c>
    </row>
    <row r="1130" spans="1:6" x14ac:dyDescent="0.25">
      <c r="A1130">
        <v>20210421</v>
      </c>
      <c r="B1130" t="str">
        <f t="shared" si="28"/>
        <v>137131</v>
      </c>
      <c r="C1130" t="s">
        <v>122</v>
      </c>
      <c r="D1130" s="3">
        <v>80</v>
      </c>
      <c r="E1130" t="s">
        <v>36</v>
      </c>
      <c r="F1130" t="s">
        <v>134</v>
      </c>
    </row>
    <row r="1131" spans="1:6" x14ac:dyDescent="0.25">
      <c r="A1131">
        <v>20210421</v>
      </c>
      <c r="B1131" t="str">
        <f t="shared" si="28"/>
        <v>137131</v>
      </c>
      <c r="C1131" t="s">
        <v>122</v>
      </c>
      <c r="D1131" s="3">
        <v>525</v>
      </c>
      <c r="E1131" t="s">
        <v>36</v>
      </c>
      <c r="F1131" t="s">
        <v>134</v>
      </c>
    </row>
    <row r="1132" spans="1:6" x14ac:dyDescent="0.25">
      <c r="A1132">
        <v>20210421</v>
      </c>
      <c r="B1132" t="str">
        <f t="shared" si="28"/>
        <v>137131</v>
      </c>
      <c r="C1132" t="s">
        <v>122</v>
      </c>
      <c r="D1132" s="3">
        <v>378.4</v>
      </c>
      <c r="E1132" t="s">
        <v>36</v>
      </c>
      <c r="F1132" t="s">
        <v>134</v>
      </c>
    </row>
    <row r="1133" spans="1:6" x14ac:dyDescent="0.25">
      <c r="A1133">
        <v>20210421</v>
      </c>
      <c r="B1133" t="str">
        <f t="shared" si="28"/>
        <v>137131</v>
      </c>
      <c r="C1133" t="s">
        <v>122</v>
      </c>
      <c r="D1133" s="3">
        <v>106.66</v>
      </c>
      <c r="E1133" t="s">
        <v>149</v>
      </c>
      <c r="F1133" t="s">
        <v>134</v>
      </c>
    </row>
    <row r="1134" spans="1:6" x14ac:dyDescent="0.25">
      <c r="A1134">
        <v>20210421</v>
      </c>
      <c r="B1134" t="str">
        <f t="shared" si="28"/>
        <v>137131</v>
      </c>
      <c r="C1134" t="s">
        <v>122</v>
      </c>
      <c r="D1134" s="3">
        <v>-189</v>
      </c>
      <c r="E1134" t="s">
        <v>545</v>
      </c>
      <c r="F1134" t="s">
        <v>134</v>
      </c>
    </row>
    <row r="1135" spans="1:6" x14ac:dyDescent="0.25">
      <c r="A1135">
        <v>20210421</v>
      </c>
      <c r="B1135" t="str">
        <f t="shared" si="28"/>
        <v>137131</v>
      </c>
      <c r="C1135" t="s">
        <v>122</v>
      </c>
      <c r="D1135" s="3">
        <v>505.64</v>
      </c>
      <c r="E1135" t="s">
        <v>36</v>
      </c>
      <c r="F1135" t="s">
        <v>134</v>
      </c>
    </row>
    <row r="1136" spans="1:6" x14ac:dyDescent="0.25">
      <c r="A1136">
        <v>20210421</v>
      </c>
      <c r="B1136" t="str">
        <f t="shared" si="28"/>
        <v>137131</v>
      </c>
      <c r="C1136" t="s">
        <v>122</v>
      </c>
      <c r="D1136" s="3">
        <v>15</v>
      </c>
      <c r="E1136" t="s">
        <v>149</v>
      </c>
      <c r="F1136" t="s">
        <v>134</v>
      </c>
    </row>
    <row r="1137" spans="1:6" x14ac:dyDescent="0.25">
      <c r="A1137">
        <v>20210421</v>
      </c>
      <c r="B1137" t="str">
        <f t="shared" si="28"/>
        <v>137131</v>
      </c>
      <c r="C1137" t="s">
        <v>122</v>
      </c>
      <c r="D1137" s="3">
        <v>111.49</v>
      </c>
      <c r="E1137" t="s">
        <v>36</v>
      </c>
      <c r="F1137" t="s">
        <v>134</v>
      </c>
    </row>
    <row r="1138" spans="1:6" x14ac:dyDescent="0.25">
      <c r="A1138">
        <v>20210421</v>
      </c>
      <c r="B1138" t="str">
        <f t="shared" si="28"/>
        <v>137131</v>
      </c>
      <c r="C1138" t="s">
        <v>122</v>
      </c>
      <c r="D1138" s="3">
        <v>72</v>
      </c>
      <c r="E1138" t="s">
        <v>546</v>
      </c>
      <c r="F1138" t="s">
        <v>134</v>
      </c>
    </row>
    <row r="1139" spans="1:6" x14ac:dyDescent="0.25">
      <c r="A1139">
        <v>20210421</v>
      </c>
      <c r="B1139" t="str">
        <f t="shared" si="28"/>
        <v>137131</v>
      </c>
      <c r="C1139" t="s">
        <v>122</v>
      </c>
      <c r="D1139" s="3">
        <v>74.5</v>
      </c>
      <c r="E1139" t="s">
        <v>546</v>
      </c>
      <c r="F1139" t="s">
        <v>134</v>
      </c>
    </row>
    <row r="1140" spans="1:6" x14ac:dyDescent="0.25">
      <c r="A1140">
        <v>20210421</v>
      </c>
      <c r="B1140" t="str">
        <f t="shared" si="28"/>
        <v>137131</v>
      </c>
      <c r="C1140" t="s">
        <v>122</v>
      </c>
      <c r="D1140" s="3">
        <v>314.24</v>
      </c>
      <c r="E1140" t="s">
        <v>546</v>
      </c>
      <c r="F1140" t="s">
        <v>134</v>
      </c>
    </row>
    <row r="1141" spans="1:6" x14ac:dyDescent="0.25">
      <c r="A1141">
        <v>20210421</v>
      </c>
      <c r="B1141" t="str">
        <f t="shared" si="28"/>
        <v>137131</v>
      </c>
      <c r="C1141" t="s">
        <v>122</v>
      </c>
      <c r="D1141" s="3">
        <v>338.14</v>
      </c>
      <c r="E1141" t="s">
        <v>546</v>
      </c>
      <c r="F1141" t="s">
        <v>134</v>
      </c>
    </row>
    <row r="1142" spans="1:6" x14ac:dyDescent="0.25">
      <c r="A1142">
        <v>20210421</v>
      </c>
      <c r="B1142" t="str">
        <f t="shared" si="28"/>
        <v>137131</v>
      </c>
      <c r="C1142" t="s">
        <v>122</v>
      </c>
      <c r="D1142" s="3">
        <v>320.8</v>
      </c>
      <c r="E1142" t="s">
        <v>546</v>
      </c>
      <c r="F1142" t="s">
        <v>134</v>
      </c>
    </row>
    <row r="1143" spans="1:6" x14ac:dyDescent="0.25">
      <c r="A1143">
        <v>20210421</v>
      </c>
      <c r="B1143" t="str">
        <f t="shared" si="28"/>
        <v>137131</v>
      </c>
      <c r="C1143" t="s">
        <v>122</v>
      </c>
      <c r="D1143" s="3">
        <v>5</v>
      </c>
      <c r="E1143" t="s">
        <v>547</v>
      </c>
      <c r="F1143" t="s">
        <v>134</v>
      </c>
    </row>
    <row r="1144" spans="1:6" x14ac:dyDescent="0.25">
      <c r="A1144">
        <v>20210421</v>
      </c>
      <c r="B1144" t="str">
        <f t="shared" si="28"/>
        <v>137131</v>
      </c>
      <c r="C1144" t="s">
        <v>122</v>
      </c>
      <c r="D1144" s="3">
        <v>43</v>
      </c>
      <c r="E1144" t="s">
        <v>547</v>
      </c>
      <c r="F1144" t="s">
        <v>134</v>
      </c>
    </row>
    <row r="1145" spans="1:6" x14ac:dyDescent="0.25">
      <c r="A1145">
        <v>20210421</v>
      </c>
      <c r="B1145" t="str">
        <f t="shared" si="28"/>
        <v>137131</v>
      </c>
      <c r="C1145" t="s">
        <v>122</v>
      </c>
      <c r="D1145" s="3">
        <v>48</v>
      </c>
      <c r="E1145" t="s">
        <v>547</v>
      </c>
      <c r="F1145" t="s">
        <v>134</v>
      </c>
    </row>
    <row r="1146" spans="1:6" x14ac:dyDescent="0.25">
      <c r="A1146">
        <v>20210421</v>
      </c>
      <c r="B1146" t="str">
        <f t="shared" si="28"/>
        <v>137131</v>
      </c>
      <c r="C1146" t="s">
        <v>122</v>
      </c>
      <c r="D1146" s="3">
        <v>165.39</v>
      </c>
      <c r="E1146" t="s">
        <v>546</v>
      </c>
      <c r="F1146" t="s">
        <v>134</v>
      </c>
    </row>
    <row r="1147" spans="1:6" x14ac:dyDescent="0.25">
      <c r="A1147">
        <v>20210421</v>
      </c>
      <c r="B1147" t="str">
        <f t="shared" si="28"/>
        <v>137131</v>
      </c>
      <c r="C1147" t="s">
        <v>122</v>
      </c>
      <c r="D1147" s="3">
        <v>58.5</v>
      </c>
      <c r="E1147" t="s">
        <v>546</v>
      </c>
      <c r="F1147" t="s">
        <v>134</v>
      </c>
    </row>
    <row r="1148" spans="1:6" x14ac:dyDescent="0.25">
      <c r="A1148">
        <v>20210421</v>
      </c>
      <c r="B1148" t="str">
        <f t="shared" si="28"/>
        <v>137131</v>
      </c>
      <c r="C1148" t="s">
        <v>122</v>
      </c>
      <c r="D1148" s="3">
        <v>37.1</v>
      </c>
      <c r="E1148" t="s">
        <v>546</v>
      </c>
      <c r="F1148" t="s">
        <v>134</v>
      </c>
    </row>
    <row r="1149" spans="1:6" x14ac:dyDescent="0.25">
      <c r="A1149">
        <v>20210421</v>
      </c>
      <c r="B1149" t="str">
        <f t="shared" si="28"/>
        <v>137131</v>
      </c>
      <c r="C1149" t="s">
        <v>122</v>
      </c>
      <c r="D1149" s="3">
        <v>8.65</v>
      </c>
      <c r="E1149" t="s">
        <v>546</v>
      </c>
      <c r="F1149" t="s">
        <v>134</v>
      </c>
    </row>
    <row r="1150" spans="1:6" x14ac:dyDescent="0.25">
      <c r="A1150">
        <v>20210421</v>
      </c>
      <c r="B1150" t="str">
        <f t="shared" si="28"/>
        <v>137131</v>
      </c>
      <c r="C1150" t="s">
        <v>122</v>
      </c>
      <c r="D1150" s="3">
        <v>55.76</v>
      </c>
      <c r="E1150" t="s">
        <v>546</v>
      </c>
      <c r="F1150" t="s">
        <v>134</v>
      </c>
    </row>
    <row r="1151" spans="1:6" x14ac:dyDescent="0.25">
      <c r="A1151">
        <v>20210421</v>
      </c>
      <c r="B1151" t="str">
        <f t="shared" si="28"/>
        <v>137131</v>
      </c>
      <c r="C1151" t="s">
        <v>122</v>
      </c>
      <c r="D1151" s="3">
        <v>64.92</v>
      </c>
      <c r="E1151" t="s">
        <v>546</v>
      </c>
      <c r="F1151" t="s">
        <v>134</v>
      </c>
    </row>
    <row r="1152" spans="1:6" x14ac:dyDescent="0.25">
      <c r="A1152">
        <v>20210421</v>
      </c>
      <c r="B1152" t="str">
        <f t="shared" si="28"/>
        <v>137131</v>
      </c>
      <c r="C1152" t="s">
        <v>122</v>
      </c>
      <c r="D1152" s="3">
        <v>4.28</v>
      </c>
      <c r="E1152" t="s">
        <v>546</v>
      </c>
      <c r="F1152" t="s">
        <v>134</v>
      </c>
    </row>
    <row r="1153" spans="1:6" x14ac:dyDescent="0.25">
      <c r="A1153">
        <v>20210421</v>
      </c>
      <c r="B1153" t="str">
        <f t="shared" si="28"/>
        <v>137131</v>
      </c>
      <c r="C1153" t="s">
        <v>122</v>
      </c>
      <c r="D1153" s="3">
        <v>50.88</v>
      </c>
      <c r="E1153" t="s">
        <v>546</v>
      </c>
      <c r="F1153" t="s">
        <v>134</v>
      </c>
    </row>
    <row r="1154" spans="1:6" x14ac:dyDescent="0.25">
      <c r="A1154">
        <v>20210421</v>
      </c>
      <c r="B1154" t="str">
        <f t="shared" si="28"/>
        <v>137131</v>
      </c>
      <c r="C1154" t="s">
        <v>122</v>
      </c>
      <c r="D1154" s="3">
        <v>44.71</v>
      </c>
      <c r="E1154" t="s">
        <v>546</v>
      </c>
      <c r="F1154" t="s">
        <v>134</v>
      </c>
    </row>
    <row r="1155" spans="1:6" x14ac:dyDescent="0.25">
      <c r="A1155">
        <v>20210421</v>
      </c>
      <c r="B1155" t="str">
        <f t="shared" si="28"/>
        <v>137131</v>
      </c>
      <c r="C1155" t="s">
        <v>122</v>
      </c>
      <c r="D1155" s="3">
        <v>44.28</v>
      </c>
      <c r="E1155" t="s">
        <v>546</v>
      </c>
      <c r="F1155" t="s">
        <v>134</v>
      </c>
    </row>
    <row r="1156" spans="1:6" x14ac:dyDescent="0.25">
      <c r="A1156">
        <v>20210421</v>
      </c>
      <c r="B1156" t="str">
        <f t="shared" si="28"/>
        <v>137131</v>
      </c>
      <c r="C1156" t="s">
        <v>122</v>
      </c>
      <c r="D1156" s="3">
        <v>235.68</v>
      </c>
      <c r="E1156" t="s">
        <v>547</v>
      </c>
      <c r="F1156" t="s">
        <v>134</v>
      </c>
    </row>
    <row r="1157" spans="1:6" x14ac:dyDescent="0.25">
      <c r="A1157">
        <v>20210421</v>
      </c>
      <c r="B1157" t="str">
        <f t="shared" si="28"/>
        <v>137131</v>
      </c>
      <c r="C1157" t="s">
        <v>122</v>
      </c>
      <c r="D1157" s="3">
        <v>240</v>
      </c>
      <c r="E1157" t="s">
        <v>45</v>
      </c>
      <c r="F1157" t="s">
        <v>134</v>
      </c>
    </row>
    <row r="1158" spans="1:6" x14ac:dyDescent="0.25">
      <c r="A1158">
        <v>20210421</v>
      </c>
      <c r="B1158" t="str">
        <f t="shared" si="28"/>
        <v>137131</v>
      </c>
      <c r="C1158" t="s">
        <v>122</v>
      </c>
      <c r="D1158" s="3">
        <v>75.349999999999994</v>
      </c>
      <c r="E1158" t="s">
        <v>45</v>
      </c>
      <c r="F1158" t="s">
        <v>134</v>
      </c>
    </row>
    <row r="1159" spans="1:6" x14ac:dyDescent="0.25">
      <c r="A1159">
        <v>20210421</v>
      </c>
      <c r="B1159" t="str">
        <f t="shared" si="28"/>
        <v>137131</v>
      </c>
      <c r="C1159" t="s">
        <v>122</v>
      </c>
      <c r="D1159" s="3">
        <v>157</v>
      </c>
      <c r="E1159" t="s">
        <v>547</v>
      </c>
      <c r="F1159" t="s">
        <v>134</v>
      </c>
    </row>
    <row r="1160" spans="1:6" x14ac:dyDescent="0.25">
      <c r="A1160">
        <v>20210421</v>
      </c>
      <c r="B1160" t="str">
        <f t="shared" si="28"/>
        <v>137131</v>
      </c>
      <c r="C1160" t="s">
        <v>122</v>
      </c>
      <c r="D1160" s="3">
        <v>63.95</v>
      </c>
      <c r="E1160" t="s">
        <v>429</v>
      </c>
      <c r="F1160" t="s">
        <v>134</v>
      </c>
    </row>
    <row r="1161" spans="1:6" x14ac:dyDescent="0.25">
      <c r="A1161">
        <v>20210421</v>
      </c>
      <c r="B1161" t="str">
        <f t="shared" si="28"/>
        <v>137131</v>
      </c>
      <c r="C1161" t="s">
        <v>122</v>
      </c>
      <c r="D1161" s="3">
        <v>160</v>
      </c>
      <c r="E1161" t="s">
        <v>548</v>
      </c>
      <c r="F1161" t="s">
        <v>134</v>
      </c>
    </row>
    <row r="1162" spans="1:6" x14ac:dyDescent="0.25">
      <c r="A1162">
        <v>20210421</v>
      </c>
      <c r="B1162" t="str">
        <f t="shared" si="28"/>
        <v>137131</v>
      </c>
      <c r="C1162" t="s">
        <v>122</v>
      </c>
      <c r="D1162" s="3">
        <v>88.67</v>
      </c>
      <c r="E1162" t="s">
        <v>549</v>
      </c>
      <c r="F1162" t="s">
        <v>134</v>
      </c>
    </row>
    <row r="1163" spans="1:6" x14ac:dyDescent="0.25">
      <c r="A1163">
        <v>20210421</v>
      </c>
      <c r="B1163" t="str">
        <f t="shared" si="28"/>
        <v>137131</v>
      </c>
      <c r="C1163" t="s">
        <v>122</v>
      </c>
      <c r="D1163" s="3">
        <v>362.6</v>
      </c>
      <c r="E1163" t="s">
        <v>550</v>
      </c>
      <c r="F1163" t="s">
        <v>134</v>
      </c>
    </row>
    <row r="1164" spans="1:6" x14ac:dyDescent="0.25">
      <c r="A1164">
        <v>20210421</v>
      </c>
      <c r="B1164" t="str">
        <f t="shared" si="28"/>
        <v>137131</v>
      </c>
      <c r="C1164" t="s">
        <v>122</v>
      </c>
      <c r="D1164" s="3">
        <v>179</v>
      </c>
      <c r="E1164" t="s">
        <v>551</v>
      </c>
      <c r="F1164" t="s">
        <v>134</v>
      </c>
    </row>
    <row r="1165" spans="1:6" x14ac:dyDescent="0.25">
      <c r="A1165">
        <v>20210421</v>
      </c>
      <c r="B1165" t="str">
        <f t="shared" si="28"/>
        <v>137131</v>
      </c>
      <c r="C1165" t="s">
        <v>122</v>
      </c>
      <c r="D1165" s="3">
        <v>28.57</v>
      </c>
      <c r="E1165" t="s">
        <v>552</v>
      </c>
      <c r="F1165" t="s">
        <v>134</v>
      </c>
    </row>
    <row r="1166" spans="1:6" x14ac:dyDescent="0.25">
      <c r="A1166">
        <v>20210421</v>
      </c>
      <c r="B1166" t="str">
        <f t="shared" ref="B1166:B1176" si="29">"137131"</f>
        <v>137131</v>
      </c>
      <c r="C1166" t="s">
        <v>122</v>
      </c>
      <c r="D1166" s="3">
        <v>100</v>
      </c>
      <c r="E1166" t="s">
        <v>185</v>
      </c>
      <c r="F1166" t="s">
        <v>134</v>
      </c>
    </row>
    <row r="1167" spans="1:6" x14ac:dyDescent="0.25">
      <c r="A1167">
        <v>20210421</v>
      </c>
      <c r="B1167" t="str">
        <f t="shared" si="29"/>
        <v>137131</v>
      </c>
      <c r="C1167" t="s">
        <v>122</v>
      </c>
      <c r="D1167" s="3">
        <v>127.79</v>
      </c>
      <c r="E1167" t="s">
        <v>553</v>
      </c>
      <c r="F1167" t="s">
        <v>134</v>
      </c>
    </row>
    <row r="1168" spans="1:6" x14ac:dyDescent="0.25">
      <c r="A1168">
        <v>20210421</v>
      </c>
      <c r="B1168" t="str">
        <f t="shared" si="29"/>
        <v>137131</v>
      </c>
      <c r="C1168" t="s">
        <v>122</v>
      </c>
      <c r="D1168" s="3">
        <v>650</v>
      </c>
      <c r="E1168" t="s">
        <v>554</v>
      </c>
      <c r="F1168" t="s">
        <v>134</v>
      </c>
    </row>
    <row r="1169" spans="1:6" x14ac:dyDescent="0.25">
      <c r="A1169">
        <v>20210421</v>
      </c>
      <c r="B1169" t="str">
        <f t="shared" si="29"/>
        <v>137131</v>
      </c>
      <c r="C1169" t="s">
        <v>122</v>
      </c>
      <c r="D1169" s="3">
        <v>279.99</v>
      </c>
      <c r="E1169" t="s">
        <v>555</v>
      </c>
      <c r="F1169" t="s">
        <v>134</v>
      </c>
    </row>
    <row r="1170" spans="1:6" x14ac:dyDescent="0.25">
      <c r="A1170">
        <v>20210421</v>
      </c>
      <c r="B1170" t="str">
        <f t="shared" si="29"/>
        <v>137131</v>
      </c>
      <c r="C1170" t="s">
        <v>122</v>
      </c>
      <c r="D1170" s="3">
        <v>90</v>
      </c>
      <c r="E1170" t="s">
        <v>556</v>
      </c>
      <c r="F1170" t="s">
        <v>134</v>
      </c>
    </row>
    <row r="1171" spans="1:6" x14ac:dyDescent="0.25">
      <c r="A1171">
        <v>20210421</v>
      </c>
      <c r="B1171" t="str">
        <f t="shared" si="29"/>
        <v>137131</v>
      </c>
      <c r="C1171" t="s">
        <v>122</v>
      </c>
      <c r="D1171" s="3">
        <v>596.97</v>
      </c>
      <c r="E1171" t="s">
        <v>36</v>
      </c>
      <c r="F1171" t="s">
        <v>134</v>
      </c>
    </row>
    <row r="1172" spans="1:6" x14ac:dyDescent="0.25">
      <c r="A1172">
        <v>20210421</v>
      </c>
      <c r="B1172" t="str">
        <f t="shared" si="29"/>
        <v>137131</v>
      </c>
      <c r="C1172" t="s">
        <v>122</v>
      </c>
      <c r="D1172" s="3">
        <v>381.97</v>
      </c>
      <c r="E1172" t="s">
        <v>36</v>
      </c>
      <c r="F1172" t="s">
        <v>134</v>
      </c>
    </row>
    <row r="1173" spans="1:6" x14ac:dyDescent="0.25">
      <c r="A1173">
        <v>20210421</v>
      </c>
      <c r="B1173" t="str">
        <f t="shared" si="29"/>
        <v>137131</v>
      </c>
      <c r="C1173" t="s">
        <v>122</v>
      </c>
      <c r="D1173" s="3">
        <v>57</v>
      </c>
      <c r="E1173" t="s">
        <v>36</v>
      </c>
      <c r="F1173" t="s">
        <v>134</v>
      </c>
    </row>
    <row r="1174" spans="1:6" x14ac:dyDescent="0.25">
      <c r="A1174">
        <v>20210421</v>
      </c>
      <c r="B1174" t="str">
        <f t="shared" si="29"/>
        <v>137131</v>
      </c>
      <c r="C1174" t="s">
        <v>122</v>
      </c>
      <c r="D1174" s="3">
        <v>200</v>
      </c>
      <c r="E1174" t="s">
        <v>36</v>
      </c>
      <c r="F1174" t="s">
        <v>134</v>
      </c>
    </row>
    <row r="1175" spans="1:6" x14ac:dyDescent="0.25">
      <c r="A1175">
        <v>20210421</v>
      </c>
      <c r="B1175" t="str">
        <f t="shared" si="29"/>
        <v>137131</v>
      </c>
      <c r="C1175" t="s">
        <v>122</v>
      </c>
      <c r="D1175" s="3">
        <v>29.99</v>
      </c>
      <c r="E1175" t="s">
        <v>557</v>
      </c>
      <c r="F1175" t="s">
        <v>134</v>
      </c>
    </row>
    <row r="1176" spans="1:6" x14ac:dyDescent="0.25">
      <c r="A1176">
        <v>20210421</v>
      </c>
      <c r="B1176" t="str">
        <f t="shared" si="29"/>
        <v>137131</v>
      </c>
      <c r="C1176" t="s">
        <v>122</v>
      </c>
      <c r="D1176" s="3">
        <v>59.95</v>
      </c>
      <c r="E1176" t="s">
        <v>558</v>
      </c>
      <c r="F1176" t="s">
        <v>218</v>
      </c>
    </row>
    <row r="1177" spans="1:6" x14ac:dyDescent="0.25">
      <c r="A1177">
        <v>20210421</v>
      </c>
      <c r="B1177" t="str">
        <f t="shared" ref="B1177:B1190" si="30">"137132"</f>
        <v>137132</v>
      </c>
      <c r="C1177" t="s">
        <v>321</v>
      </c>
      <c r="D1177" s="3">
        <v>698.68</v>
      </c>
      <c r="E1177" t="s">
        <v>165</v>
      </c>
      <c r="F1177" t="s">
        <v>134</v>
      </c>
    </row>
    <row r="1178" spans="1:6" x14ac:dyDescent="0.25">
      <c r="A1178">
        <v>20210421</v>
      </c>
      <c r="B1178" t="str">
        <f t="shared" si="30"/>
        <v>137132</v>
      </c>
      <c r="C1178" t="s">
        <v>321</v>
      </c>
      <c r="D1178" s="3">
        <v>1873.47</v>
      </c>
      <c r="E1178" t="s">
        <v>165</v>
      </c>
      <c r="F1178" t="s">
        <v>134</v>
      </c>
    </row>
    <row r="1179" spans="1:6" x14ac:dyDescent="0.25">
      <c r="A1179">
        <v>20210421</v>
      </c>
      <c r="B1179" t="str">
        <f t="shared" si="30"/>
        <v>137132</v>
      </c>
      <c r="C1179" t="s">
        <v>321</v>
      </c>
      <c r="D1179" s="3">
        <v>1698.75</v>
      </c>
      <c r="E1179" t="s">
        <v>165</v>
      </c>
      <c r="F1179" t="s">
        <v>134</v>
      </c>
    </row>
    <row r="1180" spans="1:6" x14ac:dyDescent="0.25">
      <c r="A1180">
        <v>20210421</v>
      </c>
      <c r="B1180" t="str">
        <f t="shared" si="30"/>
        <v>137132</v>
      </c>
      <c r="C1180" t="s">
        <v>321</v>
      </c>
      <c r="D1180" s="3">
        <v>123.15</v>
      </c>
      <c r="E1180" t="s">
        <v>165</v>
      </c>
      <c r="F1180" t="s">
        <v>134</v>
      </c>
    </row>
    <row r="1181" spans="1:6" x14ac:dyDescent="0.25">
      <c r="A1181">
        <v>20210421</v>
      </c>
      <c r="B1181" t="str">
        <f t="shared" si="30"/>
        <v>137132</v>
      </c>
      <c r="C1181" t="s">
        <v>321</v>
      </c>
      <c r="D1181" s="3">
        <v>353.02</v>
      </c>
      <c r="E1181" t="s">
        <v>165</v>
      </c>
      <c r="F1181" t="s">
        <v>134</v>
      </c>
    </row>
    <row r="1182" spans="1:6" x14ac:dyDescent="0.25">
      <c r="A1182">
        <v>20210421</v>
      </c>
      <c r="B1182" t="str">
        <f t="shared" si="30"/>
        <v>137132</v>
      </c>
      <c r="C1182" t="s">
        <v>321</v>
      </c>
      <c r="D1182" s="3">
        <v>212.93</v>
      </c>
      <c r="E1182" t="s">
        <v>165</v>
      </c>
      <c r="F1182" t="s">
        <v>134</v>
      </c>
    </row>
    <row r="1183" spans="1:6" x14ac:dyDescent="0.25">
      <c r="A1183">
        <v>20210421</v>
      </c>
      <c r="B1183" t="str">
        <f t="shared" si="30"/>
        <v>137132</v>
      </c>
      <c r="C1183" t="s">
        <v>321</v>
      </c>
      <c r="D1183" s="3">
        <v>2136.61</v>
      </c>
      <c r="E1183" t="s">
        <v>165</v>
      </c>
      <c r="F1183" t="s">
        <v>134</v>
      </c>
    </row>
    <row r="1184" spans="1:6" x14ac:dyDescent="0.25">
      <c r="A1184">
        <v>20210421</v>
      </c>
      <c r="B1184" t="str">
        <f t="shared" si="30"/>
        <v>137132</v>
      </c>
      <c r="C1184" t="s">
        <v>321</v>
      </c>
      <c r="D1184" s="3">
        <v>968.87</v>
      </c>
      <c r="E1184" t="s">
        <v>165</v>
      </c>
      <c r="F1184" t="s">
        <v>134</v>
      </c>
    </row>
    <row r="1185" spans="1:6" x14ac:dyDescent="0.25">
      <c r="A1185">
        <v>20210421</v>
      </c>
      <c r="B1185" t="str">
        <f t="shared" si="30"/>
        <v>137132</v>
      </c>
      <c r="C1185" t="s">
        <v>321</v>
      </c>
      <c r="D1185" s="3">
        <v>532.82000000000005</v>
      </c>
      <c r="E1185" t="s">
        <v>165</v>
      </c>
      <c r="F1185" t="s">
        <v>134</v>
      </c>
    </row>
    <row r="1186" spans="1:6" x14ac:dyDescent="0.25">
      <c r="A1186">
        <v>20210421</v>
      </c>
      <c r="B1186" t="str">
        <f t="shared" si="30"/>
        <v>137132</v>
      </c>
      <c r="C1186" t="s">
        <v>321</v>
      </c>
      <c r="D1186" s="3">
        <v>258.79000000000002</v>
      </c>
      <c r="E1186" t="s">
        <v>165</v>
      </c>
      <c r="F1186" t="s">
        <v>134</v>
      </c>
    </row>
    <row r="1187" spans="1:6" x14ac:dyDescent="0.25">
      <c r="A1187">
        <v>20210421</v>
      </c>
      <c r="B1187" t="str">
        <f t="shared" si="30"/>
        <v>137132</v>
      </c>
      <c r="C1187" t="s">
        <v>321</v>
      </c>
      <c r="D1187" s="3">
        <v>121.28</v>
      </c>
      <c r="E1187" t="s">
        <v>165</v>
      </c>
      <c r="F1187" t="s">
        <v>134</v>
      </c>
    </row>
    <row r="1188" spans="1:6" x14ac:dyDescent="0.25">
      <c r="A1188">
        <v>20210421</v>
      </c>
      <c r="B1188" t="str">
        <f t="shared" si="30"/>
        <v>137132</v>
      </c>
      <c r="C1188" t="s">
        <v>321</v>
      </c>
      <c r="D1188" s="3">
        <v>229.54</v>
      </c>
      <c r="E1188" t="s">
        <v>165</v>
      </c>
      <c r="F1188" t="s">
        <v>134</v>
      </c>
    </row>
    <row r="1189" spans="1:6" x14ac:dyDescent="0.25">
      <c r="A1189">
        <v>20210421</v>
      </c>
      <c r="B1189" t="str">
        <f t="shared" si="30"/>
        <v>137132</v>
      </c>
      <c r="C1189" t="s">
        <v>321</v>
      </c>
      <c r="D1189" s="3">
        <v>365.32</v>
      </c>
      <c r="E1189" t="s">
        <v>165</v>
      </c>
      <c r="F1189" t="s">
        <v>134</v>
      </c>
    </row>
    <row r="1190" spans="1:6" x14ac:dyDescent="0.25">
      <c r="A1190">
        <v>20210421</v>
      </c>
      <c r="B1190" t="str">
        <f t="shared" si="30"/>
        <v>137132</v>
      </c>
      <c r="C1190" t="s">
        <v>321</v>
      </c>
      <c r="D1190" s="3">
        <v>435.9</v>
      </c>
      <c r="E1190" t="s">
        <v>165</v>
      </c>
      <c r="F1190" t="s">
        <v>134</v>
      </c>
    </row>
    <row r="1191" spans="1:6" x14ac:dyDescent="0.25">
      <c r="A1191">
        <v>20210423</v>
      </c>
      <c r="B1191" t="str">
        <f>"137134"</f>
        <v>137134</v>
      </c>
      <c r="C1191" t="s">
        <v>559</v>
      </c>
      <c r="D1191" s="4">
        <v>195</v>
      </c>
      <c r="E1191" t="s">
        <v>149</v>
      </c>
      <c r="F1191" t="s">
        <v>143</v>
      </c>
    </row>
    <row r="1192" spans="1:6" x14ac:dyDescent="0.25">
      <c r="D1192" s="3">
        <f>SUM(D2:D1191)</f>
        <v>3886790.0400000024</v>
      </c>
    </row>
  </sheetData>
  <pageMargins left="0.7" right="0.7" top="0.75" bottom="0.75" header="0.3" footer="0.3"/>
  <pageSetup orientation="portrait" copies="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2021-08-31T19:11:17Z</dcterms:created>
  <dcterms:modified xsi:type="dcterms:W3CDTF">2021-08-31T19:14:40Z</dcterms:modified>
</cp:coreProperties>
</file>