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OOLE\Documents\Transparency\Check Registers\2018-2019 Check Registers\"/>
    </mc:Choice>
  </mc:AlternateContent>
  <bookViews>
    <workbookView xWindow="0" yWindow="0" windowWidth="28800" windowHeight="12300"/>
  </bookViews>
  <sheets>
    <sheet name="October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18" i="1" l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4" i="1"/>
  <c r="B1377" i="1"/>
  <c r="B1376" i="1"/>
  <c r="B1375" i="1"/>
  <c r="B1378" i="1"/>
  <c r="B1350" i="1"/>
  <c r="B1345" i="1"/>
  <c r="B1344" i="1"/>
  <c r="B1358" i="1"/>
  <c r="B1357" i="1"/>
  <c r="B1356" i="1"/>
  <c r="B1353" i="1"/>
  <c r="B1343" i="1"/>
  <c r="B1342" i="1"/>
  <c r="B1365" i="1"/>
  <c r="B1341" i="1"/>
  <c r="B1340" i="1"/>
  <c r="B1364" i="1"/>
  <c r="B1363" i="1"/>
  <c r="B1362" i="1"/>
  <c r="B1361" i="1"/>
  <c r="B1360" i="1"/>
  <c r="B1355" i="1"/>
  <c r="B1354" i="1"/>
  <c r="B1337" i="1"/>
  <c r="B1336" i="1"/>
  <c r="B1349" i="1"/>
  <c r="B1367" i="1"/>
  <c r="B1348" i="1"/>
  <c r="B1347" i="1"/>
  <c r="B1346" i="1"/>
  <c r="B1351" i="1"/>
  <c r="B1359" i="1"/>
  <c r="B1339" i="1"/>
  <c r="B1338" i="1"/>
  <c r="B1372" i="1"/>
  <c r="B1371" i="1"/>
  <c r="B1370" i="1"/>
  <c r="B1369" i="1"/>
  <c r="B1368" i="1"/>
  <c r="B1352" i="1"/>
  <c r="B1373" i="1"/>
  <c r="B1366" i="1"/>
  <c r="B1335" i="1"/>
  <c r="B1334" i="1"/>
  <c r="B1288" i="1"/>
  <c r="B1302" i="1"/>
  <c r="B1280" i="1"/>
  <c r="B1268" i="1"/>
  <c r="B1282" i="1"/>
  <c r="B1283" i="1"/>
  <c r="B1284" i="1"/>
  <c r="B1285" i="1"/>
  <c r="B1292" i="1"/>
  <c r="B1291" i="1"/>
  <c r="B1290" i="1"/>
  <c r="B1289" i="1"/>
  <c r="B1286" i="1"/>
  <c r="B1270" i="1"/>
  <c r="B1308" i="1"/>
  <c r="B1307" i="1"/>
  <c r="B1260" i="1"/>
  <c r="B1272" i="1"/>
  <c r="B1279" i="1"/>
  <c r="B1278" i="1"/>
  <c r="B1277" i="1"/>
  <c r="B1276" i="1"/>
  <c r="B1275" i="1"/>
  <c r="B1274" i="1"/>
  <c r="B1273" i="1"/>
  <c r="B1265" i="1"/>
  <c r="B1331" i="1"/>
  <c r="B1330" i="1"/>
  <c r="B1329" i="1"/>
  <c r="B1332" i="1"/>
  <c r="B1333" i="1"/>
  <c r="B1328" i="1"/>
  <c r="B1269" i="1"/>
  <c r="B1309" i="1"/>
  <c r="B1301" i="1"/>
  <c r="B1315" i="1"/>
  <c r="B1306" i="1"/>
  <c r="B1305" i="1"/>
  <c r="B1304" i="1"/>
  <c r="B1303" i="1"/>
  <c r="B1310" i="1"/>
  <c r="B1267" i="1"/>
  <c r="B1293" i="1"/>
  <c r="B1311" i="1"/>
  <c r="B1287" i="1"/>
  <c r="B1266" i="1"/>
  <c r="B1281" i="1"/>
  <c r="B1264" i="1"/>
  <c r="B1263" i="1"/>
  <c r="B1262" i="1"/>
  <c r="B1300" i="1"/>
  <c r="B1271" i="1"/>
  <c r="B1261" i="1"/>
  <c r="B1314" i="1"/>
  <c r="B1313" i="1"/>
  <c r="B1312" i="1"/>
  <c r="B1294" i="1"/>
  <c r="B1299" i="1"/>
  <c r="B1298" i="1"/>
  <c r="B1297" i="1"/>
  <c r="B1296" i="1"/>
  <c r="B1295" i="1"/>
  <c r="B1321" i="1"/>
  <c r="B1320" i="1"/>
  <c r="B1319" i="1"/>
  <c r="B1318" i="1"/>
  <c r="B1317" i="1"/>
  <c r="B1316" i="1"/>
  <c r="B1327" i="1"/>
  <c r="B1326" i="1"/>
  <c r="B1325" i="1"/>
  <c r="B1324" i="1"/>
  <c r="B1323" i="1"/>
  <c r="B1322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3" i="1"/>
  <c r="B1185" i="1"/>
  <c r="B1184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3" i="1"/>
  <c r="B1155" i="1"/>
  <c r="B1154" i="1"/>
  <c r="B1147" i="1"/>
  <c r="B1151" i="1"/>
  <c r="B1150" i="1"/>
  <c r="B1149" i="1"/>
  <c r="B1148" i="1"/>
  <c r="B1152" i="1"/>
  <c r="B1146" i="1"/>
  <c r="B1145" i="1"/>
  <c r="B1144" i="1"/>
  <c r="B1143" i="1"/>
  <c r="B1142" i="1"/>
  <c r="B1141" i="1"/>
  <c r="B1139" i="1"/>
  <c r="B1140" i="1"/>
  <c r="B1138" i="1"/>
  <c r="B1136" i="1"/>
  <c r="B1137" i="1"/>
  <c r="B1135" i="1"/>
  <c r="B1134" i="1"/>
  <c r="B1133" i="1"/>
  <c r="B1132" i="1"/>
  <c r="B1131" i="1"/>
  <c r="B1130" i="1"/>
  <c r="B1129" i="1"/>
  <c r="B1128" i="1"/>
  <c r="B1127" i="1"/>
  <c r="B1126" i="1"/>
  <c r="B1125" i="1"/>
  <c r="B1089" i="1"/>
  <c r="B1088" i="1"/>
  <c r="B1087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24" i="1"/>
  <c r="B1102" i="1"/>
  <c r="B1101" i="1"/>
  <c r="B1100" i="1"/>
  <c r="B1099" i="1"/>
  <c r="B1096" i="1"/>
  <c r="B1095" i="1"/>
  <c r="B1086" i="1"/>
  <c r="B1085" i="1"/>
  <c r="B1084" i="1"/>
  <c r="B1083" i="1"/>
  <c r="B1094" i="1"/>
  <c r="B1093" i="1"/>
  <c r="B1092" i="1"/>
  <c r="B1091" i="1"/>
  <c r="B1090" i="1"/>
  <c r="B1105" i="1"/>
  <c r="B1104" i="1"/>
  <c r="B1103" i="1"/>
  <c r="B1098" i="1"/>
  <c r="B1097" i="1"/>
  <c r="B1082" i="1"/>
  <c r="B1081" i="1"/>
  <c r="B1080" i="1"/>
  <c r="B1079" i="1"/>
  <c r="B1078" i="1"/>
  <c r="B1077" i="1"/>
  <c r="B1076" i="1"/>
  <c r="B1075" i="1"/>
  <c r="B1074" i="1"/>
  <c r="B1071" i="1"/>
  <c r="B1068" i="1"/>
  <c r="B1070" i="1"/>
  <c r="B1069" i="1"/>
  <c r="B1073" i="1"/>
  <c r="B1072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2" i="1"/>
  <c r="B1043" i="1"/>
  <c r="B1044" i="1"/>
  <c r="B1013" i="1"/>
  <c r="B1041" i="1"/>
  <c r="B1029" i="1"/>
  <c r="B1028" i="1"/>
  <c r="B1027" i="1"/>
  <c r="B1026" i="1"/>
  <c r="B1040" i="1"/>
  <c r="B1033" i="1"/>
  <c r="B1025" i="1"/>
  <c r="B1010" i="1"/>
  <c r="B1039" i="1"/>
  <c r="B1024" i="1"/>
  <c r="B1023" i="1"/>
  <c r="B1038" i="1"/>
  <c r="B1032" i="1"/>
  <c r="B1022" i="1"/>
  <c r="B1012" i="1"/>
  <c r="B1011" i="1"/>
  <c r="B1037" i="1"/>
  <c r="B1021" i="1"/>
  <c r="B1009" i="1"/>
  <c r="B1020" i="1"/>
  <c r="B1019" i="1"/>
  <c r="B1018" i="1"/>
  <c r="B1036" i="1"/>
  <c r="B1031" i="1"/>
  <c r="B1017" i="1"/>
  <c r="B1008" i="1"/>
  <c r="B1035" i="1"/>
  <c r="B1016" i="1"/>
  <c r="B1015" i="1"/>
  <c r="B1034" i="1"/>
  <c r="B1030" i="1"/>
  <c r="B1014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1" i="1"/>
  <c r="B980" i="1"/>
  <c r="B979" i="1"/>
  <c r="B978" i="1"/>
  <c r="B977" i="1"/>
  <c r="B976" i="1"/>
  <c r="B975" i="1"/>
  <c r="B974" i="1"/>
  <c r="B982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7" i="1"/>
  <c r="B959" i="1"/>
  <c r="B958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8" i="1"/>
  <c r="B877" i="1"/>
  <c r="B879" i="1"/>
  <c r="B872" i="1"/>
  <c r="B871" i="1"/>
  <c r="B869" i="1"/>
  <c r="B870" i="1"/>
  <c r="B874" i="1"/>
  <c r="B873" i="1"/>
  <c r="B876" i="1"/>
  <c r="B875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6" i="1"/>
  <c r="B849" i="1"/>
  <c r="B848" i="1"/>
  <c r="B847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795" i="1"/>
  <c r="B824" i="1"/>
  <c r="B823" i="1"/>
  <c r="B822" i="1"/>
  <c r="B821" i="1"/>
  <c r="B794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3" i="1"/>
  <c r="B792" i="1"/>
  <c r="B790" i="1"/>
  <c r="B789" i="1"/>
  <c r="B788" i="1"/>
  <c r="B791" i="1"/>
  <c r="B787" i="1"/>
  <c r="B786" i="1"/>
  <c r="B785" i="1"/>
  <c r="B783" i="1"/>
  <c r="B784" i="1"/>
  <c r="B780" i="1"/>
  <c r="B782" i="1"/>
  <c r="B781" i="1"/>
  <c r="B779" i="1"/>
  <c r="B778" i="1"/>
  <c r="B777" i="1"/>
  <c r="B776" i="1"/>
  <c r="B775" i="1"/>
  <c r="B774" i="1"/>
  <c r="B773" i="1"/>
  <c r="B772" i="1"/>
  <c r="B771" i="1"/>
  <c r="B766" i="1"/>
  <c r="B770" i="1"/>
  <c r="B768" i="1"/>
  <c r="B767" i="1"/>
  <c r="B765" i="1"/>
  <c r="B769" i="1"/>
  <c r="B764" i="1"/>
  <c r="B763" i="1"/>
  <c r="B762" i="1"/>
  <c r="B761" i="1"/>
  <c r="B760" i="1"/>
  <c r="B757" i="1"/>
  <c r="B759" i="1"/>
  <c r="B758" i="1"/>
  <c r="B756" i="1"/>
  <c r="B755" i="1"/>
  <c r="B754" i="1"/>
  <c r="B752" i="1"/>
  <c r="B751" i="1"/>
  <c r="B753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0" i="1"/>
  <c r="B733" i="1"/>
  <c r="B732" i="1"/>
  <c r="B729" i="1"/>
  <c r="B731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0" i="1"/>
  <c r="B711" i="1"/>
  <c r="B713" i="1"/>
  <c r="B712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1" i="1"/>
  <c r="B622" i="1"/>
  <c r="B624" i="1"/>
  <c r="B623" i="1"/>
  <c r="B626" i="1"/>
  <c r="B625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7" i="1"/>
  <c r="B608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5" i="1"/>
  <c r="B586" i="1"/>
  <c r="B584" i="1"/>
  <c r="B583" i="1"/>
  <c r="B582" i="1"/>
  <c r="B581" i="1"/>
  <c r="B580" i="1"/>
  <c r="B579" i="1"/>
  <c r="B578" i="1"/>
  <c r="B577" i="1"/>
  <c r="B576" i="1"/>
  <c r="B573" i="1"/>
  <c r="B575" i="1"/>
  <c r="B574" i="1"/>
  <c r="B572" i="1"/>
  <c r="B571" i="1"/>
  <c r="B570" i="1"/>
  <c r="B569" i="1"/>
  <c r="B568" i="1"/>
  <c r="B566" i="1"/>
  <c r="B565" i="1"/>
  <c r="B567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64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07" i="1"/>
  <c r="B506" i="1"/>
  <c r="B515" i="1"/>
  <c r="B514" i="1"/>
  <c r="B511" i="1"/>
  <c r="B510" i="1"/>
  <c r="B505" i="1"/>
  <c r="B504" i="1"/>
  <c r="B513" i="1"/>
  <c r="B509" i="1"/>
  <c r="B508" i="1"/>
  <c r="B501" i="1"/>
  <c r="B500" i="1"/>
  <c r="B499" i="1"/>
  <c r="B503" i="1"/>
  <c r="B502" i="1"/>
  <c r="B498" i="1"/>
  <c r="B497" i="1"/>
  <c r="B496" i="1"/>
  <c r="B495" i="1"/>
  <c r="B494" i="1"/>
  <c r="B493" i="1"/>
  <c r="B512" i="1"/>
  <c r="B492" i="1"/>
  <c r="B491" i="1"/>
  <c r="B490" i="1"/>
  <c r="B487" i="1"/>
  <c r="B489" i="1"/>
  <c r="B488" i="1"/>
  <c r="B486" i="1"/>
  <c r="B485" i="1"/>
  <c r="B484" i="1"/>
  <c r="B483" i="1"/>
  <c r="B482" i="1"/>
  <c r="B481" i="1"/>
  <c r="B479" i="1"/>
  <c r="B480" i="1"/>
  <c r="B478" i="1"/>
  <c r="B477" i="1"/>
  <c r="B476" i="1"/>
  <c r="B475" i="1"/>
  <c r="B474" i="1"/>
  <c r="B473" i="1"/>
  <c r="B472" i="1"/>
  <c r="B471" i="1"/>
  <c r="B469" i="1"/>
  <c r="B470" i="1"/>
  <c r="B468" i="1"/>
  <c r="B467" i="1"/>
  <c r="B466" i="1"/>
  <c r="B465" i="1"/>
  <c r="B464" i="1"/>
  <c r="B452" i="1"/>
  <c r="B463" i="1"/>
  <c r="B462" i="1"/>
  <c r="B461" i="1"/>
  <c r="B460" i="1"/>
  <c r="B453" i="1"/>
  <c r="B459" i="1"/>
  <c r="B458" i="1"/>
  <c r="B457" i="1"/>
  <c r="B456" i="1"/>
  <c r="B455" i="1"/>
  <c r="B454" i="1"/>
  <c r="B450" i="1"/>
  <c r="B451" i="1"/>
  <c r="B449" i="1"/>
  <c r="B448" i="1"/>
  <c r="B447" i="1"/>
  <c r="B441" i="1"/>
  <c r="B446" i="1"/>
  <c r="B445" i="1"/>
  <c r="B444" i="1"/>
  <c r="B443" i="1"/>
  <c r="B442" i="1"/>
  <c r="B440" i="1"/>
  <c r="B439" i="1"/>
  <c r="B438" i="1"/>
  <c r="B437" i="1"/>
  <c r="B436" i="1"/>
  <c r="B435" i="1"/>
  <c r="B434" i="1"/>
  <c r="B432" i="1"/>
  <c r="B431" i="1"/>
  <c r="B433" i="1"/>
  <c r="B424" i="1"/>
  <c r="B430" i="1"/>
  <c r="B429" i="1"/>
  <c r="B428" i="1"/>
  <c r="B427" i="1"/>
  <c r="B426" i="1"/>
  <c r="B425" i="1"/>
  <c r="B423" i="1"/>
  <c r="B422" i="1"/>
  <c r="B419" i="1"/>
  <c r="B421" i="1"/>
  <c r="B420" i="1"/>
  <c r="B418" i="1"/>
  <c r="B417" i="1"/>
  <c r="B416" i="1"/>
  <c r="B415" i="1"/>
  <c r="B414" i="1"/>
  <c r="B413" i="1"/>
  <c r="B412" i="1"/>
  <c r="B407" i="1"/>
  <c r="B406" i="1"/>
  <c r="B408" i="1"/>
  <c r="B411" i="1"/>
  <c r="B409" i="1"/>
  <c r="B410" i="1"/>
  <c r="B405" i="1"/>
  <c r="B374" i="1"/>
  <c r="B370" i="1"/>
  <c r="B372" i="1"/>
  <c r="B395" i="1"/>
  <c r="B394" i="1"/>
  <c r="B383" i="1"/>
  <c r="B393" i="1"/>
  <c r="B376" i="1"/>
  <c r="B369" i="1"/>
  <c r="B392" i="1"/>
  <c r="B382" i="1"/>
  <c r="B368" i="1"/>
  <c r="B391" i="1"/>
  <c r="B390" i="1"/>
  <c r="B381" i="1"/>
  <c r="B373" i="1"/>
  <c r="B367" i="1"/>
  <c r="B371" i="1"/>
  <c r="B363" i="1"/>
  <c r="B389" i="1"/>
  <c r="B388" i="1"/>
  <c r="B362" i="1"/>
  <c r="B361" i="1"/>
  <c r="B360" i="1"/>
  <c r="B380" i="1"/>
  <c r="B387" i="1"/>
  <c r="B375" i="1"/>
  <c r="B366" i="1"/>
  <c r="B386" i="1"/>
  <c r="B379" i="1"/>
  <c r="B378" i="1"/>
  <c r="B365" i="1"/>
  <c r="B359" i="1"/>
  <c r="B385" i="1"/>
  <c r="B384" i="1"/>
  <c r="B377" i="1"/>
  <c r="B404" i="1"/>
  <c r="B401" i="1"/>
  <c r="B400" i="1"/>
  <c r="B403" i="1"/>
  <c r="B402" i="1"/>
  <c r="B399" i="1"/>
  <c r="B398" i="1"/>
  <c r="B397" i="1"/>
  <c r="B396" i="1"/>
  <c r="B364" i="1"/>
  <c r="B358" i="1"/>
  <c r="B355" i="1"/>
  <c r="B354" i="1"/>
  <c r="B353" i="1"/>
  <c r="B352" i="1"/>
  <c r="B351" i="1"/>
  <c r="B350" i="1"/>
  <c r="B349" i="1"/>
  <c r="B348" i="1"/>
  <c r="B357" i="1"/>
  <c r="B356" i="1"/>
  <c r="B343" i="1"/>
  <c r="B346" i="1"/>
  <c r="B345" i="1"/>
  <c r="B344" i="1"/>
  <c r="B347" i="1"/>
  <c r="B342" i="1"/>
  <c r="B341" i="1"/>
  <c r="B340" i="1"/>
  <c r="B339" i="1"/>
  <c r="B338" i="1"/>
  <c r="B337" i="1"/>
  <c r="B336" i="1"/>
  <c r="B334" i="1"/>
  <c r="B333" i="1"/>
  <c r="B332" i="1"/>
  <c r="B335" i="1"/>
  <c r="B331" i="1"/>
  <c r="B330" i="1"/>
  <c r="B329" i="1"/>
  <c r="B328" i="1"/>
  <c r="B327" i="1"/>
  <c r="B326" i="1"/>
  <c r="B325" i="1"/>
  <c r="B324" i="1"/>
  <c r="B323" i="1"/>
  <c r="B322" i="1"/>
  <c r="B320" i="1"/>
  <c r="B321" i="1"/>
  <c r="B312" i="1"/>
  <c r="B316" i="1"/>
  <c r="B315" i="1"/>
  <c r="B313" i="1"/>
  <c r="B314" i="1"/>
  <c r="B311" i="1"/>
  <c r="B319" i="1"/>
  <c r="B318" i="1"/>
  <c r="B317" i="1"/>
  <c r="B309" i="1"/>
  <c r="B310" i="1"/>
  <c r="B308" i="1"/>
  <c r="B307" i="1"/>
  <c r="B306" i="1"/>
  <c r="B305" i="1"/>
  <c r="B304" i="1"/>
  <c r="B303" i="1"/>
  <c r="B300" i="1"/>
  <c r="B302" i="1"/>
  <c r="B301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3" i="1"/>
  <c r="B282" i="1"/>
  <c r="B285" i="1"/>
  <c r="B280" i="1"/>
  <c r="B281" i="1"/>
  <c r="B284" i="1"/>
  <c r="B279" i="1"/>
  <c r="B278" i="1"/>
  <c r="B277" i="1"/>
  <c r="B276" i="1"/>
  <c r="B275" i="1"/>
  <c r="B274" i="1"/>
  <c r="B273" i="1"/>
  <c r="B271" i="1"/>
  <c r="B270" i="1"/>
  <c r="B269" i="1"/>
  <c r="B272" i="1"/>
  <c r="B268" i="1"/>
  <c r="B265" i="1"/>
  <c r="B264" i="1"/>
  <c r="B263" i="1"/>
  <c r="B267" i="1"/>
  <c r="B266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34" i="1"/>
  <c r="B250" i="1"/>
  <c r="B249" i="1"/>
  <c r="B248" i="1"/>
  <c r="B247" i="1"/>
  <c r="B233" i="1"/>
  <c r="B246" i="1"/>
  <c r="B245" i="1"/>
  <c r="B244" i="1"/>
  <c r="B243" i="1"/>
  <c r="B242" i="1"/>
  <c r="B241" i="1"/>
  <c r="B232" i="1"/>
  <c r="B240" i="1"/>
  <c r="B239" i="1"/>
  <c r="B231" i="1"/>
  <c r="B238" i="1"/>
  <c r="B237" i="1"/>
  <c r="B236" i="1"/>
  <c r="B235" i="1"/>
  <c r="B230" i="1"/>
  <c r="B229" i="1"/>
  <c r="B228" i="1"/>
  <c r="B227" i="1"/>
  <c r="B226" i="1"/>
  <c r="B225" i="1"/>
  <c r="B224" i="1"/>
  <c r="B218" i="1"/>
  <c r="B223" i="1"/>
  <c r="B222" i="1"/>
  <c r="B221" i="1"/>
  <c r="B220" i="1"/>
  <c r="B219" i="1"/>
  <c r="B217" i="1"/>
  <c r="B216" i="1"/>
  <c r="B215" i="1"/>
  <c r="B214" i="1"/>
  <c r="B213" i="1"/>
  <c r="B212" i="1"/>
  <c r="B211" i="1"/>
  <c r="B210" i="1"/>
  <c r="B179" i="1"/>
  <c r="B204" i="1"/>
  <c r="B206" i="1"/>
  <c r="B207" i="1"/>
  <c r="B205" i="1"/>
  <c r="B209" i="1"/>
  <c r="B180" i="1"/>
  <c r="B198" i="1"/>
  <c r="B197" i="1"/>
  <c r="B192" i="1"/>
  <c r="B184" i="1"/>
  <c r="B208" i="1"/>
  <c r="B183" i="1"/>
  <c r="B191" i="1"/>
  <c r="B189" i="1"/>
  <c r="B188" i="1"/>
  <c r="B203" i="1"/>
  <c r="B187" i="1"/>
  <c r="B202" i="1"/>
  <c r="B186" i="1"/>
  <c r="B185" i="1"/>
  <c r="B201" i="1"/>
  <c r="B196" i="1"/>
  <c r="B195" i="1"/>
  <c r="B200" i="1"/>
  <c r="B199" i="1"/>
  <c r="B194" i="1"/>
  <c r="B193" i="1"/>
  <c r="B182" i="1"/>
  <c r="B181" i="1"/>
  <c r="B190" i="1"/>
  <c r="B178" i="1"/>
  <c r="B177" i="1"/>
  <c r="B173" i="1"/>
  <c r="B164" i="1"/>
  <c r="B172" i="1"/>
  <c r="B160" i="1"/>
  <c r="B159" i="1"/>
  <c r="B166" i="1"/>
  <c r="B165" i="1"/>
  <c r="B158" i="1"/>
  <c r="B176" i="1"/>
  <c r="B161" i="1"/>
  <c r="B168" i="1"/>
  <c r="B171" i="1"/>
  <c r="B167" i="1"/>
  <c r="B163" i="1"/>
  <c r="B162" i="1"/>
  <c r="B170" i="1"/>
  <c r="B175" i="1"/>
  <c r="B174" i="1"/>
  <c r="B169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17" i="1"/>
  <c r="B121" i="1"/>
  <c r="B120" i="1"/>
  <c r="B119" i="1"/>
  <c r="B118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5" i="1"/>
  <c r="B84" i="1"/>
  <c r="B86" i="1"/>
  <c r="B83" i="1"/>
  <c r="B82" i="1"/>
  <c r="B81" i="1"/>
  <c r="B80" i="1"/>
  <c r="B79" i="1"/>
  <c r="B78" i="1"/>
  <c r="B77" i="1"/>
  <c r="B76" i="1"/>
  <c r="B75" i="1"/>
  <c r="B74" i="1"/>
  <c r="B73" i="1"/>
  <c r="B71" i="1"/>
  <c r="B70" i="1"/>
  <c r="B72" i="1"/>
  <c r="B69" i="1"/>
  <c r="B68" i="1"/>
  <c r="B67" i="1"/>
  <c r="B66" i="1"/>
  <c r="B65" i="1"/>
  <c r="B64" i="1"/>
  <c r="B63" i="1"/>
  <c r="B62" i="1"/>
  <c r="B61" i="1"/>
  <c r="B60" i="1"/>
  <c r="B59" i="1"/>
  <c r="B57" i="1"/>
  <c r="B58" i="1"/>
  <c r="B56" i="1"/>
  <c r="B55" i="1"/>
  <c r="B54" i="1"/>
  <c r="B53" i="1"/>
  <c r="B52" i="1"/>
  <c r="B51" i="1"/>
  <c r="B50" i="1"/>
  <c r="B49" i="1"/>
  <c r="B48" i="1"/>
  <c r="B47" i="1"/>
  <c r="B46" i="1"/>
  <c r="B41" i="1"/>
  <c r="B40" i="1"/>
  <c r="B43" i="1"/>
  <c r="B42" i="1"/>
  <c r="B45" i="1"/>
  <c r="B44" i="1"/>
  <c r="B39" i="1"/>
  <c r="B38" i="1"/>
  <c r="B37" i="1"/>
  <c r="B36" i="1"/>
  <c r="B35" i="1"/>
  <c r="B34" i="1"/>
  <c r="B33" i="1"/>
  <c r="B32" i="1"/>
  <c r="B31" i="1"/>
  <c r="B30" i="1"/>
  <c r="B28" i="1"/>
  <c r="B29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<sst xmlns="http://schemas.openxmlformats.org/spreadsheetml/2006/main" count="4254" uniqueCount="798">
  <si>
    <t>Check Date</t>
  </si>
  <si>
    <t>Check #</t>
  </si>
  <si>
    <t>Vendor</t>
  </si>
  <si>
    <t>Amount</t>
  </si>
  <si>
    <t>Description</t>
  </si>
  <si>
    <t xml:space="preserve">Fund </t>
  </si>
  <si>
    <t>APPLE, INC.</t>
  </si>
  <si>
    <t>EQUIPMENT/PO #807500</t>
  </si>
  <si>
    <t xml:space="preserve">2015 CAPITAL PROJECTS </t>
  </si>
  <si>
    <t>FREY SCIENTIFIC</t>
  </si>
  <si>
    <t>SUPPLIES/PO #807145</t>
  </si>
  <si>
    <t xml:space="preserve">TEX-OMA BUILDERS SUPPLY </t>
  </si>
  <si>
    <t>EQUIPMENT/PO #806104</t>
  </si>
  <si>
    <t xml:space="preserve">LONE STAR FURNISHINGS, </t>
  </si>
  <si>
    <t>FURNITURE/PO #806949</t>
  </si>
  <si>
    <t>JON M WARREN, LLC</t>
  </si>
  <si>
    <t xml:space="preserve">ELEMENTARY #5/FIBER </t>
  </si>
  <si>
    <t xml:space="preserve">ALEDO ISD EDUCATION </t>
  </si>
  <si>
    <t>Hospitality Fund Memorial</t>
  </si>
  <si>
    <t>CAMPUS ACTIVITY FUNDS</t>
  </si>
  <si>
    <t xml:space="preserve">ALEDO ISD GENERAL </t>
  </si>
  <si>
    <t>CORRECT DEPOSIT ERROR</t>
  </si>
  <si>
    <t>Yearbook Equipment</t>
  </si>
  <si>
    <t xml:space="preserve">YMCA of METROPOLITIAN </t>
  </si>
  <si>
    <t>5TH GR FIELD TRIP</t>
  </si>
  <si>
    <t>DEMCO, INC</t>
  </si>
  <si>
    <t>Library Supplies</t>
  </si>
  <si>
    <t>MARK OF EXCELLENCE</t>
  </si>
  <si>
    <t>SUPPLIES</t>
  </si>
  <si>
    <t>ECHO EDUCATION SERVICES</t>
  </si>
  <si>
    <t>STUDENT FIELD TRIP</t>
  </si>
  <si>
    <t>FIRST FINANCIAL BANK</t>
  </si>
  <si>
    <t xml:space="preserve">STUDENT MEALS - DEBATE </t>
  </si>
  <si>
    <t>Petty Cash Reimbursements</t>
  </si>
  <si>
    <t>FITNESS FINDERS</t>
  </si>
  <si>
    <t>PE SUPPLIES</t>
  </si>
  <si>
    <t xml:space="preserve">FOLLETT SCHOOL </t>
  </si>
  <si>
    <t>Books -To Kill a Mockingbird</t>
  </si>
  <si>
    <t>Library Book Order</t>
  </si>
  <si>
    <t>GREENE'S FLORIST</t>
  </si>
  <si>
    <t>HOMECOMING SUPPLIES</t>
  </si>
  <si>
    <t>HAHN ENTERPRISES</t>
  </si>
  <si>
    <t xml:space="preserve">LAKESHORE LEARNING </t>
  </si>
  <si>
    <t>SUPPLIES/PO #807230</t>
  </si>
  <si>
    <t xml:space="preserve">PREMIER VENDING </t>
  </si>
  <si>
    <t>STAFF SUPPLIES</t>
  </si>
  <si>
    <t>R &amp; R BOTTLED WATER CO.</t>
  </si>
  <si>
    <t>SCHOLASTIC BOOK FAIRS</t>
  </si>
  <si>
    <t>BOOK FAIR</t>
  </si>
  <si>
    <t xml:space="preserve">SCRIPPS NATIONAL </t>
  </si>
  <si>
    <t>2019 Spelling Bee</t>
  </si>
  <si>
    <t>TBP PRODUCTIONS, LLP</t>
  </si>
  <si>
    <t>ANNUAL ACCOUNT RENEWAL</t>
  </si>
  <si>
    <t xml:space="preserve">SOUTHWEST BINDING &amp; </t>
  </si>
  <si>
    <t>Lamination Re-Order</t>
  </si>
  <si>
    <t>WALMART COMMUNITY</t>
  </si>
  <si>
    <t>Grandparents' Day Supplies</t>
  </si>
  <si>
    <t>Grandparents' Day</t>
  </si>
  <si>
    <t>WATCH D.O.G.S.</t>
  </si>
  <si>
    <t>COUNSELOR SUPPLIES</t>
  </si>
  <si>
    <t>WP CLEANERS</t>
  </si>
  <si>
    <t>DRYCLEANING</t>
  </si>
  <si>
    <t>YEP! PRODUCTIONS</t>
  </si>
  <si>
    <t>Yearbook Staff Tees</t>
  </si>
  <si>
    <t>CHEER CAMP</t>
  </si>
  <si>
    <t xml:space="preserve">STUDENT ACTIVITY </t>
  </si>
  <si>
    <t xml:space="preserve">ARLINGTON ISD-SEGUIN </t>
  </si>
  <si>
    <t>ENTRY FEE</t>
  </si>
  <si>
    <t>BIRDVILLE HIGH GOLF</t>
  </si>
  <si>
    <t>BLUE MOOSE TEES</t>
  </si>
  <si>
    <t xml:space="preserve">STUDENT COUNCIL </t>
  </si>
  <si>
    <t>BRAZOS LOGO SHOP, LLC</t>
  </si>
  <si>
    <t>BROCK HIGH SCHOOL</t>
  </si>
  <si>
    <t>ENTRY FEES</t>
  </si>
  <si>
    <t xml:space="preserve">CARDINAL'S SPORT CENTER, </t>
  </si>
  <si>
    <t>Supplies</t>
  </si>
  <si>
    <t xml:space="preserve">DEANAN GOURMET </t>
  </si>
  <si>
    <t xml:space="preserve">SUPPLIES/STUDENT </t>
  </si>
  <si>
    <t>Cheer - September Dance</t>
  </si>
  <si>
    <t>DURAN'S CHARTER SERVICE</t>
  </si>
  <si>
    <t>Student Travel</t>
  </si>
  <si>
    <t>EATON HIGH SCHOOL</t>
  </si>
  <si>
    <t xml:space="preserve">CLAY EWELL EDUCATIONAL </t>
  </si>
  <si>
    <t xml:space="preserve">JUDGING </t>
  </si>
  <si>
    <t>GRAFXPROMOTIONS, LLC</t>
  </si>
  <si>
    <t xml:space="preserve">GRANBURY BOYS GOLF </t>
  </si>
  <si>
    <t>ADRIAN HAMPTON</t>
  </si>
  <si>
    <t>CHOREOGRAPHY</t>
  </si>
  <si>
    <t xml:space="preserve">LEGACY HIGH SCHOOL GOLF </t>
  </si>
  <si>
    <t>LEONARD GOLF LINKS</t>
  </si>
  <si>
    <t>SUPPLIES/GOLF</t>
  </si>
  <si>
    <t>RODDY MCCURLEY</t>
  </si>
  <si>
    <t>ATHLETICS - REFUND</t>
  </si>
  <si>
    <t xml:space="preserve">NATIONAL FFA </t>
  </si>
  <si>
    <t xml:space="preserve">NORTHWEST ISD ATHLETIC </t>
  </si>
  <si>
    <t>PITSCO, INC</t>
  </si>
  <si>
    <t>REGISTRATION</t>
  </si>
  <si>
    <t>TASC DISTRICT 3</t>
  </si>
  <si>
    <t>STUDENT COUNCIL</t>
  </si>
  <si>
    <t xml:space="preserve">TEAM EXPRESS </t>
  </si>
  <si>
    <t>STUDENT MEALS</t>
  </si>
  <si>
    <t>STUDENT MEALS/BAND</t>
  </si>
  <si>
    <t>X-GRAIN SPORTSWEAR</t>
  </si>
  <si>
    <t>2018 STUDENT COUNCIL T-</t>
  </si>
  <si>
    <t>START UP CASH</t>
  </si>
  <si>
    <t xml:space="preserve">CASH DRAWER STARTUP </t>
  </si>
  <si>
    <t>SAMUEL FRENCH, INC.</t>
  </si>
  <si>
    <t xml:space="preserve">MUSICAL MATERIALS </t>
  </si>
  <si>
    <t>ROYALTY FEE/MUSICAL</t>
  </si>
  <si>
    <t>REGISTRATION FEES</t>
  </si>
  <si>
    <t>STUDENT COUNCIL TRIP</t>
  </si>
  <si>
    <t>FIELD TRIP</t>
  </si>
  <si>
    <t xml:space="preserve">AAV-ATHANS AUDIO VISUAL, </t>
  </si>
  <si>
    <t xml:space="preserve">CARTWRIGHT MEMORIAL </t>
  </si>
  <si>
    <t>INSTRUCTIONAL SUPPLIES</t>
  </si>
  <si>
    <t>BRANDON KEY</t>
  </si>
  <si>
    <t>CONTRACT SERVICES</t>
  </si>
  <si>
    <t>ELIJAH ARCHIBALD</t>
  </si>
  <si>
    <t xml:space="preserve">GREEN MEADOWS </t>
  </si>
  <si>
    <t>FIELD TRIP-SECOND GRADE</t>
  </si>
  <si>
    <t>CAMPUS TSHIRTS</t>
  </si>
  <si>
    <t>JOSH RITCHEY</t>
  </si>
  <si>
    <t>MAINSTAY FARM</t>
  </si>
  <si>
    <t>STUDENT FIELD TRIP-KINDER</t>
  </si>
  <si>
    <t>PEROT MUSEUM</t>
  </si>
  <si>
    <t>FIELD TRIP/3RD GRADE</t>
  </si>
  <si>
    <t>QUILL CORPORATION</t>
  </si>
  <si>
    <t>SUPPLIES/YEARBOOK</t>
  </si>
  <si>
    <t>CREDIT</t>
  </si>
  <si>
    <t>LIBRARY BOOK FAIR</t>
  </si>
  <si>
    <t>SCHOLASTIC, INC.</t>
  </si>
  <si>
    <t xml:space="preserve">THE VIRTUAL MEET </t>
  </si>
  <si>
    <t>UIL MEET</t>
  </si>
  <si>
    <t>WAY 2 CUTE DESIGNS</t>
  </si>
  <si>
    <t>HOCO SUPPLIES</t>
  </si>
  <si>
    <t>SUPPLIES/GENERAL-AMS</t>
  </si>
  <si>
    <t>ANDYMARK, INC</t>
  </si>
  <si>
    <t>CHOIR SUPPLIES</t>
  </si>
  <si>
    <t>CHICK FIL A BENBROOK</t>
  </si>
  <si>
    <t xml:space="preserve">EDUCATIONAL THEATRE </t>
  </si>
  <si>
    <t>ANNUAL MEMBERSHIP DUES</t>
  </si>
  <si>
    <t>FEDEX CORPORATION</t>
  </si>
  <si>
    <t>FOUR SEASONS TOURS</t>
  </si>
  <si>
    <t>SPRING TRIP INSTALLMENT</t>
  </si>
  <si>
    <t>FRIO-HYDRATION, LLC</t>
  </si>
  <si>
    <t>EQUIPMENT</t>
  </si>
  <si>
    <t xml:space="preserve">GAS &amp; SUPPLY NORTH </t>
  </si>
  <si>
    <t>WELDING/AHS</t>
  </si>
  <si>
    <t>HARTNESS PRINT CENTRAL</t>
  </si>
  <si>
    <t>SUPPLIES/THEATRE</t>
  </si>
  <si>
    <t xml:space="preserve">MUSIC THEATRE </t>
  </si>
  <si>
    <t>Campus Theatre</t>
  </si>
  <si>
    <t>NASSP</t>
  </si>
  <si>
    <t>ANNUAL DUES - NJHS</t>
  </si>
  <si>
    <t>FFA SUPPLIES</t>
  </si>
  <si>
    <t>OMNI FORT WORTH HOTEL</t>
  </si>
  <si>
    <t>BAND BANQUET DEPOSIT</t>
  </si>
  <si>
    <t>SUNBEAM FOODS INC</t>
  </si>
  <si>
    <t xml:space="preserve">VARSITY BRANDS HOLDING </t>
  </si>
  <si>
    <t>CHOREOGRAPHY/CHEERLEA</t>
  </si>
  <si>
    <t xml:space="preserve">MASTERCARD - JP MORGAN </t>
  </si>
  <si>
    <t>TEACHER APPRECIATION</t>
  </si>
  <si>
    <t>General - New Students</t>
  </si>
  <si>
    <t>CAMPUS HOSPITALITY ACCT</t>
  </si>
  <si>
    <t>STAFF APPRECIATION</t>
  </si>
  <si>
    <t>LIBRARY SUPPLIES</t>
  </si>
  <si>
    <t xml:space="preserve">MASTERCARD-JP MORGAN </t>
  </si>
  <si>
    <t>COMPUTER SUPPLIES</t>
  </si>
  <si>
    <t>STUDENT MEALS/PO #900342</t>
  </si>
  <si>
    <t>FLOWERS/PO #900362</t>
  </si>
  <si>
    <t>FLOWERS/PO #900698</t>
  </si>
  <si>
    <t>STUDENT MEALS/PO #900801</t>
  </si>
  <si>
    <t xml:space="preserve">STUDENT TRAVEL/PO </t>
  </si>
  <si>
    <t>STUDENT MEALS/PO #900292</t>
  </si>
  <si>
    <t>STUDENT MEALS/PO #900294</t>
  </si>
  <si>
    <t>STUDENT MEALS/PO #900295</t>
  </si>
  <si>
    <t>STUDENT MEALS/PO #900304</t>
  </si>
  <si>
    <t>STUDENT MEALS/PO #900343</t>
  </si>
  <si>
    <t>STUDENT MEALS/PO #900101</t>
  </si>
  <si>
    <t>SUPPLIES/PO #900791</t>
  </si>
  <si>
    <t>STUDENT MEALS/PO #900152</t>
  </si>
  <si>
    <t>STUDENT MEALS/PO #900511</t>
  </si>
  <si>
    <t>STUDENT MEALS/PO #900875</t>
  </si>
  <si>
    <t>STUDENT MEALS/PO #900876</t>
  </si>
  <si>
    <t>CREDIT/PY7280</t>
  </si>
  <si>
    <t>SUPPLIES/PO #900795</t>
  </si>
  <si>
    <t>SUPPLIES/PO #900355</t>
  </si>
  <si>
    <t>SUPPLIES/PO #900700</t>
  </si>
  <si>
    <t>SUPPLIES/PO #900390</t>
  </si>
  <si>
    <t>SUPPLIES/PO #900129</t>
  </si>
  <si>
    <t>CREDIT/PO #900129</t>
  </si>
  <si>
    <t>SUPPLIES/PO #900258</t>
  </si>
  <si>
    <t>GENERAL FUND</t>
  </si>
  <si>
    <t>UNITED STATES TREASURY</t>
  </si>
  <si>
    <t>SALES &amp; USE TAX PAYMENT</t>
  </si>
  <si>
    <t>AISD BEARCAT STORE</t>
  </si>
  <si>
    <t xml:space="preserve">ARBITERPAY TRUST ACCT </t>
  </si>
  <si>
    <t>GAME OFFICIALS</t>
  </si>
  <si>
    <t>CO-CURRICULAR FUND</t>
  </si>
  <si>
    <t>STEVEN E TEAS</t>
  </si>
  <si>
    <t>EQUIPMENT/PO #807000</t>
  </si>
  <si>
    <t>A+ COMPUTER SCIENCE</t>
  </si>
  <si>
    <t>CURRICULUM RENEWAL</t>
  </si>
  <si>
    <t xml:space="preserve">ADVANCED GLASS SYSTEMS, </t>
  </si>
  <si>
    <t>REPLACE BROKEN WINDOWS</t>
  </si>
  <si>
    <t>ALEDO ISD CHILD NUTRITION</t>
  </si>
  <si>
    <t>BOARD MEETING</t>
  </si>
  <si>
    <t>ALTERNATOR SERVICE, INC.</t>
  </si>
  <si>
    <t>BUS SUPPLIES/PARTS</t>
  </si>
  <si>
    <t>INSTRUCTIONAL MATERIALS</t>
  </si>
  <si>
    <t>ASBO INTERNATIONAL</t>
  </si>
  <si>
    <t>ANNUAL MEMBERSHIP</t>
  </si>
  <si>
    <t>ASEL ART SUPPLY</t>
  </si>
  <si>
    <t xml:space="preserve">INSTRUCTIONAL SUPPLIES - </t>
  </si>
  <si>
    <t>BENNETT'S OFFICE SUPPLY</t>
  </si>
  <si>
    <t xml:space="preserve">NATL BREAKFAST/LUNCH </t>
  </si>
  <si>
    <t xml:space="preserve">BEST BUY FOR GOV'T AND </t>
  </si>
  <si>
    <t>TECHNOLOGY EQUIPMENT</t>
  </si>
  <si>
    <t>BORDEN DAIRY COMPANY</t>
  </si>
  <si>
    <t>FOOD SUPPLIES</t>
  </si>
  <si>
    <t>CN CREDIT</t>
  </si>
  <si>
    <t>BRACKETT &amp; ELLIS, PC</t>
  </si>
  <si>
    <t>LEGAL SERVICES</t>
  </si>
  <si>
    <t>BRAIN POP</t>
  </si>
  <si>
    <t>SUBSCRIPTION</t>
  </si>
  <si>
    <t xml:space="preserve">BUECHLER &amp; ASSOCIATES, P. </t>
  </si>
  <si>
    <t>C.D. HARTNETT</t>
  </si>
  <si>
    <t>Concession Supplies</t>
  </si>
  <si>
    <t>CONCESSION SUPPLIES</t>
  </si>
  <si>
    <t>CREDIT/PO #900367</t>
  </si>
  <si>
    <t xml:space="preserve">CARRIER SALES &amp; </t>
  </si>
  <si>
    <t>SUPPLIES/PO #806717</t>
  </si>
  <si>
    <t>CN CREDIT/PRIOR YEAR</t>
  </si>
  <si>
    <t>REPLACE COMPRESSOR</t>
  </si>
  <si>
    <t>TRISHA CAUDILL</t>
  </si>
  <si>
    <t>STAFF DEV - PER DIEM</t>
  </si>
  <si>
    <t>CDW GOVERNMENT, INC</t>
  </si>
  <si>
    <t>EQUIPMENT/PO #807757</t>
  </si>
  <si>
    <t xml:space="preserve">CHICKEN EXPRESS-WILLOW </t>
  </si>
  <si>
    <t>Professional Development</t>
  </si>
  <si>
    <t xml:space="preserve">CITY OF FORT WORTH </t>
  </si>
  <si>
    <t>UTILITY</t>
  </si>
  <si>
    <t>CLASSLINK. INC</t>
  </si>
  <si>
    <t>LICENSE RENEWAL</t>
  </si>
  <si>
    <t>CMAC, LLC</t>
  </si>
  <si>
    <t>Student Travel - Charter</t>
  </si>
  <si>
    <t xml:space="preserve">COLLEGE BOARD </t>
  </si>
  <si>
    <t>ANNUAL MEMBERSHIP FEE</t>
  </si>
  <si>
    <t xml:space="preserve">CORNISH MEDICAL </t>
  </si>
  <si>
    <t xml:space="preserve">CURRICULUM ASSOCIATES, </t>
  </si>
  <si>
    <t>DELL, INC.</t>
  </si>
  <si>
    <t>EQUIPMENT/PO #807519</t>
  </si>
  <si>
    <t>CREDIT/PO #804270</t>
  </si>
  <si>
    <t>CREDIT/PO #706698</t>
  </si>
  <si>
    <t>TECHNOLOGY EQUIP</t>
  </si>
  <si>
    <t>ELLEN DENNEY</t>
  </si>
  <si>
    <t>Food Handler Class &amp; Card</t>
  </si>
  <si>
    <t>DR PEPPER</t>
  </si>
  <si>
    <t>FOOD</t>
  </si>
  <si>
    <t>ECOLAB</t>
  </si>
  <si>
    <t>ELLIOTT ELECTRIC SUPPLY</t>
  </si>
  <si>
    <t>SUPPLIES/PO #807711</t>
  </si>
  <si>
    <t xml:space="preserve">FRONTLINE TECHNOLOGIES </t>
  </si>
  <si>
    <t>ANNUAL RENEWAL</t>
  </si>
  <si>
    <t xml:space="preserve">EWING IRRIGATION &amp; GOLF </t>
  </si>
  <si>
    <t>SUPPLIES/PO #807383</t>
  </si>
  <si>
    <t>REBECCA G FAULKNER</t>
  </si>
  <si>
    <t>STAFF DEVELOPMENT</t>
  </si>
  <si>
    <t>LIBRARY BOOKS</t>
  </si>
  <si>
    <t>SUPPLIES/PO #807346</t>
  </si>
  <si>
    <t xml:space="preserve">FULL COMPASS SYSTEMS, </t>
  </si>
  <si>
    <t>HEAD SETS/AHS STADIUM</t>
  </si>
  <si>
    <t>MATTHEW ROBERT GARRETT</t>
  </si>
  <si>
    <t>AHS BAND ROYALTIES</t>
  </si>
  <si>
    <t>CYLANDER LEASE/AG MECH</t>
  </si>
  <si>
    <t>GOPHER SPORTS</t>
  </si>
  <si>
    <t>STADIUM SUPPLIES</t>
  </si>
  <si>
    <t>BEARCAT STORE SUPPLIES</t>
  </si>
  <si>
    <t>GRAINGER</t>
  </si>
  <si>
    <t>WALK IN COOLER REPAIR</t>
  </si>
  <si>
    <t>DOOR SWEEPS</t>
  </si>
  <si>
    <t>MATERIAL</t>
  </si>
  <si>
    <t>LIGHTS REPLACEMENT</t>
  </si>
  <si>
    <t>PLUMBING REPAIRS</t>
  </si>
  <si>
    <t>HVAC MATERIAL</t>
  </si>
  <si>
    <t>SYMPATHY PLANT</t>
  </si>
  <si>
    <t>HAIGOOD &amp; CAMPBELL, LLC</t>
  </si>
  <si>
    <t>FUEL</t>
  </si>
  <si>
    <t>PROPANE</t>
  </si>
  <si>
    <t>SPED SUPPLIES</t>
  </si>
  <si>
    <t xml:space="preserve">HEATHER'S OLD SKOOL </t>
  </si>
  <si>
    <t>TRANSITION SERVICE</t>
  </si>
  <si>
    <t>HEINEMANN</t>
  </si>
  <si>
    <t xml:space="preserve">HERITAGE FOOD SERVICE </t>
  </si>
  <si>
    <t xml:space="preserve">REPAIRS/STADIUM </t>
  </si>
  <si>
    <t xml:space="preserve">KITCHEN EQUIPMENT </t>
  </si>
  <si>
    <t>REPAIRS AMS KITCHEN</t>
  </si>
  <si>
    <t>BD HOLT CO</t>
  </si>
  <si>
    <t>HOUGHTON HORNS, LLC</t>
  </si>
  <si>
    <t>BAND INSTRUMENT</t>
  </si>
  <si>
    <t>IMAGINATION STATION, INC</t>
  </si>
  <si>
    <t>CURRICULUM MATERIALS</t>
  </si>
  <si>
    <t xml:space="preserve">INSTRUCTIONAL MATERIALS </t>
  </si>
  <si>
    <t>IMAGINE LEARNING, INC</t>
  </si>
  <si>
    <t>IMCAT</t>
  </si>
  <si>
    <t>IXL LEARNING</t>
  </si>
  <si>
    <t>ANNUAL SITE LICENSE</t>
  </si>
  <si>
    <t xml:space="preserve">ESEA TITLE I-A IMPROVING </t>
  </si>
  <si>
    <t>JW PEPPER &amp; SON, INC.</t>
  </si>
  <si>
    <t>CREDIT/PO #805717</t>
  </si>
  <si>
    <t>SUBSCRIPTIONS/CHOIR</t>
  </si>
  <si>
    <t>CHARMS REPLACEMENT</t>
  </si>
  <si>
    <t>KLEMENT DISTRIBUTION, INC</t>
  </si>
  <si>
    <t>FOOD SUPPLIES/PO #807661</t>
  </si>
  <si>
    <t>FOOD SUPPLIES/PO #807683</t>
  </si>
  <si>
    <t>food</t>
  </si>
  <si>
    <t>ICE CREAM</t>
  </si>
  <si>
    <t>LABATT FOOD SERVICE</t>
  </si>
  <si>
    <t>FOOD/NON-FOOD/PO #807631</t>
  </si>
  <si>
    <t>FOOD/NON-FOOD/PO #807664</t>
  </si>
  <si>
    <t>FOOD/NON-FOOD/PO #807677</t>
  </si>
  <si>
    <t>FOOD/NON-FOOD/PO #807675</t>
  </si>
  <si>
    <t>FOOD/NON FOOD</t>
  </si>
  <si>
    <t>FOOD/NONFOOD</t>
  </si>
  <si>
    <t>food/non</t>
  </si>
  <si>
    <t>food - non food</t>
  </si>
  <si>
    <t>FOOD AND NON FOOD</t>
  </si>
  <si>
    <t>LEARNING A-Z, INC</t>
  </si>
  <si>
    <t>Instructional Materials</t>
  </si>
  <si>
    <t>LENNOX</t>
  </si>
  <si>
    <t>SUPPLIES/PO #807332</t>
  </si>
  <si>
    <t>SUPPLIES/PO #807331</t>
  </si>
  <si>
    <t>SUPPLIES/PO #807530</t>
  </si>
  <si>
    <t>REPAIRS AT AHS</t>
  </si>
  <si>
    <t>HVAC SUPPLIES</t>
  </si>
  <si>
    <t>UNIFORMS</t>
  </si>
  <si>
    <t xml:space="preserve">LIVE IT AGAIN </t>
  </si>
  <si>
    <t>PROFESSIONAL SERVICES</t>
  </si>
  <si>
    <t xml:space="preserve">LONE STAR BANNERS &amp; </t>
  </si>
  <si>
    <t>FURNITURE/PO #807527</t>
  </si>
  <si>
    <t>LONE STAR LEARNING</t>
  </si>
  <si>
    <t>JENNIFER LORICK</t>
  </si>
  <si>
    <t>REFUND/CN BALANCE</t>
  </si>
  <si>
    <t>MAKEMUSIC, INC</t>
  </si>
  <si>
    <t>SMARTMUSIC ACCESS</t>
  </si>
  <si>
    <t>MATTHEW'S OFFICE CITY</t>
  </si>
  <si>
    <t>OFFICE SUPPLIES</t>
  </si>
  <si>
    <t>MAXIM INCENTIVES</t>
  </si>
  <si>
    <t xml:space="preserve">MOLLIE GREGORY TOWER, </t>
  </si>
  <si>
    <t>UIL SUPPLIES</t>
  </si>
  <si>
    <t>MORITZ OF FORT WORTH</t>
  </si>
  <si>
    <t>SUPPLIES/PARTS</t>
  </si>
  <si>
    <t>CREDIT/PO #900204</t>
  </si>
  <si>
    <t xml:space="preserve">NATIONAL WHOLESALE </t>
  </si>
  <si>
    <t>PLUMBING SUPPLIES</t>
  </si>
  <si>
    <t>MATERIALS</t>
  </si>
  <si>
    <t xml:space="preserve">REPLACE WATER HEATER AT </t>
  </si>
  <si>
    <t>NAVIANCE, INC</t>
  </si>
  <si>
    <t xml:space="preserve">NORMAN RADIATOR </t>
  </si>
  <si>
    <t xml:space="preserve">NORTH TEXAS TOLLWAY </t>
  </si>
  <si>
    <t>TOLL CHARGE/STAFF DEV</t>
  </si>
  <si>
    <t xml:space="preserve">TOLL CHARGE/STUDENT </t>
  </si>
  <si>
    <t xml:space="preserve">NORTHWEST ENGRAVERS, </t>
  </si>
  <si>
    <t>Name Tags</t>
  </si>
  <si>
    <t>NRH20 MUSIC FESTIVAL</t>
  </si>
  <si>
    <t>CONTEST ENTRY FEE</t>
  </si>
  <si>
    <t>NTCA</t>
  </si>
  <si>
    <t xml:space="preserve">NUTRI-LINK TECHNOLOGIES, </t>
  </si>
  <si>
    <t xml:space="preserve">CONT SERVICESNUTRI APP </t>
  </si>
  <si>
    <t xml:space="preserve">CONT SERVICES/NCAFE </t>
  </si>
  <si>
    <t>OFFICE DEPOT, INC.</t>
  </si>
  <si>
    <t>SOCIAL STUDIES SUPPLIES</t>
  </si>
  <si>
    <t>CREDIT/PO #900053</t>
  </si>
  <si>
    <t xml:space="preserve">O'REILLY AUTO </t>
  </si>
  <si>
    <t>SHOP SUPPLIES</t>
  </si>
  <si>
    <t>OTC BRANDS, INC.</t>
  </si>
  <si>
    <t>Dictionaries</t>
  </si>
  <si>
    <t>AR Supplies</t>
  </si>
  <si>
    <t>PACCAR LEASING COMPANY</t>
  </si>
  <si>
    <t>TRUCK LEASE/BAND TRAVEL</t>
  </si>
  <si>
    <t>PARKER COUNTY CO-OP</t>
  </si>
  <si>
    <t xml:space="preserve">BLUEBONNET CO-OP </t>
  </si>
  <si>
    <t>PASCHALL HIGH SCHOOL</t>
  </si>
  <si>
    <t>PASCO BROKERAGE, INC.</t>
  </si>
  <si>
    <t>EQUIPMENT/PO #807397</t>
  </si>
  <si>
    <t>PBS of TEXAS, LLC</t>
  </si>
  <si>
    <t xml:space="preserve">CUSTODIAL SERVICES/SEPT </t>
  </si>
  <si>
    <t>PEARSON ASSESSMENTS</t>
  </si>
  <si>
    <t xml:space="preserve">PENSKE TRUCK LEASING, </t>
  </si>
  <si>
    <t>BAND TRAVEL</t>
  </si>
  <si>
    <t>PEP WEAR, LLC</t>
  </si>
  <si>
    <t>SUPPLIES/PO #807740</t>
  </si>
  <si>
    <t xml:space="preserve">PHILLIPS WELDING SUPPLY, </t>
  </si>
  <si>
    <t>CTE SUPPLIES</t>
  </si>
  <si>
    <t xml:space="preserve">PNC EQUIPMENT FINANCE, </t>
  </si>
  <si>
    <t>ANNUAL PAYMENT</t>
  </si>
  <si>
    <t xml:space="preserve">STADIUM/GYM </t>
  </si>
  <si>
    <t>POSITIVE PROOF, INC</t>
  </si>
  <si>
    <t>Raptor Labels</t>
  </si>
  <si>
    <t>RAPTOR SUPPLIES</t>
  </si>
  <si>
    <t xml:space="preserve">PRECISION BUSINESS </t>
  </si>
  <si>
    <t>Poster Supplies</t>
  </si>
  <si>
    <t xml:space="preserve">PUBLIC WORKERS </t>
  </si>
  <si>
    <t>WORKERS COMP PROGRAM</t>
  </si>
  <si>
    <t>Instructional Supplies - LOTE</t>
  </si>
  <si>
    <t>School/Office Supplies</t>
  </si>
  <si>
    <t>R. CRAIG STEPHENS</t>
  </si>
  <si>
    <t>Food</t>
  </si>
  <si>
    <t>PRODUCE</t>
  </si>
  <si>
    <t>R.E. MAINTENANCE</t>
  </si>
  <si>
    <t>STATE INSPECTIONS</t>
  </si>
  <si>
    <t>RACHEL'S CHALLENGE</t>
  </si>
  <si>
    <t>Rachel's Challenge Program</t>
  </si>
  <si>
    <t>TITLE II, PART A TPTR</t>
  </si>
  <si>
    <t xml:space="preserve">RAPTOR TECHNOLOGIES, </t>
  </si>
  <si>
    <t>RAPTOR SYSTEM SUPPLIES</t>
  </si>
  <si>
    <t>READY REFRESH by NESTLE</t>
  </si>
  <si>
    <t>REALLY GOOD STUFF, LLC</t>
  </si>
  <si>
    <t xml:space="preserve">RICHLAND HIGH SCHOOL </t>
  </si>
  <si>
    <t>SCANTRON CORPORATION</t>
  </si>
  <si>
    <t xml:space="preserve">SCARBROUGH MEDLIN </t>
  </si>
  <si>
    <t>ANNUAL PREMIUM</t>
  </si>
  <si>
    <t>SCHOOL-LABELS.COM, INC</t>
  </si>
  <si>
    <t>REBECCA SIMICEK</t>
  </si>
  <si>
    <t>MILLIE SMITH</t>
  </si>
  <si>
    <t>SOCIAL SENTINEL, INC</t>
  </si>
  <si>
    <t xml:space="preserve">COMMAND CTR SOFTWARE </t>
  </si>
  <si>
    <t xml:space="preserve">ED FOUNDATION GRANT </t>
  </si>
  <si>
    <t>SOLUTION TREE, INC</t>
  </si>
  <si>
    <t>LAMINATING FILM</t>
  </si>
  <si>
    <t>Library - Supplies</t>
  </si>
  <si>
    <t xml:space="preserve">SOUTHWEST INTL TRUCKS, </t>
  </si>
  <si>
    <t xml:space="preserve">SPARTAN ATHLETIC CLUB </t>
  </si>
  <si>
    <t>TAMMY SPITLER</t>
  </si>
  <si>
    <t xml:space="preserve">FOOD HANDLERS CARD &amp; </t>
  </si>
  <si>
    <t xml:space="preserve">CORPORATE EMPLOYEES </t>
  </si>
  <si>
    <t>Practice Facility Fee</t>
  </si>
  <si>
    <t>STUDIES WEEKLY</t>
  </si>
  <si>
    <t>TWP, INC</t>
  </si>
  <si>
    <t>SWAGIT PRODUCTIONS, LLC</t>
  </si>
  <si>
    <t>VIDEO STREAMING SERVICE</t>
  </si>
  <si>
    <t xml:space="preserve">SWANK MOVIE LICENSING </t>
  </si>
  <si>
    <t>LIBRARY SUBSCRIPTIONS</t>
  </si>
  <si>
    <t>TASA</t>
  </si>
  <si>
    <t xml:space="preserve">STAFF DEVELOPMENT/PO </t>
  </si>
  <si>
    <t>TASBO</t>
  </si>
  <si>
    <t>ANNUAL MEMBERSHIP FEES</t>
  </si>
  <si>
    <t>TCEA</t>
  </si>
  <si>
    <t>TCU - TBRI</t>
  </si>
  <si>
    <t>TEACHER SYNERGY, LLC</t>
  </si>
  <si>
    <t xml:space="preserve">INSTRUCTIONAL </t>
  </si>
  <si>
    <t>MATH MATERIALS</t>
  </si>
  <si>
    <t>TEMPLETON DEMOGRAPHICS</t>
  </si>
  <si>
    <t>DEMOGRAPHIC SERVICE</t>
  </si>
  <si>
    <t>TEPSA</t>
  </si>
  <si>
    <t>TEPSA Membership Renewal</t>
  </si>
  <si>
    <t xml:space="preserve">PROFESSIONAL </t>
  </si>
  <si>
    <t>Membership</t>
  </si>
  <si>
    <t>TEXARKANA ISD ATHLETICS</t>
  </si>
  <si>
    <t xml:space="preserve">TEXAS COUNSELING </t>
  </si>
  <si>
    <t>TEXAS SPORTSWEAR</t>
  </si>
  <si>
    <t>THEATREFOLK LTD</t>
  </si>
  <si>
    <t>ROYALTIES</t>
  </si>
  <si>
    <t>RANDY TICKLE</t>
  </si>
  <si>
    <t xml:space="preserve">TISCA - TX </t>
  </si>
  <si>
    <t>STAFF MEMBERSHIP DUES</t>
  </si>
  <si>
    <t>TJ  OILFIELD  SERVICES, LLC</t>
  </si>
  <si>
    <t>EQUIPMENT REPAIRS</t>
  </si>
  <si>
    <t xml:space="preserve">TMEA REGION 30 BAND </t>
  </si>
  <si>
    <t>BAND ENTRY FEES</t>
  </si>
  <si>
    <t xml:space="preserve">TMEA REGION 30 MS VOCAL </t>
  </si>
  <si>
    <t>ENTRY FEES/CHOIR</t>
  </si>
  <si>
    <t xml:space="preserve">TMEA REGION 30 VOCAL </t>
  </si>
  <si>
    <t xml:space="preserve">TOTAL FILTRATION </t>
  </si>
  <si>
    <t>SUPPLIES/PO #807494</t>
  </si>
  <si>
    <t xml:space="preserve">REPLACE FILTERS IN A/C </t>
  </si>
  <si>
    <t>TOTE UNLIMITED</t>
  </si>
  <si>
    <t>SUPPLIES/PO #807738</t>
  </si>
  <si>
    <t xml:space="preserve">HAZMAT ENVIRONMENTAL </t>
  </si>
  <si>
    <t xml:space="preserve">LAB PACK DISPOSTA/PO </t>
  </si>
  <si>
    <t xml:space="preserve">TX PUBLIC UNEMPLOYMENT </t>
  </si>
  <si>
    <t>2017-2018 AUDIT BALANCE</t>
  </si>
  <si>
    <t>UNIFIRST HOLDINGS, INC</t>
  </si>
  <si>
    <t>SUPPLIES/PO #807558</t>
  </si>
  <si>
    <t>UNIFORM SERVICE</t>
  </si>
  <si>
    <t>UPS</t>
  </si>
  <si>
    <t>SHIPPING SERVICE</t>
  </si>
  <si>
    <t>US SCHOOL SUPPLY, INC.</t>
  </si>
  <si>
    <t>VARSITY SPIRIT FASHIONS</t>
  </si>
  <si>
    <t xml:space="preserve">VERNON LIBRARY SUPPLIES, </t>
  </si>
  <si>
    <t>CHERYL WALLACE</t>
  </si>
  <si>
    <t>Food Handler Training Course</t>
  </si>
  <si>
    <t>SUPPLIES/PO #807457</t>
  </si>
  <si>
    <t>SUPPLIES/PO #807517</t>
  </si>
  <si>
    <t>SUPPLIES/PO #807428</t>
  </si>
  <si>
    <t>FOOD/CATERING</t>
  </si>
  <si>
    <t>FOOD/CATER</t>
  </si>
  <si>
    <t>WGI SPORT OF THE ARTS</t>
  </si>
  <si>
    <t xml:space="preserve">WINZER FRANCHISE </t>
  </si>
  <si>
    <t>YOUR PERSONAL CHEF, LLC</t>
  </si>
  <si>
    <t>BLT Meeting Expense</t>
  </si>
  <si>
    <t>ZONAR SYSTEMS, INC</t>
  </si>
  <si>
    <t>FUEL SYSTEM/PO #807528</t>
  </si>
  <si>
    <t>AT&amp;T</t>
  </si>
  <si>
    <t>AT&amp;T LONG DISTANCE</t>
  </si>
  <si>
    <t>AT&amp;T MOBILITY</t>
  </si>
  <si>
    <t>ATMOS ENERGY</t>
  </si>
  <si>
    <t xml:space="preserve">CAVALLO ENERGY TEXAS, </t>
  </si>
  <si>
    <t>CITY OF ALEDO</t>
  </si>
  <si>
    <t>CITY OF WILLOW PARK</t>
  </si>
  <si>
    <t>CTRMA PROCESSING</t>
  </si>
  <si>
    <t xml:space="preserve">FORT WORTH METRO </t>
  </si>
  <si>
    <t>JD PALATINE, LLC</t>
  </si>
  <si>
    <t>BACKGROUNG SERVICE</t>
  </si>
  <si>
    <t>KELLER HIGH SCHOOL</t>
  </si>
  <si>
    <t>ENTRY FEE/SWIMMING</t>
  </si>
  <si>
    <t>LYNN MCKINNEY</t>
  </si>
  <si>
    <t xml:space="preserve">MSB CONSULTING GROUP, </t>
  </si>
  <si>
    <t>SHARS ADMINISTRATION</t>
  </si>
  <si>
    <t xml:space="preserve">MULTIFORCE SYSTEMS </t>
  </si>
  <si>
    <t>FUEL MANAGEMENT SYSTEM</t>
  </si>
  <si>
    <t>PURCHASE POWER</t>
  </si>
  <si>
    <t>POSTAGE</t>
  </si>
  <si>
    <t>REPUBLIC SERVICES</t>
  </si>
  <si>
    <t xml:space="preserve">RIDDELL/ALL AMERICAN </t>
  </si>
  <si>
    <t>SUPPLIES/PO #900168</t>
  </si>
  <si>
    <t>SUPPLIES/PO #900290</t>
  </si>
  <si>
    <t>SUPPLIES/PO #900167</t>
  </si>
  <si>
    <t>EQUIPMENT/PO #900168</t>
  </si>
  <si>
    <t>TEXAS GAS SERVICE</t>
  </si>
  <si>
    <t>TOWN OF ANNETTA</t>
  </si>
  <si>
    <t>XEROX CORPORATION</t>
  </si>
  <si>
    <t>XEEROX LEASE</t>
  </si>
  <si>
    <t>CREDIT/LEASE</t>
  </si>
  <si>
    <t>XEROX LEASE</t>
  </si>
  <si>
    <t>806 TECHNOLOGIES, INC</t>
  </si>
  <si>
    <t>PLAN4LEARNING SOFTWARE</t>
  </si>
  <si>
    <t>A/C SUPPLY COMPANY</t>
  </si>
  <si>
    <t>REPAIRS ON EQUIPMENT</t>
  </si>
  <si>
    <t>ABEL SANCHEZ</t>
  </si>
  <si>
    <t>ALL REGION JAZZ CLINICIAN</t>
  </si>
  <si>
    <t>ACCO BRANDS USA, LLC</t>
  </si>
  <si>
    <t xml:space="preserve">ACE EDUCATIONAL </t>
  </si>
  <si>
    <t>ESL Supplies</t>
  </si>
  <si>
    <t>TITLE III, LEP</t>
  </si>
  <si>
    <t xml:space="preserve">ADVANCED CONNECTIONS, </t>
  </si>
  <si>
    <t xml:space="preserve">CABLING SERVICE/PO </t>
  </si>
  <si>
    <t>ANNUAL LICENSE</t>
  </si>
  <si>
    <t xml:space="preserve">AGENCY 405-TX DEPT OF </t>
  </si>
  <si>
    <t>SBEC/FINGERPRINTING</t>
  </si>
  <si>
    <t>ALEDO ISD ACTIVITY FUND</t>
  </si>
  <si>
    <t xml:space="preserve">AMERICAN CLASSIC MUSIC </t>
  </si>
  <si>
    <t>Computer Supplies</t>
  </si>
  <si>
    <t>TECH EQUIPMENT</t>
  </si>
  <si>
    <t>APRIL O WRIGHT</t>
  </si>
  <si>
    <t xml:space="preserve">FOOD HANDLERS </t>
  </si>
  <si>
    <t>AWARD CENTER</t>
  </si>
  <si>
    <t>AWARDS/INCENTIVES</t>
  </si>
  <si>
    <t xml:space="preserve">BARNES &amp; NOBLE </t>
  </si>
  <si>
    <t>BILLY J. STICE</t>
  </si>
  <si>
    <t>CHAIN CREW</t>
  </si>
  <si>
    <t>CHAIN CREWC</t>
  </si>
  <si>
    <t>BIRDVILLE HIGH SCHOOL</t>
  </si>
  <si>
    <t>BOBBY RIGUES</t>
  </si>
  <si>
    <t>PARKING REIMBURSEMENT</t>
  </si>
  <si>
    <t>BOSWELL HIGH SCHOOL</t>
  </si>
  <si>
    <t>BUCK'S WHEEL &amp; EQUIPMENT</t>
  </si>
  <si>
    <t>BURLESON CENTENNIAL</t>
  </si>
  <si>
    <t>PRE-SALE TICKETS</t>
  </si>
  <si>
    <t>BYTESPEED, LLC</t>
  </si>
  <si>
    <t>TECH EQUIP</t>
  </si>
  <si>
    <t>EQUIPMENT/PO #806937</t>
  </si>
  <si>
    <t>EQUIPMENT/PO #807378</t>
  </si>
  <si>
    <t xml:space="preserve">CAROLINA BIOLOGICAL </t>
  </si>
  <si>
    <t>CAROLYN S McGAHA</t>
  </si>
  <si>
    <t>CATHOLIC CHARITIES</t>
  </si>
  <si>
    <t>ESL TRANSLATION SERVICES</t>
  </si>
  <si>
    <t>STAFF DEV/SUPPLIES</t>
  </si>
  <si>
    <t>CHARLES ERNEST PRILL, JR.</t>
  </si>
  <si>
    <t>CHARLES ROBERT PRILL</t>
  </si>
  <si>
    <t>CHEM-AQUA</t>
  </si>
  <si>
    <t>CONTRACT SERVICE</t>
  </si>
  <si>
    <t>CHRISTIAN D PAARUP</t>
  </si>
  <si>
    <t>TROMBONE MASTERCLASS</t>
  </si>
  <si>
    <t xml:space="preserve">CLEAR FORK MATERIALS, </t>
  </si>
  <si>
    <t>ROAD REPAIRS-BUS LOOP</t>
  </si>
  <si>
    <t xml:space="preserve">CONVERGINT </t>
  </si>
  <si>
    <t>CYNTHIA ANDREWS</t>
  </si>
  <si>
    <t xml:space="preserve">CYNTHIA LANSFORD </t>
  </si>
  <si>
    <t>BAND CLINICIAN</t>
  </si>
  <si>
    <t>DANCE SOPHISTICATES, INC.</t>
  </si>
  <si>
    <t>COLORGUARD UNIFORMS</t>
  </si>
  <si>
    <t>DAWN M CUNNINGHAM</t>
  </si>
  <si>
    <t>SUPPLIES/PO #806617</t>
  </si>
  <si>
    <t>SUPPLIES/PO #807184</t>
  </si>
  <si>
    <t>SUPPLIES/LIBRARY</t>
  </si>
  <si>
    <t>DEXTER TENNELL</t>
  </si>
  <si>
    <t>DICK BLICK COMPANY</t>
  </si>
  <si>
    <t xml:space="preserve">DIRECTOR'S CHOICE TOUR &amp; </t>
  </si>
  <si>
    <t>ENTRY FEES/BAND</t>
  </si>
  <si>
    <t>DPS GENERAL SERVICES</t>
  </si>
  <si>
    <t>INSTR SUPPLIES/THEATRE</t>
  </si>
  <si>
    <t xml:space="preserve">EBSCO SUBSCRIPTION </t>
  </si>
  <si>
    <t>Subscription - Renewal</t>
  </si>
  <si>
    <t>EQUIP REPAIR</t>
  </si>
  <si>
    <t xml:space="preserve">EDUCATION SERVICE </t>
  </si>
  <si>
    <t>TxVSN1/SUMMER 2018</t>
  </si>
  <si>
    <t>TxVSN2/SUMMER 2018</t>
  </si>
  <si>
    <t>TxVSN3/SUMMER 2018</t>
  </si>
  <si>
    <t>ANNUAL CONTRACT</t>
  </si>
  <si>
    <t xml:space="preserve">EDUCATIONAL SERVICE </t>
  </si>
  <si>
    <t>APPLE IPAD</t>
  </si>
  <si>
    <t>ELECTRICAL SUPPLIES</t>
  </si>
  <si>
    <t>ETC LITE, INC</t>
  </si>
  <si>
    <t>CONSULTING SERVICE</t>
  </si>
  <si>
    <t xml:space="preserve">FIRETROL PROTECTION </t>
  </si>
  <si>
    <t>FLAGHOUSE</t>
  </si>
  <si>
    <t>FLINN SCIENTIFIC, INC.</t>
  </si>
  <si>
    <t>FLIPPEN GROUP</t>
  </si>
  <si>
    <t>TITLE IV, PART A</t>
  </si>
  <si>
    <t>FRANKLIN GARZA</t>
  </si>
  <si>
    <t>ALEDO BAND</t>
  </si>
  <si>
    <t xml:space="preserve">FRONTLINE TECHNOLOGIES, </t>
  </si>
  <si>
    <t>HR SERVICES</t>
  </si>
  <si>
    <t xml:space="preserve">FW MUSEUM OF SCIENCE &amp; </t>
  </si>
  <si>
    <t>FIELD TRIP/SCIENCE</t>
  </si>
  <si>
    <t>BEARCAT STORE INVENTORY</t>
  </si>
  <si>
    <t>GENERAL SUPPLIES</t>
  </si>
  <si>
    <t>SYMPATHY</t>
  </si>
  <si>
    <t xml:space="preserve">GREENLEAF WHOLESALE </t>
  </si>
  <si>
    <t>VEHICLE FUEL</t>
  </si>
  <si>
    <t>PRINTING</t>
  </si>
  <si>
    <t>SUPPLIES/SPECIAL ED</t>
  </si>
  <si>
    <t>REPAIRS AT STUARD</t>
  </si>
  <si>
    <t xml:space="preserve">HIGGINBOTHAM &amp; </t>
  </si>
  <si>
    <t>ADMINISTRATIVE FEE</t>
  </si>
  <si>
    <t>HOBBY LOBBY STORES, INC</t>
  </si>
  <si>
    <t xml:space="preserve">CTE SUPPLIES/FLORAL </t>
  </si>
  <si>
    <t xml:space="preserve">HOUGHTON MIFFLIN </t>
  </si>
  <si>
    <t>ASSESSMENT TEST KITS</t>
  </si>
  <si>
    <t>INDECO SALES, INC.</t>
  </si>
  <si>
    <t>FURNITURE/PO #807499</t>
  </si>
  <si>
    <t xml:space="preserve">INTEGRATED REGISTER </t>
  </si>
  <si>
    <t>EQUIPMENT/PO #807501</t>
  </si>
  <si>
    <t>J &amp; N SUPPLY CO., INC.</t>
  </si>
  <si>
    <t>JESSICA BROWN</t>
  </si>
  <si>
    <t>BOARD TRAVEL/PARKING</t>
  </si>
  <si>
    <t>JILL GENTRY</t>
  </si>
  <si>
    <t>JKS MUSIC</t>
  </si>
  <si>
    <t>JOHN J. STEVENS</t>
  </si>
  <si>
    <t>JOLETTE WINE</t>
  </si>
  <si>
    <t>JOSEPH WILLIAM DOLKOS</t>
  </si>
  <si>
    <t>TUBA/EUPH MASTERCLASS</t>
  </si>
  <si>
    <t>JULIE K DAVIS</t>
  </si>
  <si>
    <t>SUPPLIES/MUSIC</t>
  </si>
  <si>
    <t>KAREN M KIRKLAND</t>
  </si>
  <si>
    <t>KATHERINE CANTRELL</t>
  </si>
  <si>
    <t>KELLER ISD ATHLETIC DEPT.</t>
  </si>
  <si>
    <t>KENNETH DUSTIN</t>
  </si>
  <si>
    <t>GAME WORKER</t>
  </si>
  <si>
    <t>KEVIN DAVIS</t>
  </si>
  <si>
    <t>KURZ &amp; COMPANY</t>
  </si>
  <si>
    <t>KYLE BORNE</t>
  </si>
  <si>
    <t>FOOD/NON-FOOD</t>
  </si>
  <si>
    <t>LEANNE KRATTS</t>
  </si>
  <si>
    <t>REPAIRS</t>
  </si>
  <si>
    <t xml:space="preserve">LIGHTSPEED </t>
  </si>
  <si>
    <t>MARK ZESKE</t>
  </si>
  <si>
    <t>MCCORMICK'S GROUP, LLC</t>
  </si>
  <si>
    <t>MICHAEL SCOTT</t>
  </si>
  <si>
    <t>BASSOON MASTERCLASS</t>
  </si>
  <si>
    <t xml:space="preserve">MIDWEST SPORTS SUPPLY, </t>
  </si>
  <si>
    <t>NATASHA COSTELLO</t>
  </si>
  <si>
    <t>FLUTE MASTERCLASS</t>
  </si>
  <si>
    <t xml:space="preserve">NETSYNC NETWORK </t>
  </si>
  <si>
    <t>SUPPLIES/PO #907550</t>
  </si>
  <si>
    <t>NICOLE L WRIGHT</t>
  </si>
  <si>
    <t>NO TEARS LEARNING, INC</t>
  </si>
  <si>
    <t xml:space="preserve">NORTH CENTRAL TEXAS </t>
  </si>
  <si>
    <t>NTAASB</t>
  </si>
  <si>
    <t>MEMBERSHIP</t>
  </si>
  <si>
    <t xml:space="preserve">INSTRUCTIONAL/OFFICE </t>
  </si>
  <si>
    <t>SUPPLIES/PO #900053</t>
  </si>
  <si>
    <t>OTICON, INC.</t>
  </si>
  <si>
    <t>SUPPLIES/SP ED/AI</t>
  </si>
  <si>
    <t>TRUCK LEASE/TOLL CHARGE</t>
  </si>
  <si>
    <t>PAIGE M HOGUE</t>
  </si>
  <si>
    <t>CUSTODIAL SERVICES/OCT 1-</t>
  </si>
  <si>
    <t>PEAK MUSIC FESTIVALS</t>
  </si>
  <si>
    <t xml:space="preserve">SPEECH THERAPY </t>
  </si>
  <si>
    <t>QUAIL VALLEY TELECOM, LLC</t>
  </si>
  <si>
    <t>INTERNET SERVICE/WALSH</t>
  </si>
  <si>
    <t>CLASSROOM SUPPLIES</t>
  </si>
  <si>
    <t>RACHEL L MARKHAM</t>
  </si>
  <si>
    <t xml:space="preserve">RENAISSANCE LEARNING, </t>
  </si>
  <si>
    <t>ANNUAL RENEWALS</t>
  </si>
  <si>
    <t>ROBERTA BRADY</t>
  </si>
  <si>
    <t xml:space="preserve">RONNIE WALTERS LAWN </t>
  </si>
  <si>
    <t>GROUNDS SERVICE</t>
  </si>
  <si>
    <t>SABRINA K EASLEY</t>
  </si>
  <si>
    <t xml:space="preserve">SCHOOL NURSE SUPPLY, </t>
  </si>
  <si>
    <t>CLINIC SUPPLIES</t>
  </si>
  <si>
    <t xml:space="preserve">SCIENCE TEACHERS ASSN </t>
  </si>
  <si>
    <t>SCOTT STEPHENS</t>
  </si>
  <si>
    <t>PERCUSSION TECH</t>
  </si>
  <si>
    <t>SCOTT WILLIAM HOWELL</t>
  </si>
  <si>
    <t>COACHING SERVICE</t>
  </si>
  <si>
    <t>SPELLING BEE FEE</t>
  </si>
  <si>
    <t xml:space="preserve">SHI GOVERNMENT </t>
  </si>
  <si>
    <t xml:space="preserve">SIRIUS COMPUTER </t>
  </si>
  <si>
    <t xml:space="preserve">SOLARWINDS LICENSE </t>
  </si>
  <si>
    <t xml:space="preserve">SOUTHEASTERN CAREER </t>
  </si>
  <si>
    <t>UNIFORMS/CHOIIR</t>
  </si>
  <si>
    <t>STACEY DUNN</t>
  </si>
  <si>
    <t>STEVE RUTLEDGE</t>
  </si>
  <si>
    <t xml:space="preserve">SUPER DUPER </t>
  </si>
  <si>
    <t>TAEA-TX ART ED ASSOC.</t>
  </si>
  <si>
    <t>MEMBERSHIP RENEWAL</t>
  </si>
  <si>
    <t>TASB, INC.</t>
  </si>
  <si>
    <t>BOARD TRAINING</t>
  </si>
  <si>
    <t>TASCO</t>
  </si>
  <si>
    <t xml:space="preserve">STAFF </t>
  </si>
  <si>
    <t>TEACHER DIRECT</t>
  </si>
  <si>
    <t>DOOR HARDWARE</t>
  </si>
  <si>
    <t>TEXAS AIRSYSTEMS, LLC</t>
  </si>
  <si>
    <t xml:space="preserve">REPLACE </t>
  </si>
  <si>
    <t>SUPPLIES/COUNSELOR</t>
  </si>
  <si>
    <t xml:space="preserve">TEXAS HEALTH  SPORTS </t>
  </si>
  <si>
    <t>ATHLETIC TRAINING SERVICE</t>
  </si>
  <si>
    <t xml:space="preserve">TEXAS HIGH SCHOOL </t>
  </si>
  <si>
    <t xml:space="preserve">STAFF MEMBERSHIP </t>
  </si>
  <si>
    <t>TFE CONNECT</t>
  </si>
  <si>
    <t>SERVICES</t>
  </si>
  <si>
    <t>THOMAS MARVIN</t>
  </si>
  <si>
    <t>TMEA</t>
  </si>
  <si>
    <t xml:space="preserve">TRI-COUNTY ELECTRIC </t>
  </si>
  <si>
    <t>TSPRA</t>
  </si>
  <si>
    <t xml:space="preserve">TX HIGH SCHOOL GIRLS </t>
  </si>
  <si>
    <t xml:space="preserve">UNITED REFRIGERATION, </t>
  </si>
  <si>
    <t>CN EQUIP MAINT/REPAIR</t>
  </si>
  <si>
    <t xml:space="preserve">UNIVERSITY </t>
  </si>
  <si>
    <t xml:space="preserve">UNIVERSITY OF NORTH </t>
  </si>
  <si>
    <t xml:space="preserve">BOARD/STAFF </t>
  </si>
  <si>
    <t>WENDER SUPPLY COMPANY</t>
  </si>
  <si>
    <t>SUPPLIES/ATHLETICS</t>
  </si>
  <si>
    <t>WILLIE J WILLIAMS JR</t>
  </si>
  <si>
    <t>WYLIE ISD</t>
  </si>
  <si>
    <t xml:space="preserve">ENTRY FEE DEBATE </t>
  </si>
  <si>
    <t>YOUNG'S TAILOR</t>
  </si>
  <si>
    <t>UNIFORM ALTERATIONS</t>
  </si>
  <si>
    <t>ZIPGRADE, LLC</t>
  </si>
  <si>
    <t xml:space="preserve">SUBSCRIPTION/SOCIAL </t>
  </si>
  <si>
    <t>STUDENT MEALS/TENNIS</t>
  </si>
  <si>
    <t>STUDENT TRAVEL</t>
  </si>
  <si>
    <t>Scouting Expense</t>
  </si>
  <si>
    <t>SCOUTING EXPENSE</t>
  </si>
  <si>
    <t>REGISTRATION FEE</t>
  </si>
  <si>
    <t>BOARD EXPENSE/PO #806776</t>
  </si>
  <si>
    <t>FEES/DUES/po #807563</t>
  </si>
  <si>
    <t>STAFF DEV/SUPT/PO #806776</t>
  </si>
  <si>
    <t xml:space="preserve">NEW AHS STUDENTS </t>
  </si>
  <si>
    <t>STAFF DEVELOPMENT/CTE</t>
  </si>
  <si>
    <t xml:space="preserve">RACHEL'S CHALLENGE PD </t>
  </si>
  <si>
    <t>Darkness to Light</t>
  </si>
  <si>
    <t xml:space="preserve">STAFF DEVELOPMENT IT </t>
  </si>
  <si>
    <t>STAFF DEVL/Math Spec</t>
  </si>
  <si>
    <t>STAFF DEVEL/ELA SPEC</t>
  </si>
  <si>
    <t>STAFF DEVELOPMENT ELA</t>
  </si>
  <si>
    <t>FEES &amp; DUES</t>
  </si>
  <si>
    <t>VEHICLE REGISTRATIONS</t>
  </si>
  <si>
    <t>TRAILER INSPECTION</t>
  </si>
  <si>
    <t>SUPPLIES/BAND</t>
  </si>
  <si>
    <t>CTE STUDENT TRAVEL</t>
  </si>
  <si>
    <t>FINGERPRINTING/8075</t>
  </si>
  <si>
    <t>FINGERPRINTING/7339</t>
  </si>
  <si>
    <t>FEES/DUES</t>
  </si>
  <si>
    <t>PROFESSIONAL DUES</t>
  </si>
  <si>
    <t>LUMBER SUPPLIES</t>
  </si>
  <si>
    <t xml:space="preserve">SUPPLIES/SPECIAL </t>
  </si>
  <si>
    <t>Technology Repair</t>
  </si>
  <si>
    <t>Projector Repair</t>
  </si>
  <si>
    <t>SUPPLIKES/OT</t>
  </si>
  <si>
    <t>Books</t>
  </si>
  <si>
    <t>COMPUTER LAB SUPPLIES</t>
  </si>
  <si>
    <t xml:space="preserve">CTE SUPPLIES/LAW </t>
  </si>
  <si>
    <t xml:space="preserve">SUPPLIES/STAFF </t>
  </si>
  <si>
    <t>Fundamental 5 books</t>
  </si>
  <si>
    <t>Book Supplies</t>
  </si>
  <si>
    <t>CHOIR INSTRUMENTS</t>
  </si>
  <si>
    <t xml:space="preserve">RAIN JACKET FOR NEW </t>
  </si>
  <si>
    <t xml:space="preserve">WHITE FLEET </t>
  </si>
  <si>
    <t>SUPPLIES/PO #900699</t>
  </si>
  <si>
    <t>SUPPLIES/PO #901045</t>
  </si>
  <si>
    <t>CREDIT/PO #901045</t>
  </si>
  <si>
    <t>STAFF DEVELOPMENT/CAST</t>
  </si>
  <si>
    <t>TUGG, INC</t>
  </si>
  <si>
    <t>MEETING EXPENSE</t>
  </si>
  <si>
    <t>HAYLEY GRUBBS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</si>
</sst>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8"/>
  <sheetViews>
    <sheetView tabSelected="1" workbookViewId="0"/>
  </sheetViews>
  <sheetFormatPr defaultRowHeight="15" x14ac:dyDescent="0.25"/>
  <cols>
    <col min="1" max="1" width="10.85546875" bestFit="1" customWidth="1"/>
    <col min="2" max="2" width="7.7109375" bestFit="1" customWidth="1"/>
    <col min="3" max="3" width="27.42578125" bestFit="1" customWidth="1"/>
    <col min="4" max="4" width="15.140625" style="3" bestFit="1" customWidth="1"/>
    <col min="5" max="5" width="28.5703125" bestFit="1" customWidth="1"/>
    <col min="6" max="6" width="26.4257812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25">
      <c r="A2">
        <v>20181001</v>
      </c>
      <c r="B2" t="str">
        <f>"001236"</f>
        <v>001236</v>
      </c>
      <c r="C2" t="s">
        <v>6</v>
      </c>
      <c r="D2" s="3">
        <v>8820</v>
      </c>
      <c r="E2" t="s">
        <v>7</v>
      </c>
      <c r="F2" t="s">
        <v>8</v>
      </c>
    </row>
    <row r="3" spans="1:6" x14ac:dyDescent="0.25">
      <c r="A3">
        <v>20181001</v>
      </c>
      <c r="B3" t="str">
        <f>"001237"</f>
        <v>001237</v>
      </c>
      <c r="C3" t="s">
        <v>9</v>
      </c>
      <c r="D3" s="3">
        <v>6100.82</v>
      </c>
      <c r="E3" t="s">
        <v>10</v>
      </c>
      <c r="F3" t="s">
        <v>8</v>
      </c>
    </row>
    <row r="4" spans="1:6" x14ac:dyDescent="0.25">
      <c r="A4">
        <v>20181001</v>
      </c>
      <c r="B4" t="str">
        <f>"001237"</f>
        <v>001237</v>
      </c>
      <c r="C4" t="s">
        <v>9</v>
      </c>
      <c r="D4" s="3">
        <v>48.9</v>
      </c>
      <c r="E4" t="s">
        <v>10</v>
      </c>
      <c r="F4" t="s">
        <v>8</v>
      </c>
    </row>
    <row r="5" spans="1:6" x14ac:dyDescent="0.25">
      <c r="A5">
        <v>20181001</v>
      </c>
      <c r="B5" t="str">
        <f>"001238"</f>
        <v>001238</v>
      </c>
      <c r="C5" t="s">
        <v>11</v>
      </c>
      <c r="D5" s="3">
        <v>6520</v>
      </c>
      <c r="E5" t="s">
        <v>12</v>
      </c>
      <c r="F5" t="s">
        <v>8</v>
      </c>
    </row>
    <row r="6" spans="1:6" x14ac:dyDescent="0.25">
      <c r="A6">
        <v>20181001</v>
      </c>
      <c r="B6" t="str">
        <f>"001238"</f>
        <v>001238</v>
      </c>
      <c r="C6" t="s">
        <v>11</v>
      </c>
      <c r="D6" s="3">
        <v>412</v>
      </c>
      <c r="E6" t="s">
        <v>12</v>
      </c>
      <c r="F6" t="s">
        <v>8</v>
      </c>
    </row>
    <row r="7" spans="1:6" x14ac:dyDescent="0.25">
      <c r="A7">
        <v>20181015</v>
      </c>
      <c r="B7" t="str">
        <f>"001239"</f>
        <v>001239</v>
      </c>
      <c r="C7" t="s">
        <v>13</v>
      </c>
      <c r="D7" s="3">
        <v>1641.6</v>
      </c>
      <c r="E7" t="s">
        <v>14</v>
      </c>
      <c r="F7" t="s">
        <v>8</v>
      </c>
    </row>
    <row r="8" spans="1:6" x14ac:dyDescent="0.25">
      <c r="A8">
        <v>20181026</v>
      </c>
      <c r="B8" t="str">
        <f>"001241"</f>
        <v>001241</v>
      </c>
      <c r="C8" t="s">
        <v>15</v>
      </c>
      <c r="D8" s="3">
        <v>12000</v>
      </c>
      <c r="E8" t="s">
        <v>16</v>
      </c>
      <c r="F8" t="s">
        <v>8</v>
      </c>
    </row>
    <row r="9" spans="1:6" x14ac:dyDescent="0.25">
      <c r="A9">
        <v>20181001</v>
      </c>
      <c r="B9" t="str">
        <f>"026834"</f>
        <v>026834</v>
      </c>
      <c r="C9" t="s">
        <v>17</v>
      </c>
      <c r="D9" s="3">
        <v>100</v>
      </c>
      <c r="E9" t="s">
        <v>18</v>
      </c>
      <c r="F9" t="s">
        <v>19</v>
      </c>
    </row>
    <row r="10" spans="1:6" x14ac:dyDescent="0.25">
      <c r="A10">
        <v>20181001</v>
      </c>
      <c r="B10" t="str">
        <f>"026835"</f>
        <v>026835</v>
      </c>
      <c r="C10" t="s">
        <v>20</v>
      </c>
      <c r="D10" s="3">
        <v>70</v>
      </c>
      <c r="E10" t="s">
        <v>21</v>
      </c>
      <c r="F10" t="s">
        <v>19</v>
      </c>
    </row>
    <row r="11" spans="1:6" x14ac:dyDescent="0.25">
      <c r="A11">
        <v>20181001</v>
      </c>
      <c r="B11" t="str">
        <f>"026835"</f>
        <v>026835</v>
      </c>
      <c r="C11" t="s">
        <v>20</v>
      </c>
      <c r="D11" s="3">
        <v>120</v>
      </c>
      <c r="E11" t="s">
        <v>21</v>
      </c>
      <c r="F11" t="s">
        <v>19</v>
      </c>
    </row>
    <row r="12" spans="1:6" x14ac:dyDescent="0.25">
      <c r="A12">
        <v>20181001</v>
      </c>
      <c r="B12" t="str">
        <f>"026836"</f>
        <v>026836</v>
      </c>
      <c r="C12" t="s">
        <v>6</v>
      </c>
      <c r="D12" s="3">
        <v>1635</v>
      </c>
      <c r="E12" t="s">
        <v>22</v>
      </c>
      <c r="F12" t="s">
        <v>19</v>
      </c>
    </row>
    <row r="13" spans="1:6" x14ac:dyDescent="0.25">
      <c r="A13">
        <v>20181001</v>
      </c>
      <c r="B13" t="str">
        <f>"026837"</f>
        <v>026837</v>
      </c>
      <c r="C13" t="s">
        <v>23</v>
      </c>
      <c r="D13" s="3">
        <v>236.93</v>
      </c>
      <c r="E13" t="s">
        <v>24</v>
      </c>
      <c r="F13" t="s">
        <v>19</v>
      </c>
    </row>
    <row r="14" spans="1:6" x14ac:dyDescent="0.25">
      <c r="A14">
        <v>20181001</v>
      </c>
      <c r="B14" t="str">
        <f>"026837"</f>
        <v>026837</v>
      </c>
      <c r="C14" t="s">
        <v>23</v>
      </c>
      <c r="D14" s="3">
        <v>1759.07</v>
      </c>
      <c r="E14" t="s">
        <v>24</v>
      </c>
      <c r="F14" t="s">
        <v>19</v>
      </c>
    </row>
    <row r="15" spans="1:6" x14ac:dyDescent="0.25">
      <c r="A15">
        <v>20181001</v>
      </c>
      <c r="B15" t="str">
        <f>"026838"</f>
        <v>026838</v>
      </c>
      <c r="C15" t="s">
        <v>25</v>
      </c>
      <c r="D15" s="3">
        <v>98.04</v>
      </c>
      <c r="E15" t="s">
        <v>26</v>
      </c>
      <c r="F15" t="s">
        <v>19</v>
      </c>
    </row>
    <row r="16" spans="1:6" x14ac:dyDescent="0.25">
      <c r="A16">
        <v>20181001</v>
      </c>
      <c r="B16" t="str">
        <f>"026839"</f>
        <v>026839</v>
      </c>
      <c r="C16" t="s">
        <v>27</v>
      </c>
      <c r="D16" s="3">
        <v>227.75</v>
      </c>
      <c r="E16" t="s">
        <v>28</v>
      </c>
      <c r="F16" t="s">
        <v>19</v>
      </c>
    </row>
    <row r="17" spans="1:6" x14ac:dyDescent="0.25">
      <c r="A17">
        <v>20181001</v>
      </c>
      <c r="B17" t="str">
        <f>"026840"</f>
        <v>026840</v>
      </c>
      <c r="C17" t="s">
        <v>29</v>
      </c>
      <c r="D17" s="3">
        <v>1876</v>
      </c>
      <c r="E17" t="s">
        <v>30</v>
      </c>
      <c r="F17" t="s">
        <v>19</v>
      </c>
    </row>
    <row r="18" spans="1:6" x14ac:dyDescent="0.25">
      <c r="A18">
        <v>20181001</v>
      </c>
      <c r="B18" t="str">
        <f>"026841"</f>
        <v>026841</v>
      </c>
      <c r="C18" t="s">
        <v>31</v>
      </c>
      <c r="D18" s="3">
        <v>55</v>
      </c>
      <c r="E18" t="s">
        <v>32</v>
      </c>
      <c r="F18" t="s">
        <v>19</v>
      </c>
    </row>
    <row r="19" spans="1:6" x14ac:dyDescent="0.25">
      <c r="A19">
        <v>20181001</v>
      </c>
      <c r="B19" t="str">
        <f>"026842"</f>
        <v>026842</v>
      </c>
      <c r="C19" t="s">
        <v>31</v>
      </c>
      <c r="D19" s="3">
        <v>42.42</v>
      </c>
      <c r="E19" t="s">
        <v>28</v>
      </c>
      <c r="F19" t="s">
        <v>19</v>
      </c>
    </row>
    <row r="20" spans="1:6" x14ac:dyDescent="0.25">
      <c r="A20">
        <v>20181001</v>
      </c>
      <c r="B20" t="str">
        <f>"026843"</f>
        <v>026843</v>
      </c>
      <c r="C20" t="s">
        <v>31</v>
      </c>
      <c r="D20" s="3">
        <v>36.99</v>
      </c>
      <c r="E20" t="s">
        <v>33</v>
      </c>
      <c r="F20" t="s">
        <v>19</v>
      </c>
    </row>
    <row r="21" spans="1:6" x14ac:dyDescent="0.25">
      <c r="A21">
        <v>20181001</v>
      </c>
      <c r="B21" t="str">
        <f>"026844"</f>
        <v>026844</v>
      </c>
      <c r="C21" t="s">
        <v>34</v>
      </c>
      <c r="D21" s="3">
        <v>46.95</v>
      </c>
      <c r="E21" t="s">
        <v>35</v>
      </c>
      <c r="F21" t="s">
        <v>19</v>
      </c>
    </row>
    <row r="22" spans="1:6" x14ac:dyDescent="0.25">
      <c r="A22">
        <v>20181001</v>
      </c>
      <c r="B22" t="str">
        <f>"026845"</f>
        <v>026845</v>
      </c>
      <c r="C22" t="s">
        <v>36</v>
      </c>
      <c r="D22" s="3">
        <v>314.64999999999998</v>
      </c>
      <c r="E22" t="s">
        <v>37</v>
      </c>
      <c r="F22" t="s">
        <v>19</v>
      </c>
    </row>
    <row r="23" spans="1:6" x14ac:dyDescent="0.25">
      <c r="A23">
        <v>20181001</v>
      </c>
      <c r="B23" t="str">
        <f>"026845"</f>
        <v>026845</v>
      </c>
      <c r="C23" t="s">
        <v>36</v>
      </c>
      <c r="D23" s="3">
        <v>161.38</v>
      </c>
      <c r="E23" t="s">
        <v>38</v>
      </c>
      <c r="F23" t="s">
        <v>19</v>
      </c>
    </row>
    <row r="24" spans="1:6" x14ac:dyDescent="0.25">
      <c r="A24">
        <v>20181001</v>
      </c>
      <c r="B24" t="str">
        <f>"026846"</f>
        <v>026846</v>
      </c>
      <c r="C24" t="s">
        <v>39</v>
      </c>
      <c r="D24" s="3">
        <v>244</v>
      </c>
      <c r="E24" t="s">
        <v>40</v>
      </c>
      <c r="F24" t="s">
        <v>19</v>
      </c>
    </row>
    <row r="25" spans="1:6" x14ac:dyDescent="0.25">
      <c r="A25">
        <v>20181001</v>
      </c>
      <c r="B25" t="str">
        <f>"026846"</f>
        <v>026846</v>
      </c>
      <c r="C25" t="s">
        <v>39</v>
      </c>
      <c r="D25" s="3">
        <v>9</v>
      </c>
      <c r="E25" t="s">
        <v>40</v>
      </c>
      <c r="F25" t="s">
        <v>19</v>
      </c>
    </row>
    <row r="26" spans="1:6" x14ac:dyDescent="0.25">
      <c r="A26">
        <v>20181001</v>
      </c>
      <c r="B26" t="str">
        <f>"026847"</f>
        <v>026847</v>
      </c>
      <c r="C26" t="s">
        <v>41</v>
      </c>
      <c r="D26" s="3">
        <v>710.2</v>
      </c>
      <c r="E26" t="s">
        <v>28</v>
      </c>
      <c r="F26" t="s">
        <v>19</v>
      </c>
    </row>
    <row r="27" spans="1:6" x14ac:dyDescent="0.25">
      <c r="A27">
        <v>20181001</v>
      </c>
      <c r="B27" t="str">
        <f>"026848"</f>
        <v>026848</v>
      </c>
      <c r="C27" t="s">
        <v>42</v>
      </c>
      <c r="D27" s="3">
        <v>52</v>
      </c>
      <c r="E27" t="s">
        <v>43</v>
      </c>
      <c r="F27" t="s">
        <v>19</v>
      </c>
    </row>
    <row r="28" spans="1:6" x14ac:dyDescent="0.25">
      <c r="A28">
        <v>20181001</v>
      </c>
      <c r="B28" t="str">
        <f>"026849"</f>
        <v>026849</v>
      </c>
      <c r="C28" t="s">
        <v>44</v>
      </c>
      <c r="D28" s="3">
        <v>54</v>
      </c>
      <c r="E28" t="s">
        <v>45</v>
      </c>
      <c r="F28" t="s">
        <v>19</v>
      </c>
    </row>
    <row r="29" spans="1:6" x14ac:dyDescent="0.25">
      <c r="A29">
        <v>20181001</v>
      </c>
      <c r="B29" t="str">
        <f>"026849"</f>
        <v>026849</v>
      </c>
      <c r="C29" t="s">
        <v>44</v>
      </c>
      <c r="D29" s="3">
        <v>36</v>
      </c>
      <c r="E29" t="s">
        <v>28</v>
      </c>
      <c r="F29" t="s">
        <v>19</v>
      </c>
    </row>
    <row r="30" spans="1:6" x14ac:dyDescent="0.25">
      <c r="A30">
        <v>20181001</v>
      </c>
      <c r="B30" t="str">
        <f>"026849"</f>
        <v>026849</v>
      </c>
      <c r="C30" t="s">
        <v>44</v>
      </c>
      <c r="D30" s="3">
        <v>40.5</v>
      </c>
      <c r="E30" t="s">
        <v>28</v>
      </c>
      <c r="F30" t="s">
        <v>19</v>
      </c>
    </row>
    <row r="31" spans="1:6" x14ac:dyDescent="0.25">
      <c r="A31">
        <v>20181001</v>
      </c>
      <c r="B31" t="str">
        <f>"026849"</f>
        <v>026849</v>
      </c>
      <c r="C31" t="s">
        <v>44</v>
      </c>
      <c r="D31" s="3">
        <v>54</v>
      </c>
      <c r="E31" t="s">
        <v>28</v>
      </c>
      <c r="F31" t="s">
        <v>19</v>
      </c>
    </row>
    <row r="32" spans="1:6" x14ac:dyDescent="0.25">
      <c r="A32">
        <v>20181001</v>
      </c>
      <c r="B32" t="str">
        <f>"026849"</f>
        <v>026849</v>
      </c>
      <c r="C32" t="s">
        <v>44</v>
      </c>
      <c r="D32" s="3">
        <v>40.5</v>
      </c>
      <c r="E32" t="s">
        <v>28</v>
      </c>
      <c r="F32" t="s">
        <v>19</v>
      </c>
    </row>
    <row r="33" spans="1:6" x14ac:dyDescent="0.25">
      <c r="A33">
        <v>20181001</v>
      </c>
      <c r="B33" t="str">
        <f>"026849"</f>
        <v>026849</v>
      </c>
      <c r="C33" t="s">
        <v>44</v>
      </c>
      <c r="D33" s="3">
        <v>40.5</v>
      </c>
      <c r="E33" t="s">
        <v>28</v>
      </c>
      <c r="F33" t="s">
        <v>19</v>
      </c>
    </row>
    <row r="34" spans="1:6" x14ac:dyDescent="0.25">
      <c r="A34">
        <v>20181001</v>
      </c>
      <c r="B34" t="str">
        <f>"026850"</f>
        <v>026850</v>
      </c>
      <c r="C34" t="s">
        <v>46</v>
      </c>
      <c r="D34" s="3">
        <v>78</v>
      </c>
      <c r="E34" t="s">
        <v>28</v>
      </c>
      <c r="F34" t="s">
        <v>19</v>
      </c>
    </row>
    <row r="35" spans="1:6" x14ac:dyDescent="0.25">
      <c r="A35">
        <v>20181001</v>
      </c>
      <c r="B35" t="str">
        <f>"026850"</f>
        <v>026850</v>
      </c>
      <c r="C35" t="s">
        <v>46</v>
      </c>
      <c r="D35" s="3">
        <v>111</v>
      </c>
      <c r="E35" t="s">
        <v>28</v>
      </c>
      <c r="F35" t="s">
        <v>19</v>
      </c>
    </row>
    <row r="36" spans="1:6" x14ac:dyDescent="0.25">
      <c r="A36">
        <v>20181001</v>
      </c>
      <c r="B36" t="str">
        <f>"026851"</f>
        <v>026851</v>
      </c>
      <c r="C36" t="s">
        <v>47</v>
      </c>
      <c r="D36" s="3">
        <v>2495.4699999999998</v>
      </c>
      <c r="E36" t="s">
        <v>48</v>
      </c>
      <c r="F36" t="s">
        <v>19</v>
      </c>
    </row>
    <row r="37" spans="1:6" x14ac:dyDescent="0.25">
      <c r="A37">
        <v>20181001</v>
      </c>
      <c r="B37" t="str">
        <f>"026852"</f>
        <v>026852</v>
      </c>
      <c r="C37" t="s">
        <v>49</v>
      </c>
      <c r="D37" s="3">
        <v>167.5</v>
      </c>
      <c r="E37" t="s">
        <v>50</v>
      </c>
      <c r="F37" t="s">
        <v>19</v>
      </c>
    </row>
    <row r="38" spans="1:6" x14ac:dyDescent="0.25">
      <c r="A38">
        <v>20181001</v>
      </c>
      <c r="B38" t="str">
        <f>"026853"</f>
        <v>026853</v>
      </c>
      <c r="C38" t="s">
        <v>51</v>
      </c>
      <c r="D38" s="3">
        <v>360</v>
      </c>
      <c r="E38" t="s">
        <v>52</v>
      </c>
      <c r="F38" t="s">
        <v>19</v>
      </c>
    </row>
    <row r="39" spans="1:6" x14ac:dyDescent="0.25">
      <c r="A39">
        <v>20181001</v>
      </c>
      <c r="B39" t="str">
        <f>"026854"</f>
        <v>026854</v>
      </c>
      <c r="C39" t="s">
        <v>53</v>
      </c>
      <c r="D39" s="3">
        <v>325</v>
      </c>
      <c r="E39" t="s">
        <v>54</v>
      </c>
      <c r="F39" t="s">
        <v>19</v>
      </c>
    </row>
    <row r="40" spans="1:6" x14ac:dyDescent="0.25">
      <c r="A40">
        <v>20181001</v>
      </c>
      <c r="B40" t="str">
        <f>"026855"</f>
        <v>026855</v>
      </c>
      <c r="C40" t="s">
        <v>55</v>
      </c>
      <c r="D40" s="3">
        <v>554.65</v>
      </c>
      <c r="E40" t="s">
        <v>57</v>
      </c>
      <c r="F40" t="s">
        <v>19</v>
      </c>
    </row>
    <row r="41" spans="1:6" x14ac:dyDescent="0.25">
      <c r="A41">
        <v>20181001</v>
      </c>
      <c r="B41" t="str">
        <f>"026855"</f>
        <v>026855</v>
      </c>
      <c r="C41" t="s">
        <v>55</v>
      </c>
      <c r="D41" s="3">
        <v>168.53</v>
      </c>
      <c r="E41" t="s">
        <v>57</v>
      </c>
      <c r="F41" t="s">
        <v>19</v>
      </c>
    </row>
    <row r="42" spans="1:6" x14ac:dyDescent="0.25">
      <c r="A42">
        <v>20181001</v>
      </c>
      <c r="B42" t="str">
        <f>"026855"</f>
        <v>026855</v>
      </c>
      <c r="C42" t="s">
        <v>55</v>
      </c>
      <c r="D42" s="3">
        <v>621.84</v>
      </c>
      <c r="E42" t="s">
        <v>56</v>
      </c>
      <c r="F42" t="s">
        <v>19</v>
      </c>
    </row>
    <row r="43" spans="1:6" x14ac:dyDescent="0.25">
      <c r="A43">
        <v>20181001</v>
      </c>
      <c r="B43" t="str">
        <f>"026855"</f>
        <v>026855</v>
      </c>
      <c r="C43" t="s">
        <v>55</v>
      </c>
      <c r="D43" s="3">
        <v>44.4</v>
      </c>
      <c r="E43" t="s">
        <v>56</v>
      </c>
      <c r="F43" t="s">
        <v>19</v>
      </c>
    </row>
    <row r="44" spans="1:6" x14ac:dyDescent="0.25">
      <c r="A44">
        <v>20181001</v>
      </c>
      <c r="B44" t="str">
        <f>"026855"</f>
        <v>026855</v>
      </c>
      <c r="C44" t="s">
        <v>55</v>
      </c>
      <c r="D44" s="3">
        <v>33.880000000000003</v>
      </c>
      <c r="E44" t="s">
        <v>28</v>
      </c>
      <c r="F44" t="s">
        <v>19</v>
      </c>
    </row>
    <row r="45" spans="1:6" x14ac:dyDescent="0.25">
      <c r="A45">
        <v>20181001</v>
      </c>
      <c r="B45" t="str">
        <f>"026855"</f>
        <v>026855</v>
      </c>
      <c r="C45" t="s">
        <v>55</v>
      </c>
      <c r="D45" s="3">
        <v>82.92</v>
      </c>
      <c r="E45" t="s">
        <v>28</v>
      </c>
      <c r="F45" t="s">
        <v>19</v>
      </c>
    </row>
    <row r="46" spans="1:6" x14ac:dyDescent="0.25">
      <c r="A46">
        <v>20181001</v>
      </c>
      <c r="B46" t="str">
        <f>"026855"</f>
        <v>026855</v>
      </c>
      <c r="C46" t="s">
        <v>55</v>
      </c>
      <c r="D46" s="3">
        <v>104.2</v>
      </c>
      <c r="E46" t="s">
        <v>28</v>
      </c>
      <c r="F46" t="s">
        <v>19</v>
      </c>
    </row>
    <row r="47" spans="1:6" x14ac:dyDescent="0.25">
      <c r="A47">
        <v>20181001</v>
      </c>
      <c r="B47" t="str">
        <f>"026855"</f>
        <v>026855</v>
      </c>
      <c r="C47" t="s">
        <v>55</v>
      </c>
      <c r="D47" s="3">
        <v>85.21</v>
      </c>
      <c r="E47" t="s">
        <v>28</v>
      </c>
      <c r="F47" t="s">
        <v>19</v>
      </c>
    </row>
    <row r="48" spans="1:6" x14ac:dyDescent="0.25">
      <c r="A48">
        <v>20181001</v>
      </c>
      <c r="B48" t="str">
        <f>"026856"</f>
        <v>026856</v>
      </c>
      <c r="C48" t="s">
        <v>58</v>
      </c>
      <c r="D48" s="3">
        <v>85.15</v>
      </c>
      <c r="E48" t="s">
        <v>59</v>
      </c>
      <c r="F48" t="s">
        <v>19</v>
      </c>
    </row>
    <row r="49" spans="1:6" x14ac:dyDescent="0.25">
      <c r="A49">
        <v>20181001</v>
      </c>
      <c r="B49" t="str">
        <f>"026857"</f>
        <v>026857</v>
      </c>
      <c r="C49" t="s">
        <v>60</v>
      </c>
      <c r="D49" s="3">
        <v>184.8</v>
      </c>
      <c r="E49" t="s">
        <v>61</v>
      </c>
      <c r="F49" t="s">
        <v>19</v>
      </c>
    </row>
    <row r="50" spans="1:6" x14ac:dyDescent="0.25">
      <c r="A50">
        <v>20181001</v>
      </c>
      <c r="B50" t="str">
        <f>"026858"</f>
        <v>026858</v>
      </c>
      <c r="C50" t="s">
        <v>62</v>
      </c>
      <c r="D50" s="3">
        <v>962</v>
      </c>
      <c r="E50" t="s">
        <v>45</v>
      </c>
      <c r="F50" t="s">
        <v>19</v>
      </c>
    </row>
    <row r="51" spans="1:6" x14ac:dyDescent="0.25">
      <c r="A51">
        <v>20181001</v>
      </c>
      <c r="B51" t="str">
        <f>"026858"</f>
        <v>026858</v>
      </c>
      <c r="C51" t="s">
        <v>62</v>
      </c>
      <c r="D51" s="3">
        <v>182</v>
      </c>
      <c r="E51" t="s">
        <v>63</v>
      </c>
      <c r="F51" t="s">
        <v>19</v>
      </c>
    </row>
    <row r="52" spans="1:6" x14ac:dyDescent="0.25">
      <c r="A52">
        <v>20181001</v>
      </c>
      <c r="B52" t="str">
        <f>"026859"</f>
        <v>026859</v>
      </c>
      <c r="C52" t="s">
        <v>20</v>
      </c>
      <c r="D52" s="3">
        <v>830</v>
      </c>
      <c r="E52" t="s">
        <v>64</v>
      </c>
      <c r="F52" t="s">
        <v>65</v>
      </c>
    </row>
    <row r="53" spans="1:6" x14ac:dyDescent="0.25">
      <c r="A53">
        <v>20181001</v>
      </c>
      <c r="B53" t="str">
        <f>"026860"</f>
        <v>026860</v>
      </c>
      <c r="C53" t="s">
        <v>66</v>
      </c>
      <c r="D53" s="3">
        <v>370</v>
      </c>
      <c r="E53" t="s">
        <v>67</v>
      </c>
      <c r="F53" t="s">
        <v>65</v>
      </c>
    </row>
    <row r="54" spans="1:6" x14ac:dyDescent="0.25">
      <c r="A54">
        <v>20181001</v>
      </c>
      <c r="B54" t="str">
        <f>"026861"</f>
        <v>026861</v>
      </c>
      <c r="C54" t="s">
        <v>68</v>
      </c>
      <c r="D54" s="3">
        <v>200</v>
      </c>
      <c r="E54" t="s">
        <v>67</v>
      </c>
      <c r="F54" t="s">
        <v>65</v>
      </c>
    </row>
    <row r="55" spans="1:6" x14ac:dyDescent="0.25">
      <c r="A55">
        <v>20181001</v>
      </c>
      <c r="B55" t="str">
        <f>"026862"</f>
        <v>026862</v>
      </c>
      <c r="C55" t="s">
        <v>69</v>
      </c>
      <c r="D55" s="3">
        <v>181.25</v>
      </c>
      <c r="E55" t="s">
        <v>70</v>
      </c>
      <c r="F55" t="s">
        <v>65</v>
      </c>
    </row>
    <row r="56" spans="1:6" x14ac:dyDescent="0.25">
      <c r="A56">
        <v>20181001</v>
      </c>
      <c r="B56" t="str">
        <f>"026863"</f>
        <v>026863</v>
      </c>
      <c r="C56" t="s">
        <v>71</v>
      </c>
      <c r="D56" s="3">
        <v>130</v>
      </c>
      <c r="E56" t="s">
        <v>28</v>
      </c>
      <c r="F56" t="s">
        <v>65</v>
      </c>
    </row>
    <row r="57" spans="1:6" x14ac:dyDescent="0.25">
      <c r="A57">
        <v>20181001</v>
      </c>
      <c r="B57" t="str">
        <f>"026865"</f>
        <v>026865</v>
      </c>
      <c r="C57" t="s">
        <v>72</v>
      </c>
      <c r="D57" s="3">
        <v>225</v>
      </c>
      <c r="E57" t="s">
        <v>67</v>
      </c>
      <c r="F57" t="s">
        <v>65</v>
      </c>
    </row>
    <row r="58" spans="1:6" x14ac:dyDescent="0.25">
      <c r="A58">
        <v>20181001</v>
      </c>
      <c r="B58" t="str">
        <f>"026865"</f>
        <v>026865</v>
      </c>
      <c r="C58" t="s">
        <v>72</v>
      </c>
      <c r="D58" s="3">
        <v>800</v>
      </c>
      <c r="E58" t="s">
        <v>73</v>
      </c>
      <c r="F58" t="s">
        <v>65</v>
      </c>
    </row>
    <row r="59" spans="1:6" x14ac:dyDescent="0.25">
      <c r="A59">
        <v>20181001</v>
      </c>
      <c r="B59" t="str">
        <f>"026866"</f>
        <v>026866</v>
      </c>
      <c r="C59" t="s">
        <v>74</v>
      </c>
      <c r="D59" s="3">
        <v>1469</v>
      </c>
      <c r="E59" t="s">
        <v>75</v>
      </c>
      <c r="F59" t="s">
        <v>65</v>
      </c>
    </row>
    <row r="60" spans="1:6" x14ac:dyDescent="0.25">
      <c r="A60">
        <v>20181001</v>
      </c>
      <c r="B60" t="str">
        <f>"026866"</f>
        <v>026866</v>
      </c>
      <c r="C60" t="s">
        <v>74</v>
      </c>
      <c r="D60" s="3">
        <v>530</v>
      </c>
      <c r="E60" t="s">
        <v>28</v>
      </c>
      <c r="F60" t="s">
        <v>65</v>
      </c>
    </row>
    <row r="61" spans="1:6" x14ac:dyDescent="0.25">
      <c r="A61">
        <v>20181001</v>
      </c>
      <c r="B61" t="str">
        <f>"026867"</f>
        <v>026867</v>
      </c>
      <c r="C61" t="s">
        <v>76</v>
      </c>
      <c r="D61" s="3">
        <v>700</v>
      </c>
      <c r="E61" t="s">
        <v>77</v>
      </c>
      <c r="F61" t="s">
        <v>65</v>
      </c>
    </row>
    <row r="62" spans="1:6" x14ac:dyDescent="0.25">
      <c r="A62">
        <v>20181001</v>
      </c>
      <c r="B62" t="str">
        <f>"026868"</f>
        <v>026868</v>
      </c>
      <c r="C62" t="s">
        <v>27</v>
      </c>
      <c r="D62" s="3">
        <v>117.75</v>
      </c>
      <c r="E62" t="s">
        <v>78</v>
      </c>
      <c r="F62" t="s">
        <v>65</v>
      </c>
    </row>
    <row r="63" spans="1:6" x14ac:dyDescent="0.25">
      <c r="A63">
        <v>20181001</v>
      </c>
      <c r="B63" t="str">
        <f>"026869"</f>
        <v>026869</v>
      </c>
      <c r="C63" t="s">
        <v>79</v>
      </c>
      <c r="D63" s="3">
        <v>1100</v>
      </c>
      <c r="E63" t="s">
        <v>80</v>
      </c>
      <c r="F63" t="s">
        <v>65</v>
      </c>
    </row>
    <row r="64" spans="1:6" x14ac:dyDescent="0.25">
      <c r="A64">
        <v>20181001</v>
      </c>
      <c r="B64" t="str">
        <f>"026870"</f>
        <v>026870</v>
      </c>
      <c r="C64" t="s">
        <v>81</v>
      </c>
      <c r="D64" s="3">
        <v>400</v>
      </c>
      <c r="E64" t="s">
        <v>67</v>
      </c>
      <c r="F64" t="s">
        <v>65</v>
      </c>
    </row>
    <row r="65" spans="1:6" x14ac:dyDescent="0.25">
      <c r="A65">
        <v>20181001</v>
      </c>
      <c r="B65" t="str">
        <f>"026871"</f>
        <v>026871</v>
      </c>
      <c r="C65" t="s">
        <v>82</v>
      </c>
      <c r="D65" s="3">
        <v>210</v>
      </c>
      <c r="E65" t="s">
        <v>83</v>
      </c>
      <c r="F65" t="s">
        <v>65</v>
      </c>
    </row>
    <row r="66" spans="1:6" x14ac:dyDescent="0.25">
      <c r="A66">
        <v>20181001</v>
      </c>
      <c r="B66" t="str">
        <f>"026872"</f>
        <v>026872</v>
      </c>
      <c r="C66" t="s">
        <v>84</v>
      </c>
      <c r="D66" s="3">
        <v>2439</v>
      </c>
      <c r="E66" t="s">
        <v>75</v>
      </c>
      <c r="F66" t="s">
        <v>65</v>
      </c>
    </row>
    <row r="67" spans="1:6" x14ac:dyDescent="0.25">
      <c r="A67">
        <v>20181001</v>
      </c>
      <c r="B67" t="str">
        <f>"026873"</f>
        <v>026873</v>
      </c>
      <c r="C67" t="s">
        <v>85</v>
      </c>
      <c r="D67" s="3">
        <v>150</v>
      </c>
      <c r="E67" t="s">
        <v>67</v>
      </c>
      <c r="F67" t="s">
        <v>65</v>
      </c>
    </row>
    <row r="68" spans="1:6" x14ac:dyDescent="0.25">
      <c r="A68">
        <v>20181001</v>
      </c>
      <c r="B68" t="str">
        <f>"026874"</f>
        <v>026874</v>
      </c>
      <c r="C68" t="s">
        <v>86</v>
      </c>
      <c r="D68" s="3">
        <v>370</v>
      </c>
      <c r="E68" t="s">
        <v>87</v>
      </c>
      <c r="F68" t="s">
        <v>65</v>
      </c>
    </row>
    <row r="69" spans="1:6" x14ac:dyDescent="0.25">
      <c r="A69">
        <v>20181001</v>
      </c>
      <c r="B69" t="str">
        <f>"026875"</f>
        <v>026875</v>
      </c>
      <c r="C69" t="s">
        <v>88</v>
      </c>
      <c r="D69" s="3">
        <v>390</v>
      </c>
      <c r="E69" t="s">
        <v>73</v>
      </c>
      <c r="F69" t="s">
        <v>65</v>
      </c>
    </row>
    <row r="70" spans="1:6" x14ac:dyDescent="0.25">
      <c r="A70">
        <v>20181001</v>
      </c>
      <c r="B70" t="str">
        <f>"026876"</f>
        <v>026876</v>
      </c>
      <c r="C70" t="s">
        <v>89</v>
      </c>
      <c r="D70" s="3">
        <v>980</v>
      </c>
      <c r="E70" t="s">
        <v>28</v>
      </c>
      <c r="F70" t="s">
        <v>65</v>
      </c>
    </row>
    <row r="71" spans="1:6" x14ac:dyDescent="0.25">
      <c r="A71">
        <v>20181001</v>
      </c>
      <c r="B71" t="str">
        <f>"026876"</f>
        <v>026876</v>
      </c>
      <c r="C71" t="s">
        <v>89</v>
      </c>
      <c r="D71" s="3">
        <v>1278</v>
      </c>
      <c r="E71" t="s">
        <v>28</v>
      </c>
      <c r="F71" t="s">
        <v>65</v>
      </c>
    </row>
    <row r="72" spans="1:6" x14ac:dyDescent="0.25">
      <c r="A72">
        <v>20181001</v>
      </c>
      <c r="B72" t="str">
        <f>"026876"</f>
        <v>026876</v>
      </c>
      <c r="C72" t="s">
        <v>89</v>
      </c>
      <c r="D72" s="3">
        <v>800</v>
      </c>
      <c r="E72" t="s">
        <v>90</v>
      </c>
      <c r="F72" t="s">
        <v>65</v>
      </c>
    </row>
    <row r="73" spans="1:6" x14ac:dyDescent="0.25">
      <c r="A73">
        <v>20181001</v>
      </c>
      <c r="B73" t="str">
        <f>"026877"</f>
        <v>026877</v>
      </c>
      <c r="C73" t="s">
        <v>91</v>
      </c>
      <c r="D73" s="3">
        <v>40</v>
      </c>
      <c r="E73" t="s">
        <v>92</v>
      </c>
      <c r="F73" t="s">
        <v>65</v>
      </c>
    </row>
    <row r="74" spans="1:6" x14ac:dyDescent="0.25">
      <c r="A74">
        <v>20181001</v>
      </c>
      <c r="B74" t="str">
        <f>"026878"</f>
        <v>026878</v>
      </c>
      <c r="C74" t="s">
        <v>93</v>
      </c>
      <c r="D74" s="3">
        <v>154</v>
      </c>
      <c r="E74" t="s">
        <v>28</v>
      </c>
      <c r="F74" t="s">
        <v>65</v>
      </c>
    </row>
    <row r="75" spans="1:6" x14ac:dyDescent="0.25">
      <c r="A75">
        <v>20181001</v>
      </c>
      <c r="B75" t="str">
        <f>"026879"</f>
        <v>026879</v>
      </c>
      <c r="C75" t="s">
        <v>94</v>
      </c>
      <c r="D75" s="3">
        <v>1000</v>
      </c>
      <c r="E75" t="s">
        <v>73</v>
      </c>
      <c r="F75" t="s">
        <v>65</v>
      </c>
    </row>
    <row r="76" spans="1:6" x14ac:dyDescent="0.25">
      <c r="A76">
        <v>20181001</v>
      </c>
      <c r="B76" t="str">
        <f>"026880"</f>
        <v>026880</v>
      </c>
      <c r="C76" t="s">
        <v>95</v>
      </c>
      <c r="D76" s="3">
        <v>275</v>
      </c>
      <c r="E76" t="s">
        <v>96</v>
      </c>
      <c r="F76" t="s">
        <v>65</v>
      </c>
    </row>
    <row r="77" spans="1:6" x14ac:dyDescent="0.25">
      <c r="A77">
        <v>20181001</v>
      </c>
      <c r="B77" t="str">
        <f>"026880"</f>
        <v>026880</v>
      </c>
      <c r="C77" t="s">
        <v>95</v>
      </c>
      <c r="D77" s="3">
        <v>275</v>
      </c>
      <c r="E77" t="s">
        <v>96</v>
      </c>
      <c r="F77" t="s">
        <v>65</v>
      </c>
    </row>
    <row r="78" spans="1:6" x14ac:dyDescent="0.25">
      <c r="A78">
        <v>20181001</v>
      </c>
      <c r="B78" t="str">
        <f>"026880"</f>
        <v>026880</v>
      </c>
      <c r="C78" t="s">
        <v>95</v>
      </c>
      <c r="D78" s="3">
        <v>275</v>
      </c>
      <c r="E78" t="s">
        <v>96</v>
      </c>
      <c r="F78" t="s">
        <v>65</v>
      </c>
    </row>
    <row r="79" spans="1:6" x14ac:dyDescent="0.25">
      <c r="A79">
        <v>20181001</v>
      </c>
      <c r="B79" t="str">
        <f>"026881"</f>
        <v>026881</v>
      </c>
      <c r="C79" t="s">
        <v>97</v>
      </c>
      <c r="D79" s="3">
        <v>315</v>
      </c>
      <c r="E79" t="s">
        <v>70</v>
      </c>
      <c r="F79" t="s">
        <v>65</v>
      </c>
    </row>
    <row r="80" spans="1:6" x14ac:dyDescent="0.25">
      <c r="A80">
        <v>20181001</v>
      </c>
      <c r="B80" t="str">
        <f>"026882"</f>
        <v>026882</v>
      </c>
      <c r="C80" t="s">
        <v>97</v>
      </c>
      <c r="D80" s="3">
        <v>660</v>
      </c>
      <c r="E80" t="s">
        <v>98</v>
      </c>
      <c r="F80" t="s">
        <v>65</v>
      </c>
    </row>
    <row r="81" spans="1:6" x14ac:dyDescent="0.25">
      <c r="A81">
        <v>20181001</v>
      </c>
      <c r="B81" t="str">
        <f>"026883"</f>
        <v>026883</v>
      </c>
      <c r="C81" t="s">
        <v>97</v>
      </c>
      <c r="D81" s="3">
        <v>360</v>
      </c>
      <c r="E81" t="s">
        <v>70</v>
      </c>
      <c r="F81" t="s">
        <v>65</v>
      </c>
    </row>
    <row r="82" spans="1:6" x14ac:dyDescent="0.25">
      <c r="A82">
        <v>20181001</v>
      </c>
      <c r="B82" t="str">
        <f>"026884"</f>
        <v>026884</v>
      </c>
      <c r="C82" t="s">
        <v>97</v>
      </c>
      <c r="D82" s="3">
        <v>85</v>
      </c>
      <c r="E82" t="s">
        <v>70</v>
      </c>
      <c r="F82" t="s">
        <v>65</v>
      </c>
    </row>
    <row r="83" spans="1:6" x14ac:dyDescent="0.25">
      <c r="A83">
        <v>20181001</v>
      </c>
      <c r="B83" t="str">
        <f>"026885"</f>
        <v>026885</v>
      </c>
      <c r="C83" t="s">
        <v>99</v>
      </c>
      <c r="D83" s="3">
        <v>590</v>
      </c>
      <c r="E83" t="s">
        <v>75</v>
      </c>
      <c r="F83" t="s">
        <v>65</v>
      </c>
    </row>
    <row r="84" spans="1:6" x14ac:dyDescent="0.25">
      <c r="A84">
        <v>20181001</v>
      </c>
      <c r="B84" t="str">
        <f>"026886"</f>
        <v>026886</v>
      </c>
      <c r="C84" t="s">
        <v>55</v>
      </c>
      <c r="D84" s="3">
        <v>59.06</v>
      </c>
      <c r="E84" t="s">
        <v>100</v>
      </c>
      <c r="F84" t="s">
        <v>65</v>
      </c>
    </row>
    <row r="85" spans="1:6" x14ac:dyDescent="0.25">
      <c r="A85">
        <v>20181001</v>
      </c>
      <c r="B85" t="str">
        <f>"026886"</f>
        <v>026886</v>
      </c>
      <c r="C85" t="s">
        <v>55</v>
      </c>
      <c r="D85" s="3">
        <v>249.39</v>
      </c>
      <c r="E85" t="s">
        <v>101</v>
      </c>
      <c r="F85" t="s">
        <v>65</v>
      </c>
    </row>
    <row r="86" spans="1:6" x14ac:dyDescent="0.25">
      <c r="A86">
        <v>20181001</v>
      </c>
      <c r="B86" t="str">
        <f>"026886"</f>
        <v>026886</v>
      </c>
      <c r="C86" t="s">
        <v>55</v>
      </c>
      <c r="D86" s="3">
        <v>561.97</v>
      </c>
      <c r="E86" t="s">
        <v>28</v>
      </c>
      <c r="F86" t="s">
        <v>65</v>
      </c>
    </row>
    <row r="87" spans="1:6" x14ac:dyDescent="0.25">
      <c r="A87">
        <v>20181001</v>
      </c>
      <c r="B87" t="str">
        <f>"026886"</f>
        <v>026886</v>
      </c>
      <c r="C87" t="s">
        <v>55</v>
      </c>
      <c r="D87" s="3">
        <v>148.97</v>
      </c>
      <c r="E87" t="s">
        <v>28</v>
      </c>
      <c r="F87" t="s">
        <v>65</v>
      </c>
    </row>
    <row r="88" spans="1:6" x14ac:dyDescent="0.25">
      <c r="A88">
        <v>20181001</v>
      </c>
      <c r="B88" t="str">
        <f>"026886"</f>
        <v>026886</v>
      </c>
      <c r="C88" t="s">
        <v>55</v>
      </c>
      <c r="D88" s="3">
        <v>446.5</v>
      </c>
      <c r="E88" t="s">
        <v>28</v>
      </c>
      <c r="F88" t="s">
        <v>65</v>
      </c>
    </row>
    <row r="89" spans="1:6" x14ac:dyDescent="0.25">
      <c r="A89">
        <v>20181001</v>
      </c>
      <c r="B89" t="str">
        <f>"026886"</f>
        <v>026886</v>
      </c>
      <c r="C89" t="s">
        <v>55</v>
      </c>
      <c r="D89" s="3">
        <v>39.96</v>
      </c>
      <c r="E89" t="s">
        <v>28</v>
      </c>
      <c r="F89" t="s">
        <v>65</v>
      </c>
    </row>
    <row r="90" spans="1:6" x14ac:dyDescent="0.25">
      <c r="A90">
        <v>20181001</v>
      </c>
      <c r="B90" t="str">
        <f>"026886"</f>
        <v>026886</v>
      </c>
      <c r="C90" t="s">
        <v>55</v>
      </c>
      <c r="D90" s="3">
        <v>178.79</v>
      </c>
      <c r="E90" t="s">
        <v>28</v>
      </c>
      <c r="F90" t="s">
        <v>65</v>
      </c>
    </row>
    <row r="91" spans="1:6" x14ac:dyDescent="0.25">
      <c r="A91">
        <v>20181001</v>
      </c>
      <c r="B91" t="str">
        <f>"026886"</f>
        <v>026886</v>
      </c>
      <c r="C91" t="s">
        <v>55</v>
      </c>
      <c r="D91" s="3">
        <v>232.4</v>
      </c>
      <c r="E91" t="s">
        <v>28</v>
      </c>
      <c r="F91" t="s">
        <v>65</v>
      </c>
    </row>
    <row r="92" spans="1:6" x14ac:dyDescent="0.25">
      <c r="A92">
        <v>20181001</v>
      </c>
      <c r="B92" t="str">
        <f>"026887"</f>
        <v>026887</v>
      </c>
      <c r="C92" t="s">
        <v>102</v>
      </c>
      <c r="D92" s="3">
        <v>735</v>
      </c>
      <c r="E92" t="s">
        <v>28</v>
      </c>
      <c r="F92" t="s">
        <v>65</v>
      </c>
    </row>
    <row r="93" spans="1:6" x14ac:dyDescent="0.25">
      <c r="A93">
        <v>20181001</v>
      </c>
      <c r="B93" t="str">
        <f>"026888"</f>
        <v>026888</v>
      </c>
      <c r="C93" t="s">
        <v>62</v>
      </c>
      <c r="D93" s="3">
        <v>525</v>
      </c>
      <c r="E93" t="s">
        <v>103</v>
      </c>
      <c r="F93" t="s">
        <v>65</v>
      </c>
    </row>
    <row r="94" spans="1:6" x14ac:dyDescent="0.25">
      <c r="A94">
        <v>20181009</v>
      </c>
      <c r="B94" t="str">
        <f>"026889"</f>
        <v>026889</v>
      </c>
      <c r="C94" t="s">
        <v>31</v>
      </c>
      <c r="D94" s="3">
        <v>400</v>
      </c>
      <c r="E94" t="s">
        <v>104</v>
      </c>
      <c r="F94" t="s">
        <v>65</v>
      </c>
    </row>
    <row r="95" spans="1:6" x14ac:dyDescent="0.25">
      <c r="A95">
        <v>20181009</v>
      </c>
      <c r="B95" t="str">
        <f>"026890"</f>
        <v>026890</v>
      </c>
      <c r="C95" t="s">
        <v>31</v>
      </c>
      <c r="D95" s="3">
        <v>300</v>
      </c>
      <c r="E95" t="s">
        <v>105</v>
      </c>
      <c r="F95" t="s">
        <v>65</v>
      </c>
    </row>
    <row r="96" spans="1:6" x14ac:dyDescent="0.25">
      <c r="A96">
        <v>20181009</v>
      </c>
      <c r="B96" t="str">
        <f>"026891"</f>
        <v>026891</v>
      </c>
      <c r="C96" t="s">
        <v>106</v>
      </c>
      <c r="D96" s="3">
        <v>800</v>
      </c>
      <c r="E96" t="s">
        <v>107</v>
      </c>
      <c r="F96" t="s">
        <v>65</v>
      </c>
    </row>
    <row r="97" spans="1:6" x14ac:dyDescent="0.25">
      <c r="A97">
        <v>20181009</v>
      </c>
      <c r="B97" t="str">
        <f>"026891"</f>
        <v>026891</v>
      </c>
      <c r="C97" t="s">
        <v>106</v>
      </c>
      <c r="D97" s="3">
        <v>4485</v>
      </c>
      <c r="E97" t="s">
        <v>108</v>
      </c>
      <c r="F97" t="s">
        <v>65</v>
      </c>
    </row>
    <row r="98" spans="1:6" x14ac:dyDescent="0.25">
      <c r="A98">
        <v>20181009</v>
      </c>
      <c r="B98" t="str">
        <f>"026892"</f>
        <v>026892</v>
      </c>
      <c r="C98" t="s">
        <v>97</v>
      </c>
      <c r="D98" s="3">
        <v>320</v>
      </c>
      <c r="E98" t="s">
        <v>109</v>
      </c>
      <c r="F98" t="s">
        <v>65</v>
      </c>
    </row>
    <row r="99" spans="1:6" x14ac:dyDescent="0.25">
      <c r="A99">
        <v>20181009</v>
      </c>
      <c r="B99" t="str">
        <f>"026893"</f>
        <v>026893</v>
      </c>
      <c r="C99" t="s">
        <v>97</v>
      </c>
      <c r="D99" s="3">
        <v>315</v>
      </c>
      <c r="E99" t="s">
        <v>110</v>
      </c>
      <c r="F99" t="s">
        <v>65</v>
      </c>
    </row>
    <row r="100" spans="1:6" x14ac:dyDescent="0.25">
      <c r="A100">
        <v>20181009</v>
      </c>
      <c r="B100" t="str">
        <f>"026894"</f>
        <v>026894</v>
      </c>
      <c r="C100" t="s">
        <v>97</v>
      </c>
      <c r="D100" s="3">
        <v>300</v>
      </c>
      <c r="E100" t="s">
        <v>70</v>
      </c>
      <c r="F100" t="s">
        <v>65</v>
      </c>
    </row>
    <row r="101" spans="1:6" x14ac:dyDescent="0.25">
      <c r="A101">
        <v>20181012</v>
      </c>
      <c r="B101" t="str">
        <f>"026895"</f>
        <v>026895</v>
      </c>
      <c r="C101" t="s">
        <v>97</v>
      </c>
      <c r="D101" s="3">
        <v>30</v>
      </c>
      <c r="E101" t="s">
        <v>111</v>
      </c>
      <c r="F101" t="s">
        <v>65</v>
      </c>
    </row>
    <row r="102" spans="1:6" x14ac:dyDescent="0.25">
      <c r="A102">
        <v>20181015</v>
      </c>
      <c r="B102" t="str">
        <f>"026896"</f>
        <v>026896</v>
      </c>
      <c r="C102" t="s">
        <v>112</v>
      </c>
      <c r="D102" s="3">
        <v>1755</v>
      </c>
      <c r="E102" t="s">
        <v>113</v>
      </c>
      <c r="F102" t="s">
        <v>19</v>
      </c>
    </row>
    <row r="103" spans="1:6" x14ac:dyDescent="0.25">
      <c r="A103">
        <v>20181015</v>
      </c>
      <c r="B103" t="str">
        <f>"026897"</f>
        <v>026897</v>
      </c>
      <c r="C103" t="s">
        <v>6</v>
      </c>
      <c r="D103" s="3">
        <v>2940</v>
      </c>
      <c r="E103" t="s">
        <v>114</v>
      </c>
      <c r="F103" t="s">
        <v>19</v>
      </c>
    </row>
    <row r="104" spans="1:6" x14ac:dyDescent="0.25">
      <c r="A104">
        <v>20181015</v>
      </c>
      <c r="B104" t="str">
        <f>"026897"</f>
        <v>026897</v>
      </c>
      <c r="C104" t="s">
        <v>6</v>
      </c>
      <c r="D104" s="3">
        <v>1495</v>
      </c>
      <c r="E104" t="s">
        <v>114</v>
      </c>
      <c r="F104" t="s">
        <v>19</v>
      </c>
    </row>
    <row r="105" spans="1:6" x14ac:dyDescent="0.25">
      <c r="A105">
        <v>20181015</v>
      </c>
      <c r="B105" t="str">
        <f>"026898"</f>
        <v>026898</v>
      </c>
      <c r="C105" t="s">
        <v>115</v>
      </c>
      <c r="D105" s="3">
        <v>325</v>
      </c>
      <c r="E105" t="s">
        <v>116</v>
      </c>
      <c r="F105" t="s">
        <v>19</v>
      </c>
    </row>
    <row r="106" spans="1:6" x14ac:dyDescent="0.25">
      <c r="A106">
        <v>20181015</v>
      </c>
      <c r="B106" t="str">
        <f>"026899"</f>
        <v>026899</v>
      </c>
      <c r="C106" t="s">
        <v>29</v>
      </c>
      <c r="D106" s="3">
        <v>4467.83</v>
      </c>
      <c r="E106" t="s">
        <v>30</v>
      </c>
      <c r="F106" t="s">
        <v>19</v>
      </c>
    </row>
    <row r="107" spans="1:6" x14ac:dyDescent="0.25">
      <c r="A107">
        <v>20181015</v>
      </c>
      <c r="B107" t="str">
        <f>"026899"</f>
        <v>026899</v>
      </c>
      <c r="C107" t="s">
        <v>29</v>
      </c>
      <c r="D107" s="3">
        <v>4332.17</v>
      </c>
      <c r="E107" t="s">
        <v>30</v>
      </c>
      <c r="F107" t="s">
        <v>19</v>
      </c>
    </row>
    <row r="108" spans="1:6" x14ac:dyDescent="0.25">
      <c r="A108">
        <v>20181015</v>
      </c>
      <c r="B108" t="str">
        <f>"026900"</f>
        <v>026900</v>
      </c>
      <c r="C108" t="s">
        <v>117</v>
      </c>
      <c r="D108" s="3">
        <v>300</v>
      </c>
      <c r="E108" t="s">
        <v>116</v>
      </c>
      <c r="F108" t="s">
        <v>19</v>
      </c>
    </row>
    <row r="109" spans="1:6" x14ac:dyDescent="0.25">
      <c r="A109">
        <v>20181015</v>
      </c>
      <c r="B109" t="str">
        <f>"026901"</f>
        <v>026901</v>
      </c>
      <c r="C109" t="s">
        <v>118</v>
      </c>
      <c r="D109" s="3">
        <v>1672</v>
      </c>
      <c r="E109" t="s">
        <v>119</v>
      </c>
      <c r="F109" t="s">
        <v>19</v>
      </c>
    </row>
    <row r="110" spans="1:6" x14ac:dyDescent="0.25">
      <c r="A110">
        <v>20181015</v>
      </c>
      <c r="B110" t="str">
        <f>"026902"</f>
        <v>026902</v>
      </c>
      <c r="C110" t="s">
        <v>41</v>
      </c>
      <c r="D110" s="3">
        <v>384.2</v>
      </c>
      <c r="E110" t="s">
        <v>120</v>
      </c>
      <c r="F110" t="s">
        <v>19</v>
      </c>
    </row>
    <row r="111" spans="1:6" x14ac:dyDescent="0.25">
      <c r="A111">
        <v>20181015</v>
      </c>
      <c r="B111" t="str">
        <f>"026903"</f>
        <v>026903</v>
      </c>
      <c r="C111" t="s">
        <v>121</v>
      </c>
      <c r="D111" s="3">
        <v>1281</v>
      </c>
      <c r="E111" t="s">
        <v>111</v>
      </c>
      <c r="F111" t="s">
        <v>19</v>
      </c>
    </row>
    <row r="112" spans="1:6" x14ac:dyDescent="0.25">
      <c r="A112">
        <v>20181015</v>
      </c>
      <c r="B112" t="str">
        <f>"026904"</f>
        <v>026904</v>
      </c>
      <c r="C112" t="s">
        <v>122</v>
      </c>
      <c r="D112" s="3">
        <v>1197</v>
      </c>
      <c r="E112" t="s">
        <v>123</v>
      </c>
      <c r="F112" t="s">
        <v>19</v>
      </c>
    </row>
    <row r="113" spans="1:6" x14ac:dyDescent="0.25">
      <c r="A113">
        <v>20181015</v>
      </c>
      <c r="B113" t="str">
        <f>"026905"</f>
        <v>026905</v>
      </c>
      <c r="C113" t="s">
        <v>124</v>
      </c>
      <c r="D113" s="3">
        <v>1780</v>
      </c>
      <c r="E113" t="s">
        <v>125</v>
      </c>
      <c r="F113" t="s">
        <v>19</v>
      </c>
    </row>
    <row r="114" spans="1:6" x14ac:dyDescent="0.25">
      <c r="A114">
        <v>20181015</v>
      </c>
      <c r="B114" t="str">
        <f>"026905"</f>
        <v>026905</v>
      </c>
      <c r="C114" t="s">
        <v>124</v>
      </c>
      <c r="D114" s="3">
        <v>5908</v>
      </c>
      <c r="E114" t="s">
        <v>30</v>
      </c>
      <c r="F114" t="s">
        <v>19</v>
      </c>
    </row>
    <row r="115" spans="1:6" x14ac:dyDescent="0.25">
      <c r="A115">
        <v>20181015</v>
      </c>
      <c r="B115" t="str">
        <f>"026906"</f>
        <v>026906</v>
      </c>
      <c r="C115" t="s">
        <v>44</v>
      </c>
      <c r="D115" s="3">
        <v>40.5</v>
      </c>
      <c r="E115" t="s">
        <v>45</v>
      </c>
      <c r="F115" t="s">
        <v>19</v>
      </c>
    </row>
    <row r="116" spans="1:6" x14ac:dyDescent="0.25">
      <c r="A116">
        <v>20181015</v>
      </c>
      <c r="B116" t="str">
        <f>"026906"</f>
        <v>026906</v>
      </c>
      <c r="C116" t="s">
        <v>44</v>
      </c>
      <c r="D116" s="3">
        <v>63</v>
      </c>
      <c r="E116" t="s">
        <v>45</v>
      </c>
      <c r="F116" t="s">
        <v>19</v>
      </c>
    </row>
    <row r="117" spans="1:6" x14ac:dyDescent="0.25">
      <c r="A117">
        <v>20181015</v>
      </c>
      <c r="B117" t="str">
        <f>"026907"</f>
        <v>026907</v>
      </c>
      <c r="C117" t="s">
        <v>126</v>
      </c>
      <c r="D117" s="3">
        <v>-19.989999999999998</v>
      </c>
      <c r="E117" t="s">
        <v>128</v>
      </c>
      <c r="F117" t="s">
        <v>19</v>
      </c>
    </row>
    <row r="118" spans="1:6" x14ac:dyDescent="0.25">
      <c r="A118">
        <v>20181015</v>
      </c>
      <c r="B118" t="str">
        <f>"026907"</f>
        <v>026907</v>
      </c>
      <c r="C118" t="s">
        <v>126</v>
      </c>
      <c r="D118" s="3">
        <v>19.989999999999998</v>
      </c>
      <c r="E118" t="s">
        <v>127</v>
      </c>
      <c r="F118" t="s">
        <v>19</v>
      </c>
    </row>
    <row r="119" spans="1:6" x14ac:dyDescent="0.25">
      <c r="A119">
        <v>20181015</v>
      </c>
      <c r="B119" t="str">
        <f>"026907"</f>
        <v>026907</v>
      </c>
      <c r="C119" t="s">
        <v>126</v>
      </c>
      <c r="D119" s="3">
        <v>25.58</v>
      </c>
      <c r="E119" t="s">
        <v>127</v>
      </c>
      <c r="F119" t="s">
        <v>19</v>
      </c>
    </row>
    <row r="120" spans="1:6" x14ac:dyDescent="0.25">
      <c r="A120">
        <v>20181015</v>
      </c>
      <c r="B120" t="str">
        <f>"026907"</f>
        <v>026907</v>
      </c>
      <c r="C120" t="s">
        <v>126</v>
      </c>
      <c r="D120" s="3">
        <v>58.4</v>
      </c>
      <c r="E120" t="s">
        <v>127</v>
      </c>
      <c r="F120" t="s">
        <v>19</v>
      </c>
    </row>
    <row r="121" spans="1:6" x14ac:dyDescent="0.25">
      <c r="A121">
        <v>20181015</v>
      </c>
      <c r="B121" t="str">
        <f>"026907"</f>
        <v>026907</v>
      </c>
      <c r="C121" t="s">
        <v>126</v>
      </c>
      <c r="D121" s="3">
        <v>19.989999999999998</v>
      </c>
      <c r="E121" t="s">
        <v>127</v>
      </c>
      <c r="F121" t="s">
        <v>19</v>
      </c>
    </row>
    <row r="122" spans="1:6" x14ac:dyDescent="0.25">
      <c r="A122">
        <v>20181015</v>
      </c>
      <c r="B122" t="str">
        <f>"026908"</f>
        <v>026908</v>
      </c>
      <c r="C122" t="s">
        <v>46</v>
      </c>
      <c r="D122" s="3">
        <v>67</v>
      </c>
      <c r="E122" t="s">
        <v>28</v>
      </c>
      <c r="F122" t="s">
        <v>19</v>
      </c>
    </row>
    <row r="123" spans="1:6" x14ac:dyDescent="0.25">
      <c r="A123">
        <v>20181015</v>
      </c>
      <c r="B123" t="str">
        <f>"026909"</f>
        <v>026909</v>
      </c>
      <c r="C123" t="s">
        <v>47</v>
      </c>
      <c r="D123" s="3">
        <v>3632.34</v>
      </c>
      <c r="E123" t="s">
        <v>48</v>
      </c>
      <c r="F123" t="s">
        <v>19</v>
      </c>
    </row>
    <row r="124" spans="1:6" x14ac:dyDescent="0.25">
      <c r="A124">
        <v>20181015</v>
      </c>
      <c r="B124" t="str">
        <f>"026909"</f>
        <v>026909</v>
      </c>
      <c r="C124" t="s">
        <v>47</v>
      </c>
      <c r="D124" s="3">
        <v>4247.4799999999996</v>
      </c>
      <c r="E124" t="s">
        <v>129</v>
      </c>
      <c r="F124" t="s">
        <v>19</v>
      </c>
    </row>
    <row r="125" spans="1:6" x14ac:dyDescent="0.25">
      <c r="A125">
        <v>20181015</v>
      </c>
      <c r="B125" t="str">
        <f>"026910"</f>
        <v>026910</v>
      </c>
      <c r="C125" t="s">
        <v>130</v>
      </c>
      <c r="D125" s="3">
        <v>632.5</v>
      </c>
      <c r="E125" t="s">
        <v>114</v>
      </c>
      <c r="F125" t="s">
        <v>19</v>
      </c>
    </row>
    <row r="126" spans="1:6" x14ac:dyDescent="0.25">
      <c r="A126">
        <v>20181015</v>
      </c>
      <c r="B126" t="str">
        <f>"026910"</f>
        <v>026910</v>
      </c>
      <c r="C126" t="s">
        <v>130</v>
      </c>
      <c r="D126" s="3">
        <v>556.6</v>
      </c>
      <c r="E126" t="s">
        <v>114</v>
      </c>
      <c r="F126" t="s">
        <v>19</v>
      </c>
    </row>
    <row r="127" spans="1:6" x14ac:dyDescent="0.25">
      <c r="A127">
        <v>20181015</v>
      </c>
      <c r="B127" t="str">
        <f>"026910"</f>
        <v>026910</v>
      </c>
      <c r="C127" t="s">
        <v>130</v>
      </c>
      <c r="D127" s="3">
        <v>474.38</v>
      </c>
      <c r="E127" t="s">
        <v>114</v>
      </c>
      <c r="F127" t="s">
        <v>19</v>
      </c>
    </row>
    <row r="128" spans="1:6" x14ac:dyDescent="0.25">
      <c r="A128">
        <v>20181015</v>
      </c>
      <c r="B128" t="str">
        <f>"026910"</f>
        <v>026910</v>
      </c>
      <c r="C128" t="s">
        <v>130</v>
      </c>
      <c r="D128" s="3">
        <v>569.25</v>
      </c>
      <c r="E128" t="s">
        <v>114</v>
      </c>
      <c r="F128" t="s">
        <v>19</v>
      </c>
    </row>
    <row r="129" spans="1:6" x14ac:dyDescent="0.25">
      <c r="A129">
        <v>20181015</v>
      </c>
      <c r="B129" t="str">
        <f>"026910"</f>
        <v>026910</v>
      </c>
      <c r="C129" t="s">
        <v>130</v>
      </c>
      <c r="D129" s="3">
        <v>489.32</v>
      </c>
      <c r="E129" t="s">
        <v>114</v>
      </c>
      <c r="F129" t="s">
        <v>19</v>
      </c>
    </row>
    <row r="130" spans="1:6" x14ac:dyDescent="0.25">
      <c r="A130">
        <v>20181015</v>
      </c>
      <c r="B130" t="str">
        <f>"026911"</f>
        <v>026911</v>
      </c>
      <c r="C130" t="s">
        <v>131</v>
      </c>
      <c r="D130" s="3">
        <v>350</v>
      </c>
      <c r="E130" t="s">
        <v>132</v>
      </c>
      <c r="F130" t="s">
        <v>19</v>
      </c>
    </row>
    <row r="131" spans="1:6" x14ac:dyDescent="0.25">
      <c r="A131">
        <v>20181015</v>
      </c>
      <c r="B131" t="str">
        <f>"026912"</f>
        <v>026912</v>
      </c>
      <c r="C131" t="s">
        <v>133</v>
      </c>
      <c r="D131" s="3">
        <v>87.5</v>
      </c>
      <c r="E131" t="s">
        <v>134</v>
      </c>
      <c r="F131" t="s">
        <v>19</v>
      </c>
    </row>
    <row r="132" spans="1:6" x14ac:dyDescent="0.25">
      <c r="A132">
        <v>20181015</v>
      </c>
      <c r="B132" t="str">
        <f>"026913"</f>
        <v>026913</v>
      </c>
      <c r="C132" t="s">
        <v>62</v>
      </c>
      <c r="D132" s="3">
        <v>2250</v>
      </c>
      <c r="E132" t="s">
        <v>135</v>
      </c>
      <c r="F132" t="s">
        <v>19</v>
      </c>
    </row>
    <row r="133" spans="1:6" x14ac:dyDescent="0.25">
      <c r="A133">
        <v>20181015</v>
      </c>
      <c r="B133" t="str">
        <f>"026914"</f>
        <v>026914</v>
      </c>
      <c r="C133" t="s">
        <v>136</v>
      </c>
      <c r="D133" s="3">
        <v>507.26</v>
      </c>
      <c r="E133" t="s">
        <v>28</v>
      </c>
      <c r="F133" t="s">
        <v>65</v>
      </c>
    </row>
    <row r="134" spans="1:6" x14ac:dyDescent="0.25">
      <c r="A134">
        <v>20181015</v>
      </c>
      <c r="B134" t="str">
        <f>"026915"</f>
        <v>026915</v>
      </c>
      <c r="C134" t="s">
        <v>69</v>
      </c>
      <c r="D134" s="3">
        <v>1348.25</v>
      </c>
      <c r="E134" t="s">
        <v>137</v>
      </c>
      <c r="F134" t="s">
        <v>65</v>
      </c>
    </row>
    <row r="135" spans="1:6" x14ac:dyDescent="0.25">
      <c r="A135">
        <v>20181015</v>
      </c>
      <c r="B135" t="str">
        <f>"026916"</f>
        <v>026916</v>
      </c>
      <c r="C135" t="s">
        <v>74</v>
      </c>
      <c r="D135" s="3">
        <v>4148</v>
      </c>
      <c r="E135" t="s">
        <v>28</v>
      </c>
      <c r="F135" t="s">
        <v>65</v>
      </c>
    </row>
    <row r="136" spans="1:6" x14ac:dyDescent="0.25">
      <c r="A136">
        <v>20181015</v>
      </c>
      <c r="B136" t="str">
        <f>"026916"</f>
        <v>026916</v>
      </c>
      <c r="C136" t="s">
        <v>74</v>
      </c>
      <c r="D136" s="3">
        <v>7302.65</v>
      </c>
      <c r="E136" t="s">
        <v>28</v>
      </c>
      <c r="F136" t="s">
        <v>65</v>
      </c>
    </row>
    <row r="137" spans="1:6" x14ac:dyDescent="0.25">
      <c r="A137">
        <v>20181015</v>
      </c>
      <c r="B137" t="str">
        <f>"026917"</f>
        <v>026917</v>
      </c>
      <c r="C137" t="s">
        <v>138</v>
      </c>
      <c r="D137" s="3">
        <v>785.89</v>
      </c>
      <c r="E137" t="s">
        <v>100</v>
      </c>
      <c r="F137" t="s">
        <v>65</v>
      </c>
    </row>
    <row r="138" spans="1:6" x14ac:dyDescent="0.25">
      <c r="A138">
        <v>20181015</v>
      </c>
      <c r="B138" t="str">
        <f>"026918"</f>
        <v>026918</v>
      </c>
      <c r="C138" t="s">
        <v>76</v>
      </c>
      <c r="D138" s="3">
        <v>700</v>
      </c>
      <c r="E138" t="s">
        <v>77</v>
      </c>
      <c r="F138" t="s">
        <v>65</v>
      </c>
    </row>
    <row r="139" spans="1:6" x14ac:dyDescent="0.25">
      <c r="A139">
        <v>20181015</v>
      </c>
      <c r="B139" t="str">
        <f>"026919"</f>
        <v>026919</v>
      </c>
      <c r="C139" t="s">
        <v>139</v>
      </c>
      <c r="D139" s="3">
        <v>95</v>
      </c>
      <c r="E139" t="s">
        <v>140</v>
      </c>
      <c r="F139" t="s">
        <v>65</v>
      </c>
    </row>
    <row r="140" spans="1:6" x14ac:dyDescent="0.25">
      <c r="A140">
        <v>20181015</v>
      </c>
      <c r="B140" t="str">
        <f>"026920"</f>
        <v>026920</v>
      </c>
      <c r="C140" t="s">
        <v>141</v>
      </c>
      <c r="D140" s="3">
        <v>29.86</v>
      </c>
      <c r="E140" t="s">
        <v>28</v>
      </c>
      <c r="F140" t="s">
        <v>65</v>
      </c>
    </row>
    <row r="141" spans="1:6" x14ac:dyDescent="0.25">
      <c r="A141">
        <v>20181015</v>
      </c>
      <c r="B141" t="str">
        <f>"026921"</f>
        <v>026921</v>
      </c>
      <c r="C141" t="s">
        <v>142</v>
      </c>
      <c r="D141" s="3">
        <v>50000</v>
      </c>
      <c r="E141" t="s">
        <v>143</v>
      </c>
      <c r="F141" t="s">
        <v>65</v>
      </c>
    </row>
    <row r="142" spans="1:6" x14ac:dyDescent="0.25">
      <c r="A142">
        <v>20181015</v>
      </c>
      <c r="B142" t="str">
        <f>"026922"</f>
        <v>026922</v>
      </c>
      <c r="C142" t="s">
        <v>144</v>
      </c>
      <c r="D142" s="3">
        <v>4549</v>
      </c>
      <c r="E142" t="s">
        <v>145</v>
      </c>
      <c r="F142" t="s">
        <v>65</v>
      </c>
    </row>
    <row r="143" spans="1:6" x14ac:dyDescent="0.25">
      <c r="A143">
        <v>20181015</v>
      </c>
      <c r="B143" t="str">
        <f>"026923"</f>
        <v>026923</v>
      </c>
      <c r="C143" t="s">
        <v>146</v>
      </c>
      <c r="D143" s="3">
        <v>1673.08</v>
      </c>
      <c r="E143" t="s">
        <v>147</v>
      </c>
      <c r="F143" t="s">
        <v>65</v>
      </c>
    </row>
    <row r="144" spans="1:6" x14ac:dyDescent="0.25">
      <c r="A144">
        <v>20181015</v>
      </c>
      <c r="B144" t="str">
        <f>"026923"</f>
        <v>026923</v>
      </c>
      <c r="C144" t="s">
        <v>146</v>
      </c>
      <c r="D144" s="3">
        <v>670.5</v>
      </c>
      <c r="E144" t="s">
        <v>147</v>
      </c>
      <c r="F144" t="s">
        <v>65</v>
      </c>
    </row>
    <row r="145" spans="1:6" x14ac:dyDescent="0.25">
      <c r="A145">
        <v>20181015</v>
      </c>
      <c r="B145" t="str">
        <f>"026923"</f>
        <v>026923</v>
      </c>
      <c r="C145" t="s">
        <v>146</v>
      </c>
      <c r="D145" s="3">
        <v>8.9499999999999993</v>
      </c>
      <c r="E145" t="s">
        <v>147</v>
      </c>
      <c r="F145" t="s">
        <v>65</v>
      </c>
    </row>
    <row r="146" spans="1:6" x14ac:dyDescent="0.25">
      <c r="A146">
        <v>20181015</v>
      </c>
      <c r="B146" t="str">
        <f>"026923"</f>
        <v>026923</v>
      </c>
      <c r="C146" t="s">
        <v>146</v>
      </c>
      <c r="D146" s="3">
        <v>120</v>
      </c>
      <c r="E146" t="s">
        <v>147</v>
      </c>
      <c r="F146" t="s">
        <v>65</v>
      </c>
    </row>
    <row r="147" spans="1:6" x14ac:dyDescent="0.25">
      <c r="A147">
        <v>20181015</v>
      </c>
      <c r="B147" t="str">
        <f>"026924"</f>
        <v>026924</v>
      </c>
      <c r="C147" t="s">
        <v>148</v>
      </c>
      <c r="D147" s="3">
        <v>46.3</v>
      </c>
      <c r="E147" t="s">
        <v>149</v>
      </c>
      <c r="F147" t="s">
        <v>65</v>
      </c>
    </row>
    <row r="148" spans="1:6" x14ac:dyDescent="0.25">
      <c r="A148">
        <v>20181015</v>
      </c>
      <c r="B148" t="str">
        <f>"026925"</f>
        <v>026925</v>
      </c>
      <c r="C148" t="s">
        <v>27</v>
      </c>
      <c r="D148" s="3">
        <v>426.96</v>
      </c>
      <c r="E148" t="s">
        <v>101</v>
      </c>
      <c r="F148" t="s">
        <v>65</v>
      </c>
    </row>
    <row r="149" spans="1:6" x14ac:dyDescent="0.25">
      <c r="A149">
        <v>20181015</v>
      </c>
      <c r="B149" t="str">
        <f>"026926"</f>
        <v>026926</v>
      </c>
      <c r="C149" t="s">
        <v>150</v>
      </c>
      <c r="D149" s="3">
        <v>1056.8499999999999</v>
      </c>
      <c r="E149" t="s">
        <v>151</v>
      </c>
      <c r="F149" t="s">
        <v>65</v>
      </c>
    </row>
    <row r="150" spans="1:6" x14ac:dyDescent="0.25">
      <c r="A150">
        <v>20181015</v>
      </c>
      <c r="B150" t="str">
        <f>"026927"</f>
        <v>026927</v>
      </c>
      <c r="C150" t="s">
        <v>152</v>
      </c>
      <c r="D150" s="3">
        <v>385</v>
      </c>
      <c r="E150" t="s">
        <v>153</v>
      </c>
      <c r="F150" t="s">
        <v>65</v>
      </c>
    </row>
    <row r="151" spans="1:6" x14ac:dyDescent="0.25">
      <c r="A151">
        <v>20181015</v>
      </c>
      <c r="B151" t="str">
        <f>"026928"</f>
        <v>026928</v>
      </c>
      <c r="C151" t="s">
        <v>93</v>
      </c>
      <c r="D151" s="3">
        <v>74.5</v>
      </c>
      <c r="E151" t="s">
        <v>154</v>
      </c>
      <c r="F151" t="s">
        <v>65</v>
      </c>
    </row>
    <row r="152" spans="1:6" x14ac:dyDescent="0.25">
      <c r="A152">
        <v>20181015</v>
      </c>
      <c r="B152" t="str">
        <f>"026929"</f>
        <v>026929</v>
      </c>
      <c r="C152" t="s">
        <v>155</v>
      </c>
      <c r="D152" s="3">
        <v>4000</v>
      </c>
      <c r="E152" t="s">
        <v>156</v>
      </c>
      <c r="F152" t="s">
        <v>65</v>
      </c>
    </row>
    <row r="153" spans="1:6" x14ac:dyDescent="0.25">
      <c r="A153">
        <v>20181015</v>
      </c>
      <c r="B153" t="str">
        <f>"026930"</f>
        <v>026930</v>
      </c>
      <c r="C153" t="s">
        <v>126</v>
      </c>
      <c r="D153" s="3">
        <v>254.98</v>
      </c>
      <c r="E153" t="s">
        <v>77</v>
      </c>
      <c r="F153" t="s">
        <v>65</v>
      </c>
    </row>
    <row r="154" spans="1:6" x14ac:dyDescent="0.25">
      <c r="A154">
        <v>20181015</v>
      </c>
      <c r="B154" t="str">
        <f>"026931"</f>
        <v>026931</v>
      </c>
      <c r="C154" t="s">
        <v>157</v>
      </c>
      <c r="D154" s="3">
        <v>741.2</v>
      </c>
      <c r="E154" t="s">
        <v>28</v>
      </c>
      <c r="F154" t="s">
        <v>65</v>
      </c>
    </row>
    <row r="155" spans="1:6" x14ac:dyDescent="0.25">
      <c r="A155">
        <v>20181015</v>
      </c>
      <c r="B155" t="str">
        <f>"026932"</f>
        <v>026932</v>
      </c>
      <c r="C155" t="s">
        <v>158</v>
      </c>
      <c r="D155" s="3">
        <v>1950</v>
      </c>
      <c r="E155" t="s">
        <v>159</v>
      </c>
      <c r="F155" t="s">
        <v>65</v>
      </c>
    </row>
    <row r="156" spans="1:6" x14ac:dyDescent="0.25">
      <c r="A156">
        <v>20181015</v>
      </c>
      <c r="B156" t="str">
        <f>"026933"</f>
        <v>026933</v>
      </c>
      <c r="C156" t="s">
        <v>62</v>
      </c>
      <c r="D156" s="3">
        <v>384</v>
      </c>
      <c r="E156" t="s">
        <v>77</v>
      </c>
      <c r="F156" t="s">
        <v>65</v>
      </c>
    </row>
    <row r="157" spans="1:6" x14ac:dyDescent="0.25">
      <c r="A157">
        <v>20181022</v>
      </c>
      <c r="B157" t="str">
        <f>"026934"</f>
        <v>026934</v>
      </c>
      <c r="C157" t="s">
        <v>31</v>
      </c>
      <c r="D157" s="3">
        <v>75</v>
      </c>
      <c r="E157" t="s">
        <v>32</v>
      </c>
      <c r="F157" t="s">
        <v>19</v>
      </c>
    </row>
    <row r="158" spans="1:6" x14ac:dyDescent="0.25">
      <c r="A158">
        <v>20181022</v>
      </c>
      <c r="B158" t="str">
        <f>"026935"</f>
        <v>026935</v>
      </c>
      <c r="C158" t="s">
        <v>160</v>
      </c>
      <c r="D158" s="3">
        <v>52</v>
      </c>
      <c r="E158" t="s">
        <v>163</v>
      </c>
      <c r="F158" t="s">
        <v>19</v>
      </c>
    </row>
    <row r="159" spans="1:6" x14ac:dyDescent="0.25">
      <c r="A159">
        <v>20181022</v>
      </c>
      <c r="B159" t="str">
        <f>"026935"</f>
        <v>026935</v>
      </c>
      <c r="C159" t="s">
        <v>160</v>
      </c>
      <c r="D159" s="3">
        <v>25</v>
      </c>
      <c r="E159" t="s">
        <v>163</v>
      </c>
      <c r="F159" t="s">
        <v>19</v>
      </c>
    </row>
    <row r="160" spans="1:6" x14ac:dyDescent="0.25">
      <c r="A160">
        <v>20181022</v>
      </c>
      <c r="B160" t="str">
        <f>"026935"</f>
        <v>026935</v>
      </c>
      <c r="C160" t="s">
        <v>160</v>
      </c>
      <c r="D160" s="3">
        <v>25</v>
      </c>
      <c r="E160" t="s">
        <v>163</v>
      </c>
      <c r="F160" t="s">
        <v>19</v>
      </c>
    </row>
    <row r="161" spans="1:6" x14ac:dyDescent="0.25">
      <c r="A161">
        <v>20181022</v>
      </c>
      <c r="B161" t="str">
        <f>"026935"</f>
        <v>026935</v>
      </c>
      <c r="C161" t="s">
        <v>160</v>
      </c>
      <c r="D161" s="3">
        <v>100</v>
      </c>
      <c r="E161" t="s">
        <v>111</v>
      </c>
      <c r="F161" t="s">
        <v>19</v>
      </c>
    </row>
    <row r="162" spans="1:6" x14ac:dyDescent="0.25">
      <c r="A162">
        <v>20181022</v>
      </c>
      <c r="B162" t="str">
        <f>"026935"</f>
        <v>026935</v>
      </c>
      <c r="C162" t="s">
        <v>160</v>
      </c>
      <c r="D162" s="3">
        <v>25.99</v>
      </c>
      <c r="E162" t="s">
        <v>162</v>
      </c>
      <c r="F162" t="s">
        <v>19</v>
      </c>
    </row>
    <row r="163" spans="1:6" x14ac:dyDescent="0.25">
      <c r="A163">
        <v>20181022</v>
      </c>
      <c r="B163" t="str">
        <f>"026935"</f>
        <v>026935</v>
      </c>
      <c r="C163" t="s">
        <v>160</v>
      </c>
      <c r="D163" s="3">
        <v>66.36</v>
      </c>
      <c r="E163" t="s">
        <v>56</v>
      </c>
      <c r="F163" t="s">
        <v>19</v>
      </c>
    </row>
    <row r="164" spans="1:6" x14ac:dyDescent="0.25">
      <c r="A164">
        <v>20181022</v>
      </c>
      <c r="B164" t="str">
        <f>"026935"</f>
        <v>026935</v>
      </c>
      <c r="C164" t="s">
        <v>160</v>
      </c>
      <c r="D164" s="3">
        <v>129</v>
      </c>
      <c r="E164" t="s">
        <v>165</v>
      </c>
      <c r="F164" t="s">
        <v>19</v>
      </c>
    </row>
    <row r="165" spans="1:6" x14ac:dyDescent="0.25">
      <c r="A165">
        <v>20181022</v>
      </c>
      <c r="B165" t="str">
        <f>"026935"</f>
        <v>026935</v>
      </c>
      <c r="C165" t="s">
        <v>160</v>
      </c>
      <c r="D165" s="3">
        <v>20</v>
      </c>
      <c r="E165" t="s">
        <v>164</v>
      </c>
      <c r="F165" t="s">
        <v>19</v>
      </c>
    </row>
    <row r="166" spans="1:6" x14ac:dyDescent="0.25">
      <c r="A166">
        <v>20181022</v>
      </c>
      <c r="B166" t="str">
        <f>"026935"</f>
        <v>026935</v>
      </c>
      <c r="C166" t="s">
        <v>160</v>
      </c>
      <c r="D166" s="3">
        <v>225</v>
      </c>
      <c r="E166" t="s">
        <v>164</v>
      </c>
      <c r="F166" t="s">
        <v>19</v>
      </c>
    </row>
    <row r="167" spans="1:6" x14ac:dyDescent="0.25">
      <c r="A167">
        <v>20181022</v>
      </c>
      <c r="B167" t="str">
        <f>"026935"</f>
        <v>026935</v>
      </c>
      <c r="C167" t="s">
        <v>160</v>
      </c>
      <c r="D167" s="3">
        <v>300</v>
      </c>
      <c r="E167" t="s">
        <v>45</v>
      </c>
      <c r="F167" t="s">
        <v>19</v>
      </c>
    </row>
    <row r="168" spans="1:6" x14ac:dyDescent="0.25">
      <c r="A168">
        <v>20181022</v>
      </c>
      <c r="B168" t="str">
        <f>"026935"</f>
        <v>026935</v>
      </c>
      <c r="C168" t="s">
        <v>160</v>
      </c>
      <c r="D168" s="3">
        <v>600</v>
      </c>
      <c r="E168" t="s">
        <v>45</v>
      </c>
      <c r="F168" t="s">
        <v>19</v>
      </c>
    </row>
    <row r="169" spans="1:6" x14ac:dyDescent="0.25">
      <c r="A169">
        <v>20181022</v>
      </c>
      <c r="B169" t="str">
        <f>"026935"</f>
        <v>026935</v>
      </c>
      <c r="C169" t="s">
        <v>160</v>
      </c>
      <c r="D169" s="3">
        <v>72.459999999999994</v>
      </c>
      <c r="E169" t="s">
        <v>28</v>
      </c>
      <c r="F169" t="s">
        <v>19</v>
      </c>
    </row>
    <row r="170" spans="1:6" x14ac:dyDescent="0.25">
      <c r="A170">
        <v>20181022</v>
      </c>
      <c r="B170" t="str">
        <f>"026935"</f>
        <v>026935</v>
      </c>
      <c r="C170" t="s">
        <v>160</v>
      </c>
      <c r="D170" s="3">
        <v>64.989999999999995</v>
      </c>
      <c r="E170" t="s">
        <v>28</v>
      </c>
      <c r="F170" t="s">
        <v>19</v>
      </c>
    </row>
    <row r="171" spans="1:6" x14ac:dyDescent="0.25">
      <c r="A171">
        <v>20181022</v>
      </c>
      <c r="B171" t="str">
        <f>"026935"</f>
        <v>026935</v>
      </c>
      <c r="C171" t="s">
        <v>160</v>
      </c>
      <c r="D171" s="3">
        <v>150</v>
      </c>
      <c r="E171" t="s">
        <v>28</v>
      </c>
      <c r="F171" t="s">
        <v>19</v>
      </c>
    </row>
    <row r="172" spans="1:6" x14ac:dyDescent="0.25">
      <c r="A172">
        <v>20181022</v>
      </c>
      <c r="B172" t="str">
        <f>"026935"</f>
        <v>026935</v>
      </c>
      <c r="C172" t="s">
        <v>160</v>
      </c>
      <c r="D172" s="3">
        <v>250</v>
      </c>
      <c r="E172" t="s">
        <v>28</v>
      </c>
      <c r="F172" t="s">
        <v>19</v>
      </c>
    </row>
    <row r="173" spans="1:6" x14ac:dyDescent="0.25">
      <c r="A173">
        <v>20181022</v>
      </c>
      <c r="B173" t="str">
        <f>"026935"</f>
        <v>026935</v>
      </c>
      <c r="C173" t="s">
        <v>160</v>
      </c>
      <c r="D173" s="3">
        <v>60</v>
      </c>
      <c r="E173" t="s">
        <v>28</v>
      </c>
      <c r="F173" t="s">
        <v>19</v>
      </c>
    </row>
    <row r="174" spans="1:6" x14ac:dyDescent="0.25">
      <c r="A174">
        <v>20181022</v>
      </c>
      <c r="B174" t="str">
        <f>"026935"</f>
        <v>026935</v>
      </c>
      <c r="C174" t="s">
        <v>160</v>
      </c>
      <c r="D174" s="3">
        <v>90</v>
      </c>
      <c r="E174" t="s">
        <v>161</v>
      </c>
      <c r="F174" t="s">
        <v>19</v>
      </c>
    </row>
    <row r="175" spans="1:6" x14ac:dyDescent="0.25">
      <c r="A175">
        <v>20181022</v>
      </c>
      <c r="B175" t="str">
        <f>"026935"</f>
        <v>026935</v>
      </c>
      <c r="C175" t="s">
        <v>160</v>
      </c>
      <c r="D175" s="3">
        <v>10</v>
      </c>
      <c r="E175" t="s">
        <v>161</v>
      </c>
      <c r="F175" t="s">
        <v>19</v>
      </c>
    </row>
    <row r="176" spans="1:6" x14ac:dyDescent="0.25">
      <c r="A176">
        <v>20181022</v>
      </c>
      <c r="B176" t="str">
        <f>"026935"</f>
        <v>026935</v>
      </c>
      <c r="C176" t="s">
        <v>160</v>
      </c>
      <c r="D176" s="3">
        <v>67.16</v>
      </c>
      <c r="E176" t="s">
        <v>161</v>
      </c>
      <c r="F176" t="s">
        <v>19</v>
      </c>
    </row>
    <row r="177" spans="1:6" x14ac:dyDescent="0.25">
      <c r="A177">
        <v>20181022</v>
      </c>
      <c r="B177" t="str">
        <f>"026936"</f>
        <v>026936</v>
      </c>
      <c r="C177" t="s">
        <v>166</v>
      </c>
      <c r="D177" s="3">
        <v>73.98</v>
      </c>
      <c r="E177" t="s">
        <v>167</v>
      </c>
      <c r="F177" t="s">
        <v>19</v>
      </c>
    </row>
    <row r="178" spans="1:6" x14ac:dyDescent="0.25">
      <c r="A178">
        <v>20181022</v>
      </c>
      <c r="B178" t="str">
        <f>"026940"</f>
        <v>026940</v>
      </c>
      <c r="C178" t="s">
        <v>31</v>
      </c>
      <c r="D178" s="3">
        <v>200</v>
      </c>
      <c r="E178" t="s">
        <v>104</v>
      </c>
      <c r="F178" t="s">
        <v>65</v>
      </c>
    </row>
    <row r="179" spans="1:6" x14ac:dyDescent="0.25">
      <c r="A179">
        <v>20181022</v>
      </c>
      <c r="B179" t="str">
        <f>"026941"</f>
        <v>026941</v>
      </c>
      <c r="C179" t="s">
        <v>160</v>
      </c>
      <c r="D179" s="3">
        <v>-100</v>
      </c>
      <c r="E179" t="s">
        <v>190</v>
      </c>
      <c r="F179" t="s">
        <v>65</v>
      </c>
    </row>
    <row r="180" spans="1:6" x14ac:dyDescent="0.25">
      <c r="A180">
        <v>20181022</v>
      </c>
      <c r="B180" t="str">
        <f>"026941"</f>
        <v>026941</v>
      </c>
      <c r="C180" t="s">
        <v>160</v>
      </c>
      <c r="D180" s="3">
        <v>-33.49</v>
      </c>
      <c r="E180" t="s">
        <v>184</v>
      </c>
      <c r="F180" t="s">
        <v>65</v>
      </c>
    </row>
    <row r="181" spans="1:6" x14ac:dyDescent="0.25">
      <c r="A181">
        <v>20181022</v>
      </c>
      <c r="B181" t="str">
        <f>"026941"</f>
        <v>026941</v>
      </c>
      <c r="C181" t="s">
        <v>160</v>
      </c>
      <c r="D181" s="3">
        <v>250</v>
      </c>
      <c r="E181" t="s">
        <v>169</v>
      </c>
      <c r="F181" t="s">
        <v>65</v>
      </c>
    </row>
    <row r="182" spans="1:6" x14ac:dyDescent="0.25">
      <c r="A182">
        <v>20181022</v>
      </c>
      <c r="B182" t="str">
        <f>"026941"</f>
        <v>026941</v>
      </c>
      <c r="C182" t="s">
        <v>160</v>
      </c>
      <c r="D182" s="3">
        <v>110</v>
      </c>
      <c r="E182" t="s">
        <v>170</v>
      </c>
      <c r="F182" t="s">
        <v>65</v>
      </c>
    </row>
    <row r="183" spans="1:6" x14ac:dyDescent="0.25">
      <c r="A183">
        <v>20181022</v>
      </c>
      <c r="B183" t="str">
        <f>"026941"</f>
        <v>026941</v>
      </c>
      <c r="C183" t="s">
        <v>160</v>
      </c>
      <c r="D183" s="3">
        <v>264.8</v>
      </c>
      <c r="E183" t="s">
        <v>178</v>
      </c>
      <c r="F183" t="s">
        <v>65</v>
      </c>
    </row>
    <row r="184" spans="1:6" x14ac:dyDescent="0.25">
      <c r="A184">
        <v>20181022</v>
      </c>
      <c r="B184" t="str">
        <f>"026941"</f>
        <v>026941</v>
      </c>
      <c r="C184" t="s">
        <v>160</v>
      </c>
      <c r="D184" s="3">
        <v>608.69000000000005</v>
      </c>
      <c r="E184" t="s">
        <v>180</v>
      </c>
      <c r="F184" t="s">
        <v>65</v>
      </c>
    </row>
    <row r="185" spans="1:6" x14ac:dyDescent="0.25">
      <c r="A185">
        <v>20181022</v>
      </c>
      <c r="B185" t="str">
        <f>"026941"</f>
        <v>026941</v>
      </c>
      <c r="C185" t="s">
        <v>160</v>
      </c>
      <c r="D185" s="3">
        <v>60.68</v>
      </c>
      <c r="E185" t="s">
        <v>173</v>
      </c>
      <c r="F185" t="s">
        <v>65</v>
      </c>
    </row>
    <row r="186" spans="1:6" x14ac:dyDescent="0.25">
      <c r="A186">
        <v>20181022</v>
      </c>
      <c r="B186" t="str">
        <f>"026941"</f>
        <v>026941</v>
      </c>
      <c r="C186" t="s">
        <v>160</v>
      </c>
      <c r="D186" s="3">
        <v>99.99</v>
      </c>
      <c r="E186" t="s">
        <v>174</v>
      </c>
      <c r="F186" t="s">
        <v>65</v>
      </c>
    </row>
    <row r="187" spans="1:6" x14ac:dyDescent="0.25">
      <c r="A187">
        <v>20181022</v>
      </c>
      <c r="B187" t="str">
        <f>"026941"</f>
        <v>026941</v>
      </c>
      <c r="C187" t="s">
        <v>160</v>
      </c>
      <c r="D187" s="3">
        <v>82.2</v>
      </c>
      <c r="E187" t="s">
        <v>175</v>
      </c>
      <c r="F187" t="s">
        <v>65</v>
      </c>
    </row>
    <row r="188" spans="1:6" x14ac:dyDescent="0.25">
      <c r="A188">
        <v>20181022</v>
      </c>
      <c r="B188" t="str">
        <f>"026941"</f>
        <v>026941</v>
      </c>
      <c r="C188" t="s">
        <v>160</v>
      </c>
      <c r="D188" s="3">
        <v>111.25</v>
      </c>
      <c r="E188" t="s">
        <v>175</v>
      </c>
      <c r="F188" t="s">
        <v>65</v>
      </c>
    </row>
    <row r="189" spans="1:6" x14ac:dyDescent="0.25">
      <c r="A189">
        <v>20181022</v>
      </c>
      <c r="B189" t="str">
        <f>"026941"</f>
        <v>026941</v>
      </c>
      <c r="C189" t="s">
        <v>160</v>
      </c>
      <c r="D189" s="3">
        <v>730</v>
      </c>
      <c r="E189" t="s">
        <v>176</v>
      </c>
      <c r="F189" t="s">
        <v>65</v>
      </c>
    </row>
    <row r="190" spans="1:6" x14ac:dyDescent="0.25">
      <c r="A190">
        <v>20181022</v>
      </c>
      <c r="B190" t="str">
        <f>"026941"</f>
        <v>026941</v>
      </c>
      <c r="C190" t="s">
        <v>160</v>
      </c>
      <c r="D190" s="3">
        <v>770</v>
      </c>
      <c r="E190" t="s">
        <v>168</v>
      </c>
      <c r="F190" t="s">
        <v>65</v>
      </c>
    </row>
    <row r="191" spans="1:6" x14ac:dyDescent="0.25">
      <c r="A191">
        <v>20181022</v>
      </c>
      <c r="B191" t="str">
        <f>"026941"</f>
        <v>026941</v>
      </c>
      <c r="C191" t="s">
        <v>160</v>
      </c>
      <c r="D191" s="3">
        <v>770</v>
      </c>
      <c r="E191" t="s">
        <v>177</v>
      </c>
      <c r="F191" t="s">
        <v>65</v>
      </c>
    </row>
    <row r="192" spans="1:6" x14ac:dyDescent="0.25">
      <c r="A192">
        <v>20181022</v>
      </c>
      <c r="B192" t="str">
        <f>"026941"</f>
        <v>026941</v>
      </c>
      <c r="C192" t="s">
        <v>160</v>
      </c>
      <c r="D192" s="3">
        <v>195.75</v>
      </c>
      <c r="E192" t="s">
        <v>181</v>
      </c>
      <c r="F192" t="s">
        <v>65</v>
      </c>
    </row>
    <row r="193" spans="1:6" x14ac:dyDescent="0.25">
      <c r="A193">
        <v>20181022</v>
      </c>
      <c r="B193" t="str">
        <f>"026941"</f>
        <v>026941</v>
      </c>
      <c r="C193" t="s">
        <v>160</v>
      </c>
      <c r="D193" s="3">
        <v>186.17</v>
      </c>
      <c r="E193" t="s">
        <v>171</v>
      </c>
      <c r="F193" t="s">
        <v>65</v>
      </c>
    </row>
    <row r="194" spans="1:6" x14ac:dyDescent="0.25">
      <c r="A194">
        <v>20181022</v>
      </c>
      <c r="B194" t="str">
        <f>"026941"</f>
        <v>026941</v>
      </c>
      <c r="C194" t="s">
        <v>160</v>
      </c>
      <c r="D194" s="3">
        <v>21.38</v>
      </c>
      <c r="E194" t="s">
        <v>171</v>
      </c>
      <c r="F194" t="s">
        <v>65</v>
      </c>
    </row>
    <row r="195" spans="1:6" x14ac:dyDescent="0.25">
      <c r="A195">
        <v>20181022</v>
      </c>
      <c r="B195" t="str">
        <f>"026941"</f>
        <v>026941</v>
      </c>
      <c r="C195" t="s">
        <v>160</v>
      </c>
      <c r="D195" s="3">
        <v>75.66</v>
      </c>
      <c r="E195" t="s">
        <v>171</v>
      </c>
      <c r="F195" t="s">
        <v>65</v>
      </c>
    </row>
    <row r="196" spans="1:6" x14ac:dyDescent="0.25">
      <c r="A196">
        <v>20181022</v>
      </c>
      <c r="B196" t="str">
        <f>"026941"</f>
        <v>026941</v>
      </c>
      <c r="C196" t="s">
        <v>160</v>
      </c>
      <c r="D196" s="3">
        <v>104</v>
      </c>
      <c r="E196" t="s">
        <v>171</v>
      </c>
      <c r="F196" t="s">
        <v>65</v>
      </c>
    </row>
    <row r="197" spans="1:6" x14ac:dyDescent="0.25">
      <c r="A197">
        <v>20181022</v>
      </c>
      <c r="B197" t="str">
        <f>"026941"</f>
        <v>026941</v>
      </c>
      <c r="C197" t="s">
        <v>160</v>
      </c>
      <c r="D197" s="3">
        <v>1162.47</v>
      </c>
      <c r="E197" t="s">
        <v>182</v>
      </c>
      <c r="F197" t="s">
        <v>65</v>
      </c>
    </row>
    <row r="198" spans="1:6" x14ac:dyDescent="0.25">
      <c r="A198">
        <v>20181022</v>
      </c>
      <c r="B198" t="str">
        <f>"026941"</f>
        <v>026941</v>
      </c>
      <c r="C198" t="s">
        <v>160</v>
      </c>
      <c r="D198" s="3">
        <v>1178.56</v>
      </c>
      <c r="E198" t="s">
        <v>183</v>
      </c>
      <c r="F198" t="s">
        <v>65</v>
      </c>
    </row>
    <row r="199" spans="1:6" x14ac:dyDescent="0.25">
      <c r="A199">
        <v>20181022</v>
      </c>
      <c r="B199" t="str">
        <f>"026941"</f>
        <v>026941</v>
      </c>
      <c r="C199" t="s">
        <v>160</v>
      </c>
      <c r="D199" s="3">
        <v>184.21</v>
      </c>
      <c r="E199" t="s">
        <v>172</v>
      </c>
      <c r="F199" t="s">
        <v>65</v>
      </c>
    </row>
    <row r="200" spans="1:6" x14ac:dyDescent="0.25">
      <c r="A200">
        <v>20181022</v>
      </c>
      <c r="B200" t="str">
        <f>"026941"</f>
        <v>026941</v>
      </c>
      <c r="C200" t="s">
        <v>160</v>
      </c>
      <c r="D200" s="3">
        <v>195.11</v>
      </c>
      <c r="E200" t="s">
        <v>172</v>
      </c>
      <c r="F200" t="s">
        <v>65</v>
      </c>
    </row>
    <row r="201" spans="1:6" x14ac:dyDescent="0.25">
      <c r="A201">
        <v>20181022</v>
      </c>
      <c r="B201" t="str">
        <f>"026941"</f>
        <v>026941</v>
      </c>
      <c r="C201" t="s">
        <v>160</v>
      </c>
      <c r="D201" s="3">
        <v>50.98</v>
      </c>
      <c r="E201" t="s">
        <v>172</v>
      </c>
      <c r="F201" t="s">
        <v>65</v>
      </c>
    </row>
    <row r="202" spans="1:6" x14ac:dyDescent="0.25">
      <c r="A202">
        <v>20181022</v>
      </c>
      <c r="B202" t="str">
        <f>"026941"</f>
        <v>026941</v>
      </c>
      <c r="C202" t="s">
        <v>160</v>
      </c>
      <c r="D202" s="3">
        <v>45.86</v>
      </c>
      <c r="E202" t="s">
        <v>172</v>
      </c>
      <c r="F202" t="s">
        <v>65</v>
      </c>
    </row>
    <row r="203" spans="1:6" x14ac:dyDescent="0.25">
      <c r="A203">
        <v>20181022</v>
      </c>
      <c r="B203" t="str">
        <f>"026941"</f>
        <v>026941</v>
      </c>
      <c r="C203" t="s">
        <v>160</v>
      </c>
      <c r="D203" s="3">
        <v>20.25</v>
      </c>
      <c r="E203" t="s">
        <v>172</v>
      </c>
      <c r="F203" t="s">
        <v>65</v>
      </c>
    </row>
    <row r="204" spans="1:6" x14ac:dyDescent="0.25">
      <c r="A204">
        <v>20181022</v>
      </c>
      <c r="B204" t="str">
        <f>"026941"</f>
        <v>026941</v>
      </c>
      <c r="C204" t="s">
        <v>160</v>
      </c>
      <c r="D204" s="3">
        <v>206.69</v>
      </c>
      <c r="E204" t="s">
        <v>189</v>
      </c>
      <c r="F204" t="s">
        <v>65</v>
      </c>
    </row>
    <row r="205" spans="1:6" x14ac:dyDescent="0.25">
      <c r="A205">
        <v>20181022</v>
      </c>
      <c r="B205" t="str">
        <f>"026941"</f>
        <v>026941</v>
      </c>
      <c r="C205" t="s">
        <v>160</v>
      </c>
      <c r="D205" s="3">
        <v>1966.25</v>
      </c>
      <c r="E205" t="s">
        <v>186</v>
      </c>
      <c r="F205" t="s">
        <v>65</v>
      </c>
    </row>
    <row r="206" spans="1:6" x14ac:dyDescent="0.25">
      <c r="A206">
        <v>20181022</v>
      </c>
      <c r="B206" t="str">
        <f>"026941"</f>
        <v>026941</v>
      </c>
      <c r="C206" t="s">
        <v>160</v>
      </c>
      <c r="D206" s="3">
        <v>80.5</v>
      </c>
      <c r="E206" t="s">
        <v>188</v>
      </c>
      <c r="F206" t="s">
        <v>65</v>
      </c>
    </row>
    <row r="207" spans="1:6" x14ac:dyDescent="0.25">
      <c r="A207">
        <v>20181022</v>
      </c>
      <c r="B207" t="str">
        <f>"026941"</f>
        <v>026941</v>
      </c>
      <c r="C207" t="s">
        <v>160</v>
      </c>
      <c r="D207" s="3">
        <v>485.63</v>
      </c>
      <c r="E207" t="s">
        <v>187</v>
      </c>
      <c r="F207" t="s">
        <v>65</v>
      </c>
    </row>
    <row r="208" spans="1:6" x14ac:dyDescent="0.25">
      <c r="A208">
        <v>20181022</v>
      </c>
      <c r="B208" t="str">
        <f>"026941"</f>
        <v>026941</v>
      </c>
      <c r="C208" t="s">
        <v>160</v>
      </c>
      <c r="D208" s="3">
        <v>284.41000000000003</v>
      </c>
      <c r="E208" t="s">
        <v>179</v>
      </c>
      <c r="F208" t="s">
        <v>65</v>
      </c>
    </row>
    <row r="209" spans="1:6" x14ac:dyDescent="0.25">
      <c r="A209">
        <v>20181022</v>
      </c>
      <c r="B209" t="str">
        <f>"026941"</f>
        <v>026941</v>
      </c>
      <c r="C209" t="s">
        <v>160</v>
      </c>
      <c r="D209" s="3">
        <v>500</v>
      </c>
      <c r="E209" t="s">
        <v>185</v>
      </c>
      <c r="F209" t="s">
        <v>65</v>
      </c>
    </row>
    <row r="210" spans="1:6" x14ac:dyDescent="0.25">
      <c r="A210">
        <v>20181022</v>
      </c>
      <c r="B210" t="str">
        <f>"026942"</f>
        <v>026942</v>
      </c>
      <c r="C210" t="s">
        <v>166</v>
      </c>
      <c r="D210" s="3">
        <v>77.94</v>
      </c>
      <c r="E210" t="s">
        <v>191</v>
      </c>
      <c r="F210" t="s">
        <v>65</v>
      </c>
    </row>
    <row r="211" spans="1:6" x14ac:dyDescent="0.25">
      <c r="A211">
        <v>20181021</v>
      </c>
      <c r="B211" t="str">
        <f>"102118"</f>
        <v>102118</v>
      </c>
      <c r="C211" t="s">
        <v>193</v>
      </c>
      <c r="D211" s="3">
        <v>2161.12</v>
      </c>
      <c r="E211" t="s">
        <v>194</v>
      </c>
      <c r="F211" t="s">
        <v>195</v>
      </c>
    </row>
    <row r="212" spans="1:6" x14ac:dyDescent="0.25">
      <c r="A212">
        <v>20181026</v>
      </c>
      <c r="B212" t="str">
        <f>"102618"</f>
        <v>102618</v>
      </c>
      <c r="C212" t="s">
        <v>196</v>
      </c>
      <c r="D212" s="3">
        <v>6000</v>
      </c>
      <c r="E212" t="s">
        <v>197</v>
      </c>
      <c r="F212" t="s">
        <v>198</v>
      </c>
    </row>
    <row r="213" spans="1:6" x14ac:dyDescent="0.25">
      <c r="A213">
        <v>20181001</v>
      </c>
      <c r="B213" t="str">
        <f>"126096"</f>
        <v>126096</v>
      </c>
      <c r="C213" t="s">
        <v>199</v>
      </c>
      <c r="D213" s="3">
        <v>34256</v>
      </c>
      <c r="E213" t="s">
        <v>200</v>
      </c>
      <c r="F213" t="s">
        <v>192</v>
      </c>
    </row>
    <row r="214" spans="1:6" x14ac:dyDescent="0.25">
      <c r="A214">
        <v>20181001</v>
      </c>
      <c r="B214" t="str">
        <f>"126097"</f>
        <v>126097</v>
      </c>
      <c r="C214" t="s">
        <v>201</v>
      </c>
      <c r="D214" s="3">
        <v>355</v>
      </c>
      <c r="E214" t="s">
        <v>202</v>
      </c>
      <c r="F214" t="s">
        <v>192</v>
      </c>
    </row>
    <row r="215" spans="1:6" x14ac:dyDescent="0.25">
      <c r="A215">
        <v>20181001</v>
      </c>
      <c r="B215" t="str">
        <f>"126098"</f>
        <v>126098</v>
      </c>
      <c r="C215" t="s">
        <v>203</v>
      </c>
      <c r="D215" s="3">
        <v>545.67999999999995</v>
      </c>
      <c r="E215" t="s">
        <v>204</v>
      </c>
      <c r="F215" t="s">
        <v>192</v>
      </c>
    </row>
    <row r="216" spans="1:6" x14ac:dyDescent="0.25">
      <c r="A216">
        <v>20181001</v>
      </c>
      <c r="B216" t="str">
        <f>"126099"</f>
        <v>126099</v>
      </c>
      <c r="C216" t="s">
        <v>205</v>
      </c>
      <c r="D216" s="3">
        <v>104</v>
      </c>
      <c r="E216" t="s">
        <v>206</v>
      </c>
      <c r="F216" t="s">
        <v>192</v>
      </c>
    </row>
    <row r="217" spans="1:6" x14ac:dyDescent="0.25">
      <c r="A217">
        <v>20181001</v>
      </c>
      <c r="B217" t="str">
        <f>"126100"</f>
        <v>126100</v>
      </c>
      <c r="C217" t="s">
        <v>207</v>
      </c>
      <c r="D217" s="3">
        <v>538</v>
      </c>
      <c r="E217" t="s">
        <v>208</v>
      </c>
      <c r="F217" t="s">
        <v>192</v>
      </c>
    </row>
    <row r="218" spans="1:6" x14ac:dyDescent="0.25">
      <c r="A218">
        <v>20181001</v>
      </c>
      <c r="B218" t="str">
        <f>"126101"</f>
        <v>126101</v>
      </c>
      <c r="C218" t="s">
        <v>6</v>
      </c>
      <c r="D218" s="3">
        <v>599</v>
      </c>
      <c r="E218" t="s">
        <v>209</v>
      </c>
      <c r="F218" t="s">
        <v>192</v>
      </c>
    </row>
    <row r="219" spans="1:6" x14ac:dyDescent="0.25">
      <c r="A219">
        <v>20181001</v>
      </c>
      <c r="B219" t="str">
        <f>"126101"</f>
        <v>126101</v>
      </c>
      <c r="C219" t="s">
        <v>6</v>
      </c>
      <c r="D219" s="3">
        <v>267</v>
      </c>
      <c r="E219" t="s">
        <v>114</v>
      </c>
      <c r="F219" t="s">
        <v>192</v>
      </c>
    </row>
    <row r="220" spans="1:6" x14ac:dyDescent="0.25">
      <c r="A220">
        <v>20181001</v>
      </c>
      <c r="B220" t="str">
        <f>"126101"</f>
        <v>126101</v>
      </c>
      <c r="C220" t="s">
        <v>6</v>
      </c>
      <c r="D220" s="3">
        <v>598</v>
      </c>
      <c r="E220" t="s">
        <v>114</v>
      </c>
      <c r="F220" t="s">
        <v>192</v>
      </c>
    </row>
    <row r="221" spans="1:6" x14ac:dyDescent="0.25">
      <c r="A221">
        <v>20181001</v>
      </c>
      <c r="B221" t="str">
        <f>"126101"</f>
        <v>126101</v>
      </c>
      <c r="C221" t="s">
        <v>6</v>
      </c>
      <c r="D221" s="3">
        <v>125.64</v>
      </c>
      <c r="E221" t="s">
        <v>28</v>
      </c>
      <c r="F221" t="s">
        <v>192</v>
      </c>
    </row>
    <row r="222" spans="1:6" x14ac:dyDescent="0.25">
      <c r="A222">
        <v>20181001</v>
      </c>
      <c r="B222" t="str">
        <f>"126101"</f>
        <v>126101</v>
      </c>
      <c r="C222" t="s">
        <v>6</v>
      </c>
      <c r="D222" s="3">
        <v>17.5</v>
      </c>
      <c r="E222" t="s">
        <v>28</v>
      </c>
      <c r="F222" t="s">
        <v>192</v>
      </c>
    </row>
    <row r="223" spans="1:6" x14ac:dyDescent="0.25">
      <c r="A223">
        <v>20181001</v>
      </c>
      <c r="B223" t="str">
        <f>"126101"</f>
        <v>126101</v>
      </c>
      <c r="C223" t="s">
        <v>6</v>
      </c>
      <c r="D223" s="3">
        <v>17.5</v>
      </c>
      <c r="E223" t="s">
        <v>28</v>
      </c>
      <c r="F223" t="s">
        <v>192</v>
      </c>
    </row>
    <row r="224" spans="1:6" x14ac:dyDescent="0.25">
      <c r="A224">
        <v>20181001</v>
      </c>
      <c r="B224" t="str">
        <f>"126102"</f>
        <v>126102</v>
      </c>
      <c r="C224" t="s">
        <v>210</v>
      </c>
      <c r="D224" s="3">
        <v>230</v>
      </c>
      <c r="E224" t="s">
        <v>211</v>
      </c>
      <c r="F224" t="s">
        <v>192</v>
      </c>
    </row>
    <row r="225" spans="1:6" x14ac:dyDescent="0.25">
      <c r="A225">
        <v>20181001</v>
      </c>
      <c r="B225" t="str">
        <f>"126103"</f>
        <v>126103</v>
      </c>
      <c r="C225" t="s">
        <v>212</v>
      </c>
      <c r="D225" s="3">
        <v>7236.72</v>
      </c>
      <c r="E225" t="s">
        <v>213</v>
      </c>
      <c r="F225" t="s">
        <v>192</v>
      </c>
    </row>
    <row r="226" spans="1:6" x14ac:dyDescent="0.25">
      <c r="A226">
        <v>20181001</v>
      </c>
      <c r="B226" t="str">
        <f>"126104"</f>
        <v>126104</v>
      </c>
      <c r="C226" t="s">
        <v>214</v>
      </c>
      <c r="D226" s="3">
        <v>719.27</v>
      </c>
      <c r="E226" t="s">
        <v>114</v>
      </c>
      <c r="F226" t="s">
        <v>192</v>
      </c>
    </row>
    <row r="227" spans="1:6" x14ac:dyDescent="0.25">
      <c r="A227">
        <v>20181001</v>
      </c>
      <c r="B227" t="str">
        <f>"126104"</f>
        <v>126104</v>
      </c>
      <c r="C227" t="s">
        <v>214</v>
      </c>
      <c r="D227" s="3">
        <v>1181.31</v>
      </c>
      <c r="E227" t="s">
        <v>114</v>
      </c>
      <c r="F227" t="s">
        <v>192</v>
      </c>
    </row>
    <row r="228" spans="1:6" x14ac:dyDescent="0.25">
      <c r="A228">
        <v>20181001</v>
      </c>
      <c r="B228" t="str">
        <f>"126104"</f>
        <v>126104</v>
      </c>
      <c r="C228" t="s">
        <v>214</v>
      </c>
      <c r="D228" s="3">
        <v>154.41999999999999</v>
      </c>
      <c r="E228" t="s">
        <v>114</v>
      </c>
      <c r="F228" t="s">
        <v>192</v>
      </c>
    </row>
    <row r="229" spans="1:6" x14ac:dyDescent="0.25">
      <c r="A229">
        <v>20181001</v>
      </c>
      <c r="B229" t="str">
        <f>"126104"</f>
        <v>126104</v>
      </c>
      <c r="C229" t="s">
        <v>214</v>
      </c>
      <c r="D229" s="3">
        <v>11.09</v>
      </c>
      <c r="E229" t="s">
        <v>28</v>
      </c>
      <c r="F229" t="s">
        <v>215</v>
      </c>
    </row>
    <row r="230" spans="1:6" x14ac:dyDescent="0.25">
      <c r="A230">
        <v>20181001</v>
      </c>
      <c r="B230" t="str">
        <f>"126105"</f>
        <v>126105</v>
      </c>
      <c r="C230" t="s">
        <v>216</v>
      </c>
      <c r="D230" s="3">
        <v>59.98</v>
      </c>
      <c r="E230" t="s">
        <v>217</v>
      </c>
      <c r="F230" t="s">
        <v>192</v>
      </c>
    </row>
    <row r="231" spans="1:6" x14ac:dyDescent="0.25">
      <c r="A231">
        <v>20181001</v>
      </c>
      <c r="B231" t="str">
        <f>"126106"</f>
        <v>126106</v>
      </c>
      <c r="C231" t="s">
        <v>218</v>
      </c>
      <c r="D231" s="3">
        <v>-16.95</v>
      </c>
      <c r="E231" t="s">
        <v>220</v>
      </c>
      <c r="F231" t="s">
        <v>215</v>
      </c>
    </row>
    <row r="232" spans="1:6" x14ac:dyDescent="0.25">
      <c r="A232">
        <v>20181001</v>
      </c>
      <c r="B232" t="str">
        <f>"126106"</f>
        <v>126106</v>
      </c>
      <c r="C232" t="s">
        <v>218</v>
      </c>
      <c r="D232" s="3">
        <v>-22.37</v>
      </c>
      <c r="E232" t="s">
        <v>220</v>
      </c>
      <c r="F232" t="s">
        <v>215</v>
      </c>
    </row>
    <row r="233" spans="1:6" x14ac:dyDescent="0.25">
      <c r="A233">
        <v>20181001</v>
      </c>
      <c r="B233" t="str">
        <f>"126106"</f>
        <v>126106</v>
      </c>
      <c r="C233" t="s">
        <v>218</v>
      </c>
      <c r="D233" s="3">
        <v>-9.1199999999999992</v>
      </c>
      <c r="E233" t="s">
        <v>220</v>
      </c>
      <c r="F233" t="s">
        <v>215</v>
      </c>
    </row>
    <row r="234" spans="1:6" x14ac:dyDescent="0.25">
      <c r="A234">
        <v>20181001</v>
      </c>
      <c r="B234" t="str">
        <f>"126106"</f>
        <v>126106</v>
      </c>
      <c r="C234" t="s">
        <v>218</v>
      </c>
      <c r="D234" s="3">
        <v>-9.1199999999999992</v>
      </c>
      <c r="E234" t="s">
        <v>220</v>
      </c>
      <c r="F234" t="s">
        <v>215</v>
      </c>
    </row>
    <row r="235" spans="1:6" x14ac:dyDescent="0.25">
      <c r="A235">
        <v>20181001</v>
      </c>
      <c r="B235" t="str">
        <f>"126106"</f>
        <v>126106</v>
      </c>
      <c r="C235" t="s">
        <v>218</v>
      </c>
      <c r="D235" s="3">
        <v>173.3</v>
      </c>
      <c r="E235" t="s">
        <v>219</v>
      </c>
      <c r="F235" t="s">
        <v>215</v>
      </c>
    </row>
    <row r="236" spans="1:6" x14ac:dyDescent="0.25">
      <c r="A236">
        <v>20181001</v>
      </c>
      <c r="B236" t="str">
        <f>"126106"</f>
        <v>126106</v>
      </c>
      <c r="C236" t="s">
        <v>218</v>
      </c>
      <c r="D236" s="3">
        <v>135.6</v>
      </c>
      <c r="E236" t="s">
        <v>219</v>
      </c>
      <c r="F236" t="s">
        <v>215</v>
      </c>
    </row>
    <row r="237" spans="1:6" x14ac:dyDescent="0.25">
      <c r="A237">
        <v>20181001</v>
      </c>
      <c r="B237" t="str">
        <f>"126106"</f>
        <v>126106</v>
      </c>
      <c r="C237" t="s">
        <v>218</v>
      </c>
      <c r="D237" s="3">
        <v>101.7</v>
      </c>
      <c r="E237" t="s">
        <v>219</v>
      </c>
      <c r="F237" t="s">
        <v>215</v>
      </c>
    </row>
    <row r="238" spans="1:6" x14ac:dyDescent="0.25">
      <c r="A238">
        <v>20181001</v>
      </c>
      <c r="B238" t="str">
        <f>"126106"</f>
        <v>126106</v>
      </c>
      <c r="C238" t="s">
        <v>218</v>
      </c>
      <c r="D238" s="3">
        <v>33.9</v>
      </c>
      <c r="E238" t="s">
        <v>219</v>
      </c>
      <c r="F238" t="s">
        <v>215</v>
      </c>
    </row>
    <row r="239" spans="1:6" x14ac:dyDescent="0.25">
      <c r="A239">
        <v>20181001</v>
      </c>
      <c r="B239" t="str">
        <f>"126106"</f>
        <v>126106</v>
      </c>
      <c r="C239" t="s">
        <v>218</v>
      </c>
      <c r="D239" s="3">
        <v>155.43</v>
      </c>
      <c r="E239" t="s">
        <v>219</v>
      </c>
      <c r="F239" t="s">
        <v>215</v>
      </c>
    </row>
    <row r="240" spans="1:6" x14ac:dyDescent="0.25">
      <c r="A240">
        <v>20181001</v>
      </c>
      <c r="B240" t="str">
        <f>"126106"</f>
        <v>126106</v>
      </c>
      <c r="C240" t="s">
        <v>218</v>
      </c>
      <c r="D240" s="3">
        <v>101.7</v>
      </c>
      <c r="E240" t="s">
        <v>219</v>
      </c>
      <c r="F240" t="s">
        <v>215</v>
      </c>
    </row>
    <row r="241" spans="1:6" x14ac:dyDescent="0.25">
      <c r="A241">
        <v>20181001</v>
      </c>
      <c r="B241" t="str">
        <f>"126106"</f>
        <v>126106</v>
      </c>
      <c r="C241" t="s">
        <v>218</v>
      </c>
      <c r="D241" s="3">
        <v>136.80000000000001</v>
      </c>
      <c r="E241" t="s">
        <v>219</v>
      </c>
      <c r="F241" t="s">
        <v>215</v>
      </c>
    </row>
    <row r="242" spans="1:6" x14ac:dyDescent="0.25">
      <c r="A242">
        <v>20181001</v>
      </c>
      <c r="B242" t="str">
        <f>"126106"</f>
        <v>126106</v>
      </c>
      <c r="C242" t="s">
        <v>218</v>
      </c>
      <c r="D242" s="3">
        <v>121.6</v>
      </c>
      <c r="E242" t="s">
        <v>219</v>
      </c>
      <c r="F242" t="s">
        <v>215</v>
      </c>
    </row>
    <row r="243" spans="1:6" x14ac:dyDescent="0.25">
      <c r="A243">
        <v>20181001</v>
      </c>
      <c r="B243" t="str">
        <f>"126106"</f>
        <v>126106</v>
      </c>
      <c r="C243" t="s">
        <v>218</v>
      </c>
      <c r="D243" s="3">
        <v>182.4</v>
      </c>
      <c r="E243" t="s">
        <v>219</v>
      </c>
      <c r="F243" t="s">
        <v>215</v>
      </c>
    </row>
    <row r="244" spans="1:6" x14ac:dyDescent="0.25">
      <c r="A244">
        <v>20181001</v>
      </c>
      <c r="B244" t="str">
        <f>"126106"</f>
        <v>126106</v>
      </c>
      <c r="C244" t="s">
        <v>218</v>
      </c>
      <c r="D244" s="3">
        <v>258.39999999999998</v>
      </c>
      <c r="E244" t="s">
        <v>219</v>
      </c>
      <c r="F244" t="s">
        <v>215</v>
      </c>
    </row>
    <row r="245" spans="1:6" x14ac:dyDescent="0.25">
      <c r="A245">
        <v>20181001</v>
      </c>
      <c r="B245" t="str">
        <f>"126106"</f>
        <v>126106</v>
      </c>
      <c r="C245" t="s">
        <v>218</v>
      </c>
      <c r="D245" s="3">
        <v>243.2</v>
      </c>
      <c r="E245" t="s">
        <v>219</v>
      </c>
      <c r="F245" t="s">
        <v>215</v>
      </c>
    </row>
    <row r="246" spans="1:6" x14ac:dyDescent="0.25">
      <c r="A246">
        <v>20181001</v>
      </c>
      <c r="B246" t="str">
        <f>"126106"</f>
        <v>126106</v>
      </c>
      <c r="C246" t="s">
        <v>218</v>
      </c>
      <c r="D246" s="3">
        <v>76</v>
      </c>
      <c r="E246" t="s">
        <v>219</v>
      </c>
      <c r="F246" t="s">
        <v>215</v>
      </c>
    </row>
    <row r="247" spans="1:6" x14ac:dyDescent="0.25">
      <c r="A247">
        <v>20181001</v>
      </c>
      <c r="B247" t="str">
        <f>"126106"</f>
        <v>126106</v>
      </c>
      <c r="C247" t="s">
        <v>218</v>
      </c>
      <c r="D247" s="3">
        <v>288.8</v>
      </c>
      <c r="E247" t="s">
        <v>219</v>
      </c>
      <c r="F247" t="s">
        <v>215</v>
      </c>
    </row>
    <row r="248" spans="1:6" x14ac:dyDescent="0.25">
      <c r="A248">
        <v>20181001</v>
      </c>
      <c r="B248" t="str">
        <f>"126106"</f>
        <v>126106</v>
      </c>
      <c r="C248" t="s">
        <v>218</v>
      </c>
      <c r="D248" s="3">
        <v>152</v>
      </c>
      <c r="E248" t="s">
        <v>219</v>
      </c>
      <c r="F248" t="s">
        <v>215</v>
      </c>
    </row>
    <row r="249" spans="1:6" x14ac:dyDescent="0.25">
      <c r="A249">
        <v>20181001</v>
      </c>
      <c r="B249" t="str">
        <f>"126106"</f>
        <v>126106</v>
      </c>
      <c r="C249" t="s">
        <v>218</v>
      </c>
      <c r="D249" s="3">
        <v>185.4</v>
      </c>
      <c r="E249" t="s">
        <v>219</v>
      </c>
      <c r="F249" t="s">
        <v>215</v>
      </c>
    </row>
    <row r="250" spans="1:6" x14ac:dyDescent="0.25">
      <c r="A250">
        <v>20181001</v>
      </c>
      <c r="B250" t="str">
        <f>"126106"</f>
        <v>126106</v>
      </c>
      <c r="C250" t="s">
        <v>218</v>
      </c>
      <c r="D250" s="3">
        <v>197.6</v>
      </c>
      <c r="E250" t="s">
        <v>219</v>
      </c>
      <c r="F250" t="s">
        <v>215</v>
      </c>
    </row>
    <row r="251" spans="1:6" x14ac:dyDescent="0.25">
      <c r="A251">
        <v>20181001</v>
      </c>
      <c r="B251" t="str">
        <f>"126106"</f>
        <v>126106</v>
      </c>
      <c r="C251" t="s">
        <v>218</v>
      </c>
      <c r="D251" s="3">
        <v>121.6</v>
      </c>
      <c r="E251" t="s">
        <v>219</v>
      </c>
      <c r="F251" t="s">
        <v>215</v>
      </c>
    </row>
    <row r="252" spans="1:6" x14ac:dyDescent="0.25">
      <c r="A252">
        <v>20181001</v>
      </c>
      <c r="B252" t="str">
        <f>"126106"</f>
        <v>126106</v>
      </c>
      <c r="C252" t="s">
        <v>218</v>
      </c>
      <c r="D252" s="3">
        <v>60.8</v>
      </c>
      <c r="E252" t="s">
        <v>219</v>
      </c>
      <c r="F252" t="s">
        <v>215</v>
      </c>
    </row>
    <row r="253" spans="1:6" x14ac:dyDescent="0.25">
      <c r="A253">
        <v>20181001</v>
      </c>
      <c r="B253" t="str">
        <f>"126107"</f>
        <v>126107</v>
      </c>
      <c r="C253" t="s">
        <v>221</v>
      </c>
      <c r="D253" s="3">
        <v>1961.73</v>
      </c>
      <c r="E253" t="s">
        <v>222</v>
      </c>
      <c r="F253" t="s">
        <v>192</v>
      </c>
    </row>
    <row r="254" spans="1:6" x14ac:dyDescent="0.25">
      <c r="A254">
        <v>20181001</v>
      </c>
      <c r="B254" t="str">
        <f>"126108"</f>
        <v>126108</v>
      </c>
      <c r="C254" t="s">
        <v>223</v>
      </c>
      <c r="D254" s="3">
        <v>2395</v>
      </c>
      <c r="E254" t="s">
        <v>224</v>
      </c>
      <c r="F254" t="s">
        <v>192</v>
      </c>
    </row>
    <row r="255" spans="1:6" x14ac:dyDescent="0.25">
      <c r="A255">
        <v>20181001</v>
      </c>
      <c r="B255" t="str">
        <f>"126108"</f>
        <v>126108</v>
      </c>
      <c r="C255" t="s">
        <v>223</v>
      </c>
      <c r="D255" s="3">
        <v>2395</v>
      </c>
      <c r="E255" t="s">
        <v>224</v>
      </c>
      <c r="F255" t="s">
        <v>192</v>
      </c>
    </row>
    <row r="256" spans="1:6" x14ac:dyDescent="0.25">
      <c r="A256">
        <v>20181001</v>
      </c>
      <c r="B256" t="str">
        <f>"126109"</f>
        <v>126109</v>
      </c>
      <c r="C256" t="s">
        <v>225</v>
      </c>
      <c r="D256" s="3">
        <v>5923.05</v>
      </c>
      <c r="E256" t="s">
        <v>222</v>
      </c>
      <c r="F256" t="s">
        <v>192</v>
      </c>
    </row>
    <row r="257" spans="1:6" x14ac:dyDescent="0.25">
      <c r="A257">
        <v>20181001</v>
      </c>
      <c r="B257" t="str">
        <f>"126109"</f>
        <v>126109</v>
      </c>
      <c r="C257" t="s">
        <v>225</v>
      </c>
      <c r="D257" s="3">
        <v>302.5</v>
      </c>
      <c r="E257" t="s">
        <v>222</v>
      </c>
      <c r="F257" t="s">
        <v>192</v>
      </c>
    </row>
    <row r="258" spans="1:6" x14ac:dyDescent="0.25">
      <c r="A258">
        <v>20181001</v>
      </c>
      <c r="B258" t="str">
        <f>"126109"</f>
        <v>126109</v>
      </c>
      <c r="C258" t="s">
        <v>225</v>
      </c>
      <c r="D258" s="3">
        <v>3705.53</v>
      </c>
      <c r="E258" t="s">
        <v>222</v>
      </c>
      <c r="F258" t="s">
        <v>192</v>
      </c>
    </row>
    <row r="259" spans="1:6" x14ac:dyDescent="0.25">
      <c r="A259">
        <v>20181001</v>
      </c>
      <c r="B259" t="str">
        <f>"126110"</f>
        <v>126110</v>
      </c>
      <c r="C259" t="s">
        <v>226</v>
      </c>
      <c r="D259" s="3">
        <v>1359.28</v>
      </c>
      <c r="E259" t="s">
        <v>227</v>
      </c>
      <c r="F259" t="s">
        <v>198</v>
      </c>
    </row>
    <row r="260" spans="1:6" x14ac:dyDescent="0.25">
      <c r="A260">
        <v>20181001</v>
      </c>
      <c r="B260" t="str">
        <f>"126110"</f>
        <v>126110</v>
      </c>
      <c r="C260" t="s">
        <v>226</v>
      </c>
      <c r="D260" s="3">
        <v>1446.71</v>
      </c>
      <c r="E260" t="s">
        <v>228</v>
      </c>
      <c r="F260" t="s">
        <v>198</v>
      </c>
    </row>
    <row r="261" spans="1:6" x14ac:dyDescent="0.25">
      <c r="A261">
        <v>20181001</v>
      </c>
      <c r="B261" t="str">
        <f>"126110"</f>
        <v>126110</v>
      </c>
      <c r="C261" t="s">
        <v>226</v>
      </c>
      <c r="D261" s="3">
        <v>713.27</v>
      </c>
      <c r="E261" t="s">
        <v>228</v>
      </c>
      <c r="F261" t="s">
        <v>198</v>
      </c>
    </row>
    <row r="262" spans="1:6" x14ac:dyDescent="0.25">
      <c r="A262">
        <v>20181001</v>
      </c>
      <c r="B262" t="str">
        <f>"126110"</f>
        <v>126110</v>
      </c>
      <c r="C262" t="s">
        <v>226</v>
      </c>
      <c r="D262" s="3">
        <v>-43.9</v>
      </c>
      <c r="E262" t="s">
        <v>229</v>
      </c>
      <c r="F262" t="s">
        <v>198</v>
      </c>
    </row>
    <row r="263" spans="1:6" x14ac:dyDescent="0.25">
      <c r="A263">
        <v>20181001</v>
      </c>
      <c r="B263" t="str">
        <f>"126111"</f>
        <v>126111</v>
      </c>
      <c r="C263" t="s">
        <v>230</v>
      </c>
      <c r="D263" s="3">
        <v>-845.93</v>
      </c>
      <c r="E263" t="s">
        <v>232</v>
      </c>
      <c r="F263" t="s">
        <v>192</v>
      </c>
    </row>
    <row r="264" spans="1:6" x14ac:dyDescent="0.25">
      <c r="A264">
        <v>20181001</v>
      </c>
      <c r="B264" t="str">
        <f>"126111"</f>
        <v>126111</v>
      </c>
      <c r="C264" t="s">
        <v>230</v>
      </c>
      <c r="D264" s="3">
        <v>761.85</v>
      </c>
      <c r="E264" t="s">
        <v>233</v>
      </c>
      <c r="F264" t="s">
        <v>192</v>
      </c>
    </row>
    <row r="265" spans="1:6" x14ac:dyDescent="0.25">
      <c r="A265">
        <v>20181001</v>
      </c>
      <c r="B265" t="str">
        <f>"126111"</f>
        <v>126111</v>
      </c>
      <c r="C265" t="s">
        <v>230</v>
      </c>
      <c r="D265" s="3">
        <v>845.93</v>
      </c>
      <c r="E265" t="s">
        <v>233</v>
      </c>
      <c r="F265" t="s">
        <v>192</v>
      </c>
    </row>
    <row r="266" spans="1:6" x14ac:dyDescent="0.25">
      <c r="A266">
        <v>20181001</v>
      </c>
      <c r="B266" t="str">
        <f>"126111"</f>
        <v>126111</v>
      </c>
      <c r="C266" t="s">
        <v>230</v>
      </c>
      <c r="D266" s="3">
        <v>114.96</v>
      </c>
      <c r="E266" t="s">
        <v>231</v>
      </c>
      <c r="F266" t="s">
        <v>192</v>
      </c>
    </row>
    <row r="267" spans="1:6" x14ac:dyDescent="0.25">
      <c r="A267">
        <v>20181001</v>
      </c>
      <c r="B267" t="str">
        <f>"126111"</f>
        <v>126111</v>
      </c>
      <c r="C267" t="s">
        <v>230</v>
      </c>
      <c r="D267" s="3">
        <v>98.96</v>
      </c>
      <c r="E267" t="s">
        <v>231</v>
      </c>
      <c r="F267" t="s">
        <v>192</v>
      </c>
    </row>
    <row r="268" spans="1:6" x14ac:dyDescent="0.25">
      <c r="A268">
        <v>20181001</v>
      </c>
      <c r="B268" t="str">
        <f>"126112"</f>
        <v>126112</v>
      </c>
      <c r="C268" t="s">
        <v>234</v>
      </c>
      <c r="D268" s="3">
        <v>72</v>
      </c>
      <c r="E268" t="s">
        <v>235</v>
      </c>
      <c r="F268" t="s">
        <v>192</v>
      </c>
    </row>
    <row r="269" spans="1:6" x14ac:dyDescent="0.25">
      <c r="A269">
        <v>20181001</v>
      </c>
      <c r="B269" t="str">
        <f>"126113"</f>
        <v>126113</v>
      </c>
      <c r="C269" t="s">
        <v>236</v>
      </c>
      <c r="D269" s="3">
        <v>339.49</v>
      </c>
      <c r="E269" t="s">
        <v>167</v>
      </c>
      <c r="F269" t="s">
        <v>192</v>
      </c>
    </row>
    <row r="270" spans="1:6" x14ac:dyDescent="0.25">
      <c r="A270">
        <v>20181001</v>
      </c>
      <c r="B270" t="str">
        <f>"126113"</f>
        <v>126113</v>
      </c>
      <c r="C270" t="s">
        <v>236</v>
      </c>
      <c r="D270" s="3">
        <v>339</v>
      </c>
      <c r="E270" t="s">
        <v>145</v>
      </c>
      <c r="F270" t="s">
        <v>192</v>
      </c>
    </row>
    <row r="271" spans="1:6" x14ac:dyDescent="0.25">
      <c r="A271">
        <v>20181001</v>
      </c>
      <c r="B271" t="str">
        <f>"126113"</f>
        <v>126113</v>
      </c>
      <c r="C271" t="s">
        <v>236</v>
      </c>
      <c r="D271" s="3">
        <v>434.25</v>
      </c>
      <c r="E271" t="s">
        <v>145</v>
      </c>
      <c r="F271" t="s">
        <v>192</v>
      </c>
    </row>
    <row r="272" spans="1:6" x14ac:dyDescent="0.25">
      <c r="A272">
        <v>20181001</v>
      </c>
      <c r="B272" t="str">
        <f>"126113"</f>
        <v>126113</v>
      </c>
      <c r="C272" t="s">
        <v>236</v>
      </c>
      <c r="D272" s="3">
        <v>332</v>
      </c>
      <c r="E272" t="s">
        <v>237</v>
      </c>
      <c r="F272" t="s">
        <v>192</v>
      </c>
    </row>
    <row r="273" spans="1:6" x14ac:dyDescent="0.25">
      <c r="A273">
        <v>20181001</v>
      </c>
      <c r="B273" t="str">
        <f>"126114"</f>
        <v>126114</v>
      </c>
      <c r="C273" t="s">
        <v>238</v>
      </c>
      <c r="D273" s="3">
        <v>187</v>
      </c>
      <c r="E273" t="s">
        <v>239</v>
      </c>
      <c r="F273" t="s">
        <v>192</v>
      </c>
    </row>
    <row r="274" spans="1:6" x14ac:dyDescent="0.25">
      <c r="A274">
        <v>20181001</v>
      </c>
      <c r="B274" t="str">
        <f>"126115"</f>
        <v>126115</v>
      </c>
      <c r="C274" t="s">
        <v>240</v>
      </c>
      <c r="D274" s="3">
        <v>4584.04</v>
      </c>
      <c r="E274" t="s">
        <v>241</v>
      </c>
      <c r="F274" t="s">
        <v>192</v>
      </c>
    </row>
    <row r="275" spans="1:6" x14ac:dyDescent="0.25">
      <c r="A275">
        <v>20181001</v>
      </c>
      <c r="B275" t="str">
        <f>"126116"</f>
        <v>126116</v>
      </c>
      <c r="C275" t="s">
        <v>242</v>
      </c>
      <c r="D275" s="3">
        <v>17100</v>
      </c>
      <c r="E275" t="s">
        <v>243</v>
      </c>
      <c r="F275" t="s">
        <v>192</v>
      </c>
    </row>
    <row r="276" spans="1:6" x14ac:dyDescent="0.25">
      <c r="A276">
        <v>20181001</v>
      </c>
      <c r="B276" t="str">
        <f>"126117"</f>
        <v>126117</v>
      </c>
      <c r="C276" t="s">
        <v>244</v>
      </c>
      <c r="D276" s="3">
        <v>1275</v>
      </c>
      <c r="E276" t="s">
        <v>245</v>
      </c>
      <c r="F276" t="s">
        <v>198</v>
      </c>
    </row>
    <row r="277" spans="1:6" x14ac:dyDescent="0.25">
      <c r="A277">
        <v>20181001</v>
      </c>
      <c r="B277" t="str">
        <f>"126118"</f>
        <v>126118</v>
      </c>
      <c r="C277" t="s">
        <v>246</v>
      </c>
      <c r="D277" s="3">
        <v>400</v>
      </c>
      <c r="E277" t="s">
        <v>247</v>
      </c>
      <c r="F277" t="s">
        <v>192</v>
      </c>
    </row>
    <row r="278" spans="1:6" x14ac:dyDescent="0.25">
      <c r="A278">
        <v>20181001</v>
      </c>
      <c r="B278" t="str">
        <f>"126119"</f>
        <v>126119</v>
      </c>
      <c r="C278" t="s">
        <v>248</v>
      </c>
      <c r="D278" s="3">
        <v>545</v>
      </c>
      <c r="E278" t="s">
        <v>28</v>
      </c>
      <c r="F278" t="s">
        <v>198</v>
      </c>
    </row>
    <row r="279" spans="1:6" x14ac:dyDescent="0.25">
      <c r="A279">
        <v>20181001</v>
      </c>
      <c r="B279" t="str">
        <f>"126120"</f>
        <v>126120</v>
      </c>
      <c r="C279" t="s">
        <v>249</v>
      </c>
      <c r="D279" s="3">
        <v>178.08</v>
      </c>
      <c r="E279" t="s">
        <v>28</v>
      </c>
      <c r="F279" t="s">
        <v>192</v>
      </c>
    </row>
    <row r="280" spans="1:6" x14ac:dyDescent="0.25">
      <c r="A280">
        <v>20181001</v>
      </c>
      <c r="B280" t="str">
        <f>"126121"</f>
        <v>126121</v>
      </c>
      <c r="C280" t="s">
        <v>250</v>
      </c>
      <c r="D280" s="3">
        <v>-497.93</v>
      </c>
      <c r="E280" t="s">
        <v>253</v>
      </c>
      <c r="F280" t="s">
        <v>192</v>
      </c>
    </row>
    <row r="281" spans="1:6" x14ac:dyDescent="0.25">
      <c r="A281">
        <v>20181001</v>
      </c>
      <c r="B281" t="str">
        <f>"126121"</f>
        <v>126121</v>
      </c>
      <c r="C281" t="s">
        <v>250</v>
      </c>
      <c r="D281" s="3">
        <v>-619.98</v>
      </c>
      <c r="E281" t="s">
        <v>252</v>
      </c>
      <c r="F281" t="s">
        <v>192</v>
      </c>
    </row>
    <row r="282" spans="1:6" x14ac:dyDescent="0.25">
      <c r="A282">
        <v>20181001</v>
      </c>
      <c r="B282" t="str">
        <f>"126121"</f>
        <v>126121</v>
      </c>
      <c r="C282" t="s">
        <v>250</v>
      </c>
      <c r="D282" s="3">
        <v>2196</v>
      </c>
      <c r="E282" t="s">
        <v>145</v>
      </c>
      <c r="F282" t="s">
        <v>192</v>
      </c>
    </row>
    <row r="283" spans="1:6" x14ac:dyDescent="0.25">
      <c r="A283">
        <v>20181001</v>
      </c>
      <c r="B283" t="str">
        <f>"126121"</f>
        <v>126121</v>
      </c>
      <c r="C283" t="s">
        <v>250</v>
      </c>
      <c r="D283" s="3">
        <v>699.95</v>
      </c>
      <c r="E283" t="s">
        <v>145</v>
      </c>
      <c r="F283" t="s">
        <v>192</v>
      </c>
    </row>
    <row r="284" spans="1:6" x14ac:dyDescent="0.25">
      <c r="A284">
        <v>20181001</v>
      </c>
      <c r="B284" t="str">
        <f>"126121"</f>
        <v>126121</v>
      </c>
      <c r="C284" t="s">
        <v>250</v>
      </c>
      <c r="D284" s="3">
        <v>147.96</v>
      </c>
      <c r="E284" t="s">
        <v>251</v>
      </c>
      <c r="F284" t="s">
        <v>192</v>
      </c>
    </row>
    <row r="285" spans="1:6" x14ac:dyDescent="0.25">
      <c r="A285">
        <v>20181001</v>
      </c>
      <c r="B285" t="str">
        <f>"126121"</f>
        <v>126121</v>
      </c>
      <c r="C285" t="s">
        <v>250</v>
      </c>
      <c r="D285" s="3">
        <v>749.75</v>
      </c>
      <c r="E285" t="s">
        <v>254</v>
      </c>
      <c r="F285" t="s">
        <v>192</v>
      </c>
    </row>
    <row r="286" spans="1:6" x14ac:dyDescent="0.25">
      <c r="A286">
        <v>20181001</v>
      </c>
      <c r="B286" t="str">
        <f>"126122"</f>
        <v>126122</v>
      </c>
      <c r="C286" t="s">
        <v>25</v>
      </c>
      <c r="D286" s="3">
        <v>300</v>
      </c>
      <c r="E286" t="s">
        <v>26</v>
      </c>
      <c r="F286" t="s">
        <v>192</v>
      </c>
    </row>
    <row r="287" spans="1:6" x14ac:dyDescent="0.25">
      <c r="A287">
        <v>20181001</v>
      </c>
      <c r="B287" t="str">
        <f>"126123"</f>
        <v>126123</v>
      </c>
      <c r="C287" t="s">
        <v>255</v>
      </c>
      <c r="D287" s="3">
        <v>7.99</v>
      </c>
      <c r="E287" t="s">
        <v>256</v>
      </c>
      <c r="F287" t="s">
        <v>215</v>
      </c>
    </row>
    <row r="288" spans="1:6" x14ac:dyDescent="0.25">
      <c r="A288">
        <v>20181001</v>
      </c>
      <c r="B288" t="str">
        <f>"126124"</f>
        <v>126124</v>
      </c>
      <c r="C288" t="s">
        <v>257</v>
      </c>
      <c r="D288" s="3">
        <v>1398.5</v>
      </c>
      <c r="E288" t="s">
        <v>228</v>
      </c>
      <c r="F288" t="s">
        <v>198</v>
      </c>
    </row>
    <row r="289" spans="1:6" x14ac:dyDescent="0.25">
      <c r="A289">
        <v>20181001</v>
      </c>
      <c r="B289" t="str">
        <f>"126124"</f>
        <v>126124</v>
      </c>
      <c r="C289" t="s">
        <v>257</v>
      </c>
      <c r="D289" s="3">
        <v>7656.5</v>
      </c>
      <c r="E289" t="s">
        <v>228</v>
      </c>
      <c r="F289" t="s">
        <v>198</v>
      </c>
    </row>
    <row r="290" spans="1:6" x14ac:dyDescent="0.25">
      <c r="A290">
        <v>20181001</v>
      </c>
      <c r="B290" t="str">
        <f>"126124"</f>
        <v>126124</v>
      </c>
      <c r="C290" t="s">
        <v>257</v>
      </c>
      <c r="D290" s="3">
        <v>211.2</v>
      </c>
      <c r="E290" t="s">
        <v>258</v>
      </c>
      <c r="F290" t="s">
        <v>215</v>
      </c>
    </row>
    <row r="291" spans="1:6" x14ac:dyDescent="0.25">
      <c r="A291">
        <v>20181001</v>
      </c>
      <c r="B291" t="str">
        <f>"126124"</f>
        <v>126124</v>
      </c>
      <c r="C291" t="s">
        <v>257</v>
      </c>
      <c r="D291" s="3">
        <v>175.2</v>
      </c>
      <c r="E291" t="s">
        <v>258</v>
      </c>
      <c r="F291" t="s">
        <v>215</v>
      </c>
    </row>
    <row r="292" spans="1:6" x14ac:dyDescent="0.25">
      <c r="A292">
        <v>20181001</v>
      </c>
      <c r="B292" t="str">
        <f>"126124"</f>
        <v>126124</v>
      </c>
      <c r="C292" t="s">
        <v>257</v>
      </c>
      <c r="D292" s="3">
        <v>168</v>
      </c>
      <c r="E292" t="s">
        <v>258</v>
      </c>
      <c r="F292" t="s">
        <v>215</v>
      </c>
    </row>
    <row r="293" spans="1:6" x14ac:dyDescent="0.25">
      <c r="A293">
        <v>20181001</v>
      </c>
      <c r="B293" t="str">
        <f>"126124"</f>
        <v>126124</v>
      </c>
      <c r="C293" t="s">
        <v>257</v>
      </c>
      <c r="D293" s="3">
        <v>168</v>
      </c>
      <c r="E293" t="s">
        <v>258</v>
      </c>
      <c r="F293" t="s">
        <v>215</v>
      </c>
    </row>
    <row r="294" spans="1:6" x14ac:dyDescent="0.25">
      <c r="A294">
        <v>20181001</v>
      </c>
      <c r="B294" t="str">
        <f>"126125"</f>
        <v>126125</v>
      </c>
      <c r="C294" t="s">
        <v>259</v>
      </c>
      <c r="D294" s="3">
        <v>203.7</v>
      </c>
      <c r="E294" t="s">
        <v>28</v>
      </c>
      <c r="F294" t="s">
        <v>215</v>
      </c>
    </row>
    <row r="295" spans="1:6" x14ac:dyDescent="0.25">
      <c r="A295">
        <v>20181001</v>
      </c>
      <c r="B295" t="str">
        <f>"126126"</f>
        <v>126126</v>
      </c>
      <c r="C295" t="s">
        <v>260</v>
      </c>
      <c r="D295" s="3">
        <v>887</v>
      </c>
      <c r="E295" t="s">
        <v>261</v>
      </c>
      <c r="F295" t="s">
        <v>192</v>
      </c>
    </row>
    <row r="296" spans="1:6" x14ac:dyDescent="0.25">
      <c r="A296">
        <v>20181001</v>
      </c>
      <c r="B296" t="str">
        <f>"126127"</f>
        <v>126127</v>
      </c>
      <c r="C296" t="s">
        <v>262</v>
      </c>
      <c r="D296" s="3">
        <v>9581.5300000000007</v>
      </c>
      <c r="E296" t="s">
        <v>263</v>
      </c>
      <c r="F296" t="s">
        <v>192</v>
      </c>
    </row>
    <row r="297" spans="1:6" x14ac:dyDescent="0.25">
      <c r="A297">
        <v>20181001</v>
      </c>
      <c r="B297" t="str">
        <f>"126128"</f>
        <v>126128</v>
      </c>
      <c r="C297" t="s">
        <v>264</v>
      </c>
      <c r="D297" s="3">
        <v>274.55</v>
      </c>
      <c r="E297" t="s">
        <v>265</v>
      </c>
      <c r="F297" t="s">
        <v>192</v>
      </c>
    </row>
    <row r="298" spans="1:6" x14ac:dyDescent="0.25">
      <c r="A298">
        <v>20181001</v>
      </c>
      <c r="B298" t="str">
        <f>"126129"</f>
        <v>126129</v>
      </c>
      <c r="C298" t="s">
        <v>266</v>
      </c>
      <c r="D298" s="3">
        <v>72</v>
      </c>
      <c r="E298" t="s">
        <v>267</v>
      </c>
      <c r="F298" t="s">
        <v>192</v>
      </c>
    </row>
    <row r="299" spans="1:6" x14ac:dyDescent="0.25">
      <c r="A299">
        <v>20181001</v>
      </c>
      <c r="B299" t="str">
        <f>"126130"</f>
        <v>126130</v>
      </c>
      <c r="C299" t="s">
        <v>31</v>
      </c>
      <c r="D299" s="3">
        <v>27.27</v>
      </c>
      <c r="E299" t="s">
        <v>33</v>
      </c>
      <c r="F299" t="s">
        <v>192</v>
      </c>
    </row>
    <row r="300" spans="1:6" x14ac:dyDescent="0.25">
      <c r="A300">
        <v>20181001</v>
      </c>
      <c r="B300" t="str">
        <f>"126131"</f>
        <v>126131</v>
      </c>
      <c r="C300" t="s">
        <v>36</v>
      </c>
      <c r="D300" s="3">
        <v>1665.68</v>
      </c>
      <c r="E300" t="s">
        <v>38</v>
      </c>
      <c r="F300" t="s">
        <v>192</v>
      </c>
    </row>
    <row r="301" spans="1:6" x14ac:dyDescent="0.25">
      <c r="A301">
        <v>20181001</v>
      </c>
      <c r="B301" t="str">
        <f>"126131"</f>
        <v>126131</v>
      </c>
      <c r="C301" t="s">
        <v>36</v>
      </c>
      <c r="D301" s="3">
        <v>57.33</v>
      </c>
      <c r="E301" t="s">
        <v>268</v>
      </c>
      <c r="F301" t="s">
        <v>192</v>
      </c>
    </row>
    <row r="302" spans="1:6" x14ac:dyDescent="0.25">
      <c r="A302">
        <v>20181001</v>
      </c>
      <c r="B302" t="str">
        <f>"126131"</f>
        <v>126131</v>
      </c>
      <c r="C302" t="s">
        <v>36</v>
      </c>
      <c r="D302" s="3">
        <v>27.19</v>
      </c>
      <c r="E302" t="s">
        <v>268</v>
      </c>
      <c r="F302" t="s">
        <v>192</v>
      </c>
    </row>
    <row r="303" spans="1:6" x14ac:dyDescent="0.25">
      <c r="A303">
        <v>20181001</v>
      </c>
      <c r="B303" t="str">
        <f>"126132"</f>
        <v>126132</v>
      </c>
      <c r="C303" t="s">
        <v>9</v>
      </c>
      <c r="D303" s="3">
        <v>31.77</v>
      </c>
      <c r="E303" t="s">
        <v>269</v>
      </c>
      <c r="F303" t="s">
        <v>192</v>
      </c>
    </row>
    <row r="304" spans="1:6" x14ac:dyDescent="0.25">
      <c r="A304">
        <v>20181001</v>
      </c>
      <c r="B304" t="str">
        <f>"126132"</f>
        <v>126132</v>
      </c>
      <c r="C304" t="s">
        <v>9</v>
      </c>
      <c r="D304" s="3">
        <v>4570.8100000000004</v>
      </c>
      <c r="E304" t="s">
        <v>269</v>
      </c>
      <c r="F304" t="s">
        <v>192</v>
      </c>
    </row>
    <row r="305" spans="1:6" x14ac:dyDescent="0.25">
      <c r="A305">
        <v>20181001</v>
      </c>
      <c r="B305" t="str">
        <f>"126133"</f>
        <v>126133</v>
      </c>
      <c r="C305" t="s">
        <v>270</v>
      </c>
      <c r="D305" s="3">
        <v>385.02</v>
      </c>
      <c r="E305" t="s">
        <v>271</v>
      </c>
      <c r="F305" t="s">
        <v>198</v>
      </c>
    </row>
    <row r="306" spans="1:6" x14ac:dyDescent="0.25">
      <c r="A306">
        <v>20181001</v>
      </c>
      <c r="B306" t="str">
        <f>"126134"</f>
        <v>126134</v>
      </c>
      <c r="C306" t="s">
        <v>272</v>
      </c>
      <c r="D306" s="3">
        <v>8200</v>
      </c>
      <c r="E306" t="s">
        <v>273</v>
      </c>
      <c r="F306" t="s">
        <v>192</v>
      </c>
    </row>
    <row r="307" spans="1:6" x14ac:dyDescent="0.25">
      <c r="A307">
        <v>20181001</v>
      </c>
      <c r="B307" t="str">
        <f>"126135"</f>
        <v>126135</v>
      </c>
      <c r="C307" t="s">
        <v>146</v>
      </c>
      <c r="D307" s="3">
        <v>191.2</v>
      </c>
      <c r="E307" t="s">
        <v>274</v>
      </c>
      <c r="F307" t="s">
        <v>192</v>
      </c>
    </row>
    <row r="308" spans="1:6" x14ac:dyDescent="0.25">
      <c r="A308">
        <v>20181001</v>
      </c>
      <c r="B308" t="str">
        <f>"126136"</f>
        <v>126136</v>
      </c>
      <c r="C308" t="s">
        <v>275</v>
      </c>
      <c r="D308" s="3">
        <v>133.32</v>
      </c>
      <c r="E308" t="s">
        <v>35</v>
      </c>
      <c r="F308" t="s">
        <v>192</v>
      </c>
    </row>
    <row r="309" spans="1:6" x14ac:dyDescent="0.25">
      <c r="A309">
        <v>20181001</v>
      </c>
      <c r="B309" t="str">
        <f>"126137"</f>
        <v>126137</v>
      </c>
      <c r="C309" t="s">
        <v>84</v>
      </c>
      <c r="D309" s="3">
        <v>696</v>
      </c>
      <c r="E309" t="s">
        <v>277</v>
      </c>
      <c r="F309" t="s">
        <v>195</v>
      </c>
    </row>
    <row r="310" spans="1:6" x14ac:dyDescent="0.25">
      <c r="A310">
        <v>20181001</v>
      </c>
      <c r="B310" t="str">
        <f>"126137"</f>
        <v>126137</v>
      </c>
      <c r="C310" t="s">
        <v>84</v>
      </c>
      <c r="D310" s="3">
        <v>192.5</v>
      </c>
      <c r="E310" t="s">
        <v>276</v>
      </c>
      <c r="F310" t="s">
        <v>198</v>
      </c>
    </row>
    <row r="311" spans="1:6" x14ac:dyDescent="0.25">
      <c r="A311">
        <v>20181001</v>
      </c>
      <c r="B311" t="str">
        <f>"126138"</f>
        <v>126138</v>
      </c>
      <c r="C311" t="s">
        <v>278</v>
      </c>
      <c r="D311" s="3">
        <v>2104</v>
      </c>
      <c r="E311" t="s">
        <v>280</v>
      </c>
      <c r="F311" t="s">
        <v>192</v>
      </c>
    </row>
    <row r="312" spans="1:6" x14ac:dyDescent="0.25">
      <c r="A312">
        <v>20181001</v>
      </c>
      <c r="B312" t="str">
        <f>"126138"</f>
        <v>126138</v>
      </c>
      <c r="C312" t="s">
        <v>278</v>
      </c>
      <c r="D312" s="3">
        <v>1908.9</v>
      </c>
      <c r="E312" t="s">
        <v>284</v>
      </c>
      <c r="F312" t="s">
        <v>192</v>
      </c>
    </row>
    <row r="313" spans="1:6" x14ac:dyDescent="0.25">
      <c r="A313">
        <v>20181001</v>
      </c>
      <c r="B313" t="str">
        <f>"126138"</f>
        <v>126138</v>
      </c>
      <c r="C313" t="s">
        <v>278</v>
      </c>
      <c r="D313" s="3">
        <v>1459.41</v>
      </c>
      <c r="E313" t="s">
        <v>282</v>
      </c>
      <c r="F313" t="s">
        <v>192</v>
      </c>
    </row>
    <row r="314" spans="1:6" x14ac:dyDescent="0.25">
      <c r="A314">
        <v>20181001</v>
      </c>
      <c r="B314" t="str">
        <f>"126138"</f>
        <v>126138</v>
      </c>
      <c r="C314" t="s">
        <v>278</v>
      </c>
      <c r="D314" s="3">
        <v>835.91</v>
      </c>
      <c r="E314" t="s">
        <v>281</v>
      </c>
      <c r="F314" t="s">
        <v>192</v>
      </c>
    </row>
    <row r="315" spans="1:6" x14ac:dyDescent="0.25">
      <c r="A315">
        <v>20181001</v>
      </c>
      <c r="B315" t="str">
        <f>"126138"</f>
        <v>126138</v>
      </c>
      <c r="C315" t="s">
        <v>278</v>
      </c>
      <c r="D315" s="3">
        <v>188.19</v>
      </c>
      <c r="E315" t="s">
        <v>283</v>
      </c>
      <c r="F315" t="s">
        <v>192</v>
      </c>
    </row>
    <row r="316" spans="1:6" x14ac:dyDescent="0.25">
      <c r="A316">
        <v>20181001</v>
      </c>
      <c r="B316" t="str">
        <f>"126138"</f>
        <v>126138</v>
      </c>
      <c r="C316" t="s">
        <v>278</v>
      </c>
      <c r="D316" s="3">
        <v>968.68</v>
      </c>
      <c r="E316" t="s">
        <v>28</v>
      </c>
      <c r="F316" t="s">
        <v>192</v>
      </c>
    </row>
    <row r="317" spans="1:6" x14ac:dyDescent="0.25">
      <c r="A317">
        <v>20181001</v>
      </c>
      <c r="B317" t="str">
        <f>"126138"</f>
        <v>126138</v>
      </c>
      <c r="C317" t="s">
        <v>278</v>
      </c>
      <c r="D317" s="3">
        <v>77.010000000000005</v>
      </c>
      <c r="E317" t="s">
        <v>279</v>
      </c>
      <c r="F317" t="s">
        <v>192</v>
      </c>
    </row>
    <row r="318" spans="1:6" x14ac:dyDescent="0.25">
      <c r="A318">
        <v>20181001</v>
      </c>
      <c r="B318" t="str">
        <f>"126138"</f>
        <v>126138</v>
      </c>
      <c r="C318" t="s">
        <v>278</v>
      </c>
      <c r="D318" s="3">
        <v>81</v>
      </c>
      <c r="E318" t="s">
        <v>279</v>
      </c>
      <c r="F318" t="s">
        <v>192</v>
      </c>
    </row>
    <row r="319" spans="1:6" x14ac:dyDescent="0.25">
      <c r="A319">
        <v>20181001</v>
      </c>
      <c r="B319" t="str">
        <f>"126138"</f>
        <v>126138</v>
      </c>
      <c r="C319" t="s">
        <v>278</v>
      </c>
      <c r="D319" s="3">
        <v>211.06</v>
      </c>
      <c r="E319" t="s">
        <v>279</v>
      </c>
      <c r="F319" t="s">
        <v>192</v>
      </c>
    </row>
    <row r="320" spans="1:6" x14ac:dyDescent="0.25">
      <c r="A320">
        <v>20181001</v>
      </c>
      <c r="B320" t="str">
        <f>"126139"</f>
        <v>126139</v>
      </c>
      <c r="C320" t="s">
        <v>39</v>
      </c>
      <c r="D320" s="3">
        <v>50</v>
      </c>
      <c r="E320" t="s">
        <v>28</v>
      </c>
      <c r="F320" t="s">
        <v>192</v>
      </c>
    </row>
    <row r="321" spans="1:6" x14ac:dyDescent="0.25">
      <c r="A321">
        <v>20181001</v>
      </c>
      <c r="B321" t="str">
        <f>"126139"</f>
        <v>126139</v>
      </c>
      <c r="C321" t="s">
        <v>39</v>
      </c>
      <c r="D321" s="3">
        <v>65</v>
      </c>
      <c r="E321" t="s">
        <v>285</v>
      </c>
      <c r="F321" t="s">
        <v>192</v>
      </c>
    </row>
    <row r="322" spans="1:6" x14ac:dyDescent="0.25">
      <c r="A322">
        <v>20181001</v>
      </c>
      <c r="B322" t="str">
        <f>"126140"</f>
        <v>126140</v>
      </c>
      <c r="C322" t="s">
        <v>286</v>
      </c>
      <c r="D322" s="3">
        <v>4383.1000000000004</v>
      </c>
      <c r="E322" t="s">
        <v>287</v>
      </c>
      <c r="F322" t="s">
        <v>192</v>
      </c>
    </row>
    <row r="323" spans="1:6" x14ac:dyDescent="0.25">
      <c r="A323">
        <v>20181001</v>
      </c>
      <c r="B323" t="str">
        <f>"126140"</f>
        <v>126140</v>
      </c>
      <c r="C323" t="s">
        <v>286</v>
      </c>
      <c r="D323" s="3">
        <v>1235.57</v>
      </c>
      <c r="E323" t="s">
        <v>287</v>
      </c>
      <c r="F323" t="s">
        <v>192</v>
      </c>
    </row>
    <row r="324" spans="1:6" x14ac:dyDescent="0.25">
      <c r="A324">
        <v>20181001</v>
      </c>
      <c r="B324" t="str">
        <f>"126140"</f>
        <v>126140</v>
      </c>
      <c r="C324" t="s">
        <v>286</v>
      </c>
      <c r="D324" s="3">
        <v>14472.76</v>
      </c>
      <c r="E324" t="s">
        <v>287</v>
      </c>
      <c r="F324" t="s">
        <v>192</v>
      </c>
    </row>
    <row r="325" spans="1:6" x14ac:dyDescent="0.25">
      <c r="A325">
        <v>20181001</v>
      </c>
      <c r="B325" t="str">
        <f>"126140"</f>
        <v>126140</v>
      </c>
      <c r="C325" t="s">
        <v>286</v>
      </c>
      <c r="D325" s="3">
        <v>4600</v>
      </c>
      <c r="E325" t="s">
        <v>287</v>
      </c>
      <c r="F325" t="s">
        <v>192</v>
      </c>
    </row>
    <row r="326" spans="1:6" x14ac:dyDescent="0.25">
      <c r="A326">
        <v>20181001</v>
      </c>
      <c r="B326" t="str">
        <f>"126140"</f>
        <v>126140</v>
      </c>
      <c r="C326" t="s">
        <v>286</v>
      </c>
      <c r="D326" s="3">
        <v>26</v>
      </c>
      <c r="E326" t="s">
        <v>288</v>
      </c>
      <c r="F326" t="s">
        <v>192</v>
      </c>
    </row>
    <row r="327" spans="1:6" x14ac:dyDescent="0.25">
      <c r="A327">
        <v>20181001</v>
      </c>
      <c r="B327" t="str">
        <f>"126141"</f>
        <v>126141</v>
      </c>
      <c r="C327" t="s">
        <v>86</v>
      </c>
      <c r="D327" s="3">
        <v>1250</v>
      </c>
      <c r="E327" t="s">
        <v>87</v>
      </c>
      <c r="F327" t="s">
        <v>192</v>
      </c>
    </row>
    <row r="328" spans="1:6" x14ac:dyDescent="0.25">
      <c r="A328">
        <v>20181001</v>
      </c>
      <c r="B328" t="str">
        <f>"126142"</f>
        <v>126142</v>
      </c>
      <c r="C328" t="s">
        <v>148</v>
      </c>
      <c r="D328" s="3">
        <v>197.85</v>
      </c>
      <c r="E328" t="s">
        <v>289</v>
      </c>
      <c r="F328" t="s">
        <v>192</v>
      </c>
    </row>
    <row r="329" spans="1:6" x14ac:dyDescent="0.25">
      <c r="A329">
        <v>20181001</v>
      </c>
      <c r="B329" t="str">
        <f>"126143"</f>
        <v>126143</v>
      </c>
      <c r="C329" t="s">
        <v>290</v>
      </c>
      <c r="D329" s="3">
        <v>400</v>
      </c>
      <c r="E329" t="s">
        <v>291</v>
      </c>
      <c r="F329" t="s">
        <v>192</v>
      </c>
    </row>
    <row r="330" spans="1:6" x14ac:dyDescent="0.25">
      <c r="A330">
        <v>20181001</v>
      </c>
      <c r="B330" t="str">
        <f>"126144"</f>
        <v>126144</v>
      </c>
      <c r="C330" t="s">
        <v>292</v>
      </c>
      <c r="D330" s="3">
        <v>544.5</v>
      </c>
      <c r="E330" t="s">
        <v>28</v>
      </c>
      <c r="F330" t="s">
        <v>192</v>
      </c>
    </row>
    <row r="331" spans="1:6" x14ac:dyDescent="0.25">
      <c r="A331">
        <v>20181001</v>
      </c>
      <c r="B331" t="str">
        <f>"126144"</f>
        <v>126144</v>
      </c>
      <c r="C331" t="s">
        <v>292</v>
      </c>
      <c r="D331" s="3">
        <v>217.8</v>
      </c>
      <c r="E331" t="s">
        <v>28</v>
      </c>
      <c r="F331" t="s">
        <v>192</v>
      </c>
    </row>
    <row r="332" spans="1:6" x14ac:dyDescent="0.25">
      <c r="A332">
        <v>20181001</v>
      </c>
      <c r="B332" t="str">
        <f>"126145"</f>
        <v>126145</v>
      </c>
      <c r="C332" t="s">
        <v>293</v>
      </c>
      <c r="D332" s="3">
        <v>261.08</v>
      </c>
      <c r="E332" t="s">
        <v>295</v>
      </c>
      <c r="F332" t="s">
        <v>192</v>
      </c>
    </row>
    <row r="333" spans="1:6" x14ac:dyDescent="0.25">
      <c r="A333">
        <v>20181001</v>
      </c>
      <c r="B333" t="str">
        <f>"126145"</f>
        <v>126145</v>
      </c>
      <c r="C333" t="s">
        <v>293</v>
      </c>
      <c r="D333" s="3">
        <v>623.76</v>
      </c>
      <c r="E333" t="s">
        <v>295</v>
      </c>
      <c r="F333" t="s">
        <v>192</v>
      </c>
    </row>
    <row r="334" spans="1:6" x14ac:dyDescent="0.25">
      <c r="A334">
        <v>20181001</v>
      </c>
      <c r="B334" t="str">
        <f>"126145"</f>
        <v>126145</v>
      </c>
      <c r="C334" t="s">
        <v>293</v>
      </c>
      <c r="D334" s="3">
        <v>119.51</v>
      </c>
      <c r="E334" t="s">
        <v>296</v>
      </c>
      <c r="F334" t="s">
        <v>192</v>
      </c>
    </row>
    <row r="335" spans="1:6" x14ac:dyDescent="0.25">
      <c r="A335">
        <v>20181001</v>
      </c>
      <c r="B335" t="str">
        <f>"126145"</f>
        <v>126145</v>
      </c>
      <c r="C335" t="s">
        <v>293</v>
      </c>
      <c r="D335" s="3">
        <v>194.88</v>
      </c>
      <c r="E335" t="s">
        <v>294</v>
      </c>
      <c r="F335" t="s">
        <v>198</v>
      </c>
    </row>
    <row r="336" spans="1:6" x14ac:dyDescent="0.25">
      <c r="A336">
        <v>20181001</v>
      </c>
      <c r="B336" t="str">
        <f>"126146"</f>
        <v>126146</v>
      </c>
      <c r="C336" t="s">
        <v>297</v>
      </c>
      <c r="D336" s="3">
        <v>327.99</v>
      </c>
      <c r="E336" t="s">
        <v>208</v>
      </c>
      <c r="F336" t="s">
        <v>192</v>
      </c>
    </row>
    <row r="337" spans="1:6" x14ac:dyDescent="0.25">
      <c r="A337">
        <v>20181001</v>
      </c>
      <c r="B337" t="str">
        <f>"126146"</f>
        <v>126146</v>
      </c>
      <c r="C337" t="s">
        <v>297</v>
      </c>
      <c r="D337" s="3">
        <v>1294.6500000000001</v>
      </c>
      <c r="E337" t="s">
        <v>208</v>
      </c>
      <c r="F337" t="s">
        <v>192</v>
      </c>
    </row>
    <row r="338" spans="1:6" x14ac:dyDescent="0.25">
      <c r="A338">
        <v>20181001</v>
      </c>
      <c r="B338" t="str">
        <f>"126147"</f>
        <v>126147</v>
      </c>
      <c r="C338" t="s">
        <v>298</v>
      </c>
      <c r="D338" s="3">
        <v>1750</v>
      </c>
      <c r="E338" t="s">
        <v>299</v>
      </c>
      <c r="F338" t="s">
        <v>192</v>
      </c>
    </row>
    <row r="339" spans="1:6" x14ac:dyDescent="0.25">
      <c r="A339">
        <v>20181001</v>
      </c>
      <c r="B339" t="str">
        <f>"126148"</f>
        <v>126148</v>
      </c>
      <c r="C339" t="s">
        <v>300</v>
      </c>
      <c r="D339" s="3">
        <v>43340</v>
      </c>
      <c r="E339" t="s">
        <v>301</v>
      </c>
      <c r="F339" t="s">
        <v>302</v>
      </c>
    </row>
    <row r="340" spans="1:6" x14ac:dyDescent="0.25">
      <c r="A340">
        <v>20181001</v>
      </c>
      <c r="B340" t="str">
        <f>"126149"</f>
        <v>126149</v>
      </c>
      <c r="C340" t="s">
        <v>303</v>
      </c>
      <c r="D340" s="3">
        <v>36000</v>
      </c>
      <c r="E340" t="s">
        <v>301</v>
      </c>
      <c r="F340" t="s">
        <v>302</v>
      </c>
    </row>
    <row r="341" spans="1:6" x14ac:dyDescent="0.25">
      <c r="A341">
        <v>20181001</v>
      </c>
      <c r="B341" t="str">
        <f>"126150"</f>
        <v>126150</v>
      </c>
      <c r="C341" t="s">
        <v>304</v>
      </c>
      <c r="D341" s="3">
        <v>295</v>
      </c>
      <c r="E341" t="s">
        <v>267</v>
      </c>
      <c r="F341" t="s">
        <v>192</v>
      </c>
    </row>
    <row r="342" spans="1:6" x14ac:dyDescent="0.25">
      <c r="A342">
        <v>20181001</v>
      </c>
      <c r="B342" t="str">
        <f>"126151"</f>
        <v>126151</v>
      </c>
      <c r="C342" t="s">
        <v>305</v>
      </c>
      <c r="D342" s="3">
        <v>5434</v>
      </c>
      <c r="E342" t="s">
        <v>306</v>
      </c>
      <c r="F342" t="s">
        <v>307</v>
      </c>
    </row>
    <row r="343" spans="1:6" x14ac:dyDescent="0.25">
      <c r="A343">
        <v>20181001</v>
      </c>
      <c r="B343" t="str">
        <f>"126152"</f>
        <v>126152</v>
      </c>
      <c r="C343" t="s">
        <v>308</v>
      </c>
      <c r="D343" s="3">
        <v>299</v>
      </c>
      <c r="E343" t="s">
        <v>311</v>
      </c>
      <c r="F343" t="s">
        <v>192</v>
      </c>
    </row>
    <row r="344" spans="1:6" x14ac:dyDescent="0.25">
      <c r="A344">
        <v>20181001</v>
      </c>
      <c r="B344" t="str">
        <f>"126152"</f>
        <v>126152</v>
      </c>
      <c r="C344" t="s">
        <v>308</v>
      </c>
      <c r="D344" s="3">
        <v>-75</v>
      </c>
      <c r="E344" t="s">
        <v>309</v>
      </c>
      <c r="F344" t="s">
        <v>192</v>
      </c>
    </row>
    <row r="345" spans="1:6" x14ac:dyDescent="0.25">
      <c r="A345">
        <v>20181001</v>
      </c>
      <c r="B345" t="str">
        <f>"126152"</f>
        <v>126152</v>
      </c>
      <c r="C345" t="s">
        <v>308</v>
      </c>
      <c r="D345" s="3">
        <v>-75</v>
      </c>
      <c r="E345" t="s">
        <v>309</v>
      </c>
      <c r="F345" t="s">
        <v>192</v>
      </c>
    </row>
    <row r="346" spans="1:6" x14ac:dyDescent="0.25">
      <c r="A346">
        <v>20181001</v>
      </c>
      <c r="B346" t="str">
        <f>"126152"</f>
        <v>126152</v>
      </c>
      <c r="C346" t="s">
        <v>308</v>
      </c>
      <c r="D346" s="3">
        <v>594</v>
      </c>
      <c r="E346" t="s">
        <v>310</v>
      </c>
      <c r="F346" t="s">
        <v>192</v>
      </c>
    </row>
    <row r="347" spans="1:6" x14ac:dyDescent="0.25">
      <c r="A347">
        <v>20181001</v>
      </c>
      <c r="B347" t="str">
        <f>"126152"</f>
        <v>126152</v>
      </c>
      <c r="C347" t="s">
        <v>308</v>
      </c>
      <c r="D347" s="3">
        <v>384</v>
      </c>
      <c r="E347" t="s">
        <v>28</v>
      </c>
      <c r="F347" t="s">
        <v>192</v>
      </c>
    </row>
    <row r="348" spans="1:6" x14ac:dyDescent="0.25">
      <c r="A348">
        <v>20181001</v>
      </c>
      <c r="B348" t="str">
        <f>"126153"</f>
        <v>126153</v>
      </c>
      <c r="C348" t="s">
        <v>312</v>
      </c>
      <c r="D348" s="3">
        <v>212.82</v>
      </c>
      <c r="E348" t="s">
        <v>258</v>
      </c>
      <c r="F348" t="s">
        <v>215</v>
      </c>
    </row>
    <row r="349" spans="1:6" x14ac:dyDescent="0.25">
      <c r="A349">
        <v>20181001</v>
      </c>
      <c r="B349" t="str">
        <f>"126153"</f>
        <v>126153</v>
      </c>
      <c r="C349" t="s">
        <v>312</v>
      </c>
      <c r="D349" s="3">
        <v>214.48</v>
      </c>
      <c r="E349" t="s">
        <v>258</v>
      </c>
      <c r="F349" t="s">
        <v>215</v>
      </c>
    </row>
    <row r="350" spans="1:6" x14ac:dyDescent="0.25">
      <c r="A350">
        <v>20181001</v>
      </c>
      <c r="B350" t="str">
        <f>"126153"</f>
        <v>126153</v>
      </c>
      <c r="C350" t="s">
        <v>312</v>
      </c>
      <c r="D350" s="3">
        <v>140.30000000000001</v>
      </c>
      <c r="E350" t="s">
        <v>258</v>
      </c>
      <c r="F350" t="s">
        <v>215</v>
      </c>
    </row>
    <row r="351" spans="1:6" x14ac:dyDescent="0.25">
      <c r="A351">
        <v>20181001</v>
      </c>
      <c r="B351" t="str">
        <f>"126153"</f>
        <v>126153</v>
      </c>
      <c r="C351" t="s">
        <v>312</v>
      </c>
      <c r="D351" s="3">
        <v>254.61</v>
      </c>
      <c r="E351" t="s">
        <v>258</v>
      </c>
      <c r="F351" t="s">
        <v>215</v>
      </c>
    </row>
    <row r="352" spans="1:6" x14ac:dyDescent="0.25">
      <c r="A352">
        <v>20181001</v>
      </c>
      <c r="B352" t="str">
        <f>"126153"</f>
        <v>126153</v>
      </c>
      <c r="C352" t="s">
        <v>312</v>
      </c>
      <c r="D352" s="3">
        <v>373</v>
      </c>
      <c r="E352" t="s">
        <v>258</v>
      </c>
      <c r="F352" t="s">
        <v>215</v>
      </c>
    </row>
    <row r="353" spans="1:6" x14ac:dyDescent="0.25">
      <c r="A353">
        <v>20181001</v>
      </c>
      <c r="B353" t="str">
        <f>"126153"</f>
        <v>126153</v>
      </c>
      <c r="C353" t="s">
        <v>312</v>
      </c>
      <c r="D353" s="3">
        <v>373</v>
      </c>
      <c r="E353" t="s">
        <v>258</v>
      </c>
      <c r="F353" t="s">
        <v>215</v>
      </c>
    </row>
    <row r="354" spans="1:6" x14ac:dyDescent="0.25">
      <c r="A354">
        <v>20181001</v>
      </c>
      <c r="B354" t="str">
        <f>"126153"</f>
        <v>126153</v>
      </c>
      <c r="C354" t="s">
        <v>312</v>
      </c>
      <c r="D354" s="3">
        <v>394.84</v>
      </c>
      <c r="E354" t="s">
        <v>258</v>
      </c>
      <c r="F354" t="s">
        <v>215</v>
      </c>
    </row>
    <row r="355" spans="1:6" x14ac:dyDescent="0.25">
      <c r="A355">
        <v>20181001</v>
      </c>
      <c r="B355" t="str">
        <f>"126153"</f>
        <v>126153</v>
      </c>
      <c r="C355" t="s">
        <v>312</v>
      </c>
      <c r="D355" s="3">
        <v>196.3</v>
      </c>
      <c r="E355" t="s">
        <v>315</v>
      </c>
      <c r="F355" t="s">
        <v>215</v>
      </c>
    </row>
    <row r="356" spans="1:6" x14ac:dyDescent="0.25">
      <c r="A356">
        <v>20181001</v>
      </c>
      <c r="B356" t="str">
        <f>"126153"</f>
        <v>126153</v>
      </c>
      <c r="C356" t="s">
        <v>312</v>
      </c>
      <c r="D356" s="3">
        <v>322.36</v>
      </c>
      <c r="E356" t="s">
        <v>313</v>
      </c>
      <c r="F356" t="s">
        <v>215</v>
      </c>
    </row>
    <row r="357" spans="1:6" x14ac:dyDescent="0.25">
      <c r="A357">
        <v>20181001</v>
      </c>
      <c r="B357" t="str">
        <f>"126153"</f>
        <v>126153</v>
      </c>
      <c r="C357" t="s">
        <v>312</v>
      </c>
      <c r="D357" s="3">
        <v>135.29</v>
      </c>
      <c r="E357" t="s">
        <v>314</v>
      </c>
      <c r="F357" t="s">
        <v>215</v>
      </c>
    </row>
    <row r="358" spans="1:6" x14ac:dyDescent="0.25">
      <c r="A358">
        <v>20181001</v>
      </c>
      <c r="B358" t="str">
        <f>"126153"</f>
        <v>126153</v>
      </c>
      <c r="C358" t="s">
        <v>312</v>
      </c>
      <c r="D358" s="3">
        <v>124.69</v>
      </c>
      <c r="E358" t="s">
        <v>316</v>
      </c>
      <c r="F358" t="s">
        <v>215</v>
      </c>
    </row>
    <row r="359" spans="1:6" x14ac:dyDescent="0.25">
      <c r="A359">
        <v>20181001</v>
      </c>
      <c r="B359" t="str">
        <f>"126155"</f>
        <v>126155</v>
      </c>
      <c r="C359" t="s">
        <v>317</v>
      </c>
      <c r="D359" s="3">
        <v>-44.34</v>
      </c>
      <c r="E359" t="s">
        <v>220</v>
      </c>
      <c r="F359" t="s">
        <v>215</v>
      </c>
    </row>
    <row r="360" spans="1:6" x14ac:dyDescent="0.25">
      <c r="A360">
        <v>20181001</v>
      </c>
      <c r="B360" t="str">
        <f>"126155"</f>
        <v>126155</v>
      </c>
      <c r="C360" t="s">
        <v>317</v>
      </c>
      <c r="D360" s="3">
        <v>-23.62</v>
      </c>
      <c r="E360" t="s">
        <v>220</v>
      </c>
      <c r="F360" t="s">
        <v>215</v>
      </c>
    </row>
    <row r="361" spans="1:6" x14ac:dyDescent="0.25">
      <c r="A361">
        <v>20181001</v>
      </c>
      <c r="B361" t="str">
        <f>"126155"</f>
        <v>126155</v>
      </c>
      <c r="C361" t="s">
        <v>317</v>
      </c>
      <c r="D361" s="3">
        <v>-1354.98</v>
      </c>
      <c r="E361" t="s">
        <v>220</v>
      </c>
      <c r="F361" t="s">
        <v>215</v>
      </c>
    </row>
    <row r="362" spans="1:6" x14ac:dyDescent="0.25">
      <c r="A362">
        <v>20181001</v>
      </c>
      <c r="B362" t="str">
        <f>"126155"</f>
        <v>126155</v>
      </c>
      <c r="C362" t="s">
        <v>317</v>
      </c>
      <c r="D362" s="3">
        <v>-59.47</v>
      </c>
      <c r="E362" t="s">
        <v>220</v>
      </c>
      <c r="F362" t="s">
        <v>215</v>
      </c>
    </row>
    <row r="363" spans="1:6" x14ac:dyDescent="0.25">
      <c r="A363">
        <v>20181001</v>
      </c>
      <c r="B363" t="str">
        <f>"126155"</f>
        <v>126155</v>
      </c>
      <c r="C363" t="s">
        <v>317</v>
      </c>
      <c r="D363" s="3">
        <v>-12.67</v>
      </c>
      <c r="E363" t="s">
        <v>220</v>
      </c>
      <c r="F363" t="s">
        <v>215</v>
      </c>
    </row>
    <row r="364" spans="1:6" x14ac:dyDescent="0.25">
      <c r="A364">
        <v>20181001</v>
      </c>
      <c r="B364" t="str">
        <f>"126155"</f>
        <v>126155</v>
      </c>
      <c r="C364" t="s">
        <v>317</v>
      </c>
      <c r="D364" s="3">
        <v>3627.34</v>
      </c>
      <c r="E364" t="s">
        <v>228</v>
      </c>
      <c r="F364" t="s">
        <v>198</v>
      </c>
    </row>
    <row r="365" spans="1:6" x14ac:dyDescent="0.25">
      <c r="A365">
        <v>20181001</v>
      </c>
      <c r="B365" t="str">
        <f>"126155"</f>
        <v>126155</v>
      </c>
      <c r="C365" t="s">
        <v>317</v>
      </c>
      <c r="D365" s="3">
        <v>1417.37</v>
      </c>
      <c r="E365" t="s">
        <v>258</v>
      </c>
      <c r="F365" t="s">
        <v>215</v>
      </c>
    </row>
    <row r="366" spans="1:6" x14ac:dyDescent="0.25">
      <c r="A366">
        <v>20181001</v>
      </c>
      <c r="B366" t="str">
        <f>"126155"</f>
        <v>126155</v>
      </c>
      <c r="C366" t="s">
        <v>317</v>
      </c>
      <c r="D366" s="3">
        <v>525.63</v>
      </c>
      <c r="E366" t="s">
        <v>315</v>
      </c>
      <c r="F366" t="s">
        <v>215</v>
      </c>
    </row>
    <row r="367" spans="1:6" x14ac:dyDescent="0.25">
      <c r="A367">
        <v>20181001</v>
      </c>
      <c r="B367" t="str">
        <f>"126155"</f>
        <v>126155</v>
      </c>
      <c r="C367" t="s">
        <v>317</v>
      </c>
      <c r="D367" s="3">
        <v>1281.6199999999999</v>
      </c>
      <c r="E367" t="s">
        <v>258</v>
      </c>
      <c r="F367" t="s">
        <v>215</v>
      </c>
    </row>
    <row r="368" spans="1:6" x14ac:dyDescent="0.25">
      <c r="A368">
        <v>20181001</v>
      </c>
      <c r="B368" t="str">
        <f>"126155"</f>
        <v>126155</v>
      </c>
      <c r="C368" t="s">
        <v>317</v>
      </c>
      <c r="D368" s="3">
        <v>121.1</v>
      </c>
      <c r="E368" t="s">
        <v>258</v>
      </c>
      <c r="F368" t="s">
        <v>215</v>
      </c>
    </row>
    <row r="369" spans="1:6" x14ac:dyDescent="0.25">
      <c r="A369">
        <v>20181001</v>
      </c>
      <c r="B369" t="str">
        <f>"126155"</f>
        <v>126155</v>
      </c>
      <c r="C369" t="s">
        <v>317</v>
      </c>
      <c r="D369" s="3">
        <v>28.66</v>
      </c>
      <c r="E369" t="s">
        <v>315</v>
      </c>
      <c r="F369" t="s">
        <v>215</v>
      </c>
    </row>
    <row r="370" spans="1:6" x14ac:dyDescent="0.25">
      <c r="A370">
        <v>20181001</v>
      </c>
      <c r="B370" t="str">
        <f>"126155"</f>
        <v>126155</v>
      </c>
      <c r="C370" t="s">
        <v>317</v>
      </c>
      <c r="D370" s="3">
        <v>65.2</v>
      </c>
      <c r="E370" t="s">
        <v>258</v>
      </c>
      <c r="F370" t="s">
        <v>215</v>
      </c>
    </row>
    <row r="371" spans="1:6" x14ac:dyDescent="0.25">
      <c r="A371">
        <v>20181001</v>
      </c>
      <c r="B371" t="str">
        <f>"126155"</f>
        <v>126155</v>
      </c>
      <c r="C371" t="s">
        <v>317</v>
      </c>
      <c r="D371" s="3">
        <v>2217.33</v>
      </c>
      <c r="E371" t="s">
        <v>325</v>
      </c>
      <c r="F371" t="s">
        <v>215</v>
      </c>
    </row>
    <row r="372" spans="1:6" x14ac:dyDescent="0.25">
      <c r="A372">
        <v>20181001</v>
      </c>
      <c r="B372" t="str">
        <f>"126155"</f>
        <v>126155</v>
      </c>
      <c r="C372" t="s">
        <v>317</v>
      </c>
      <c r="D372" s="3">
        <v>228.62</v>
      </c>
      <c r="E372" t="s">
        <v>325</v>
      </c>
      <c r="F372" t="s">
        <v>215</v>
      </c>
    </row>
    <row r="373" spans="1:6" x14ac:dyDescent="0.25">
      <c r="A373">
        <v>20181001</v>
      </c>
      <c r="B373" t="str">
        <f>"126155"</f>
        <v>126155</v>
      </c>
      <c r="C373" t="s">
        <v>317</v>
      </c>
      <c r="D373" s="3">
        <v>1641.96</v>
      </c>
      <c r="E373" t="s">
        <v>326</v>
      </c>
      <c r="F373" t="s">
        <v>215</v>
      </c>
    </row>
    <row r="374" spans="1:6" x14ac:dyDescent="0.25">
      <c r="A374">
        <v>20181001</v>
      </c>
      <c r="B374" t="str">
        <f>"126155"</f>
        <v>126155</v>
      </c>
      <c r="C374" t="s">
        <v>317</v>
      </c>
      <c r="D374" s="3">
        <v>82.34</v>
      </c>
      <c r="E374" t="s">
        <v>326</v>
      </c>
      <c r="F374" t="s">
        <v>215</v>
      </c>
    </row>
    <row r="375" spans="1:6" x14ac:dyDescent="0.25">
      <c r="A375">
        <v>20181001</v>
      </c>
      <c r="B375" t="str">
        <f>"126155"</f>
        <v>126155</v>
      </c>
      <c r="C375" t="s">
        <v>317</v>
      </c>
      <c r="D375" s="3">
        <v>1262.53</v>
      </c>
      <c r="E375" t="s">
        <v>324</v>
      </c>
      <c r="F375" t="s">
        <v>215</v>
      </c>
    </row>
    <row r="376" spans="1:6" x14ac:dyDescent="0.25">
      <c r="A376">
        <v>20181001</v>
      </c>
      <c r="B376" t="str">
        <f>"126155"</f>
        <v>126155</v>
      </c>
      <c r="C376" t="s">
        <v>317</v>
      </c>
      <c r="D376" s="3">
        <v>158.09</v>
      </c>
      <c r="E376" t="s">
        <v>324</v>
      </c>
      <c r="F376" t="s">
        <v>215</v>
      </c>
    </row>
    <row r="377" spans="1:6" x14ac:dyDescent="0.25">
      <c r="A377">
        <v>20181001</v>
      </c>
      <c r="B377" t="str">
        <f>"126155"</f>
        <v>126155</v>
      </c>
      <c r="C377" t="s">
        <v>317</v>
      </c>
      <c r="D377" s="3">
        <v>3124.94</v>
      </c>
      <c r="E377" t="s">
        <v>322</v>
      </c>
      <c r="F377" t="s">
        <v>215</v>
      </c>
    </row>
    <row r="378" spans="1:6" x14ac:dyDescent="0.25">
      <c r="A378">
        <v>20181001</v>
      </c>
      <c r="B378" t="str">
        <f>"126155"</f>
        <v>126155</v>
      </c>
      <c r="C378" t="s">
        <v>317</v>
      </c>
      <c r="D378" s="3">
        <v>3237.4</v>
      </c>
      <c r="E378" t="s">
        <v>322</v>
      </c>
      <c r="F378" t="s">
        <v>215</v>
      </c>
    </row>
    <row r="379" spans="1:6" x14ac:dyDescent="0.25">
      <c r="A379">
        <v>20181001</v>
      </c>
      <c r="B379" t="str">
        <f>"126155"</f>
        <v>126155</v>
      </c>
      <c r="C379" t="s">
        <v>317</v>
      </c>
      <c r="D379" s="3">
        <v>6.51</v>
      </c>
      <c r="E379" t="s">
        <v>322</v>
      </c>
      <c r="F379" t="s">
        <v>215</v>
      </c>
    </row>
    <row r="380" spans="1:6" x14ac:dyDescent="0.25">
      <c r="A380">
        <v>20181001</v>
      </c>
      <c r="B380" t="str">
        <f>"126155"</f>
        <v>126155</v>
      </c>
      <c r="C380" t="s">
        <v>317</v>
      </c>
      <c r="D380" s="3">
        <v>1668.44</v>
      </c>
      <c r="E380" t="s">
        <v>322</v>
      </c>
      <c r="F380" t="s">
        <v>215</v>
      </c>
    </row>
    <row r="381" spans="1:6" x14ac:dyDescent="0.25">
      <c r="A381">
        <v>20181001</v>
      </c>
      <c r="B381" t="str">
        <f>"126155"</f>
        <v>126155</v>
      </c>
      <c r="C381" t="s">
        <v>317</v>
      </c>
      <c r="D381" s="3">
        <v>86.1</v>
      </c>
      <c r="E381" t="s">
        <v>322</v>
      </c>
      <c r="F381" t="s">
        <v>215</v>
      </c>
    </row>
    <row r="382" spans="1:6" x14ac:dyDescent="0.25">
      <c r="A382">
        <v>20181001</v>
      </c>
      <c r="B382" t="str">
        <f>"126155"</f>
        <v>126155</v>
      </c>
      <c r="C382" t="s">
        <v>317</v>
      </c>
      <c r="D382" s="3">
        <v>183.93</v>
      </c>
      <c r="E382" t="s">
        <v>322</v>
      </c>
      <c r="F382" t="s">
        <v>215</v>
      </c>
    </row>
    <row r="383" spans="1:6" x14ac:dyDescent="0.25">
      <c r="A383">
        <v>20181001</v>
      </c>
      <c r="B383" t="str">
        <f>"126155"</f>
        <v>126155</v>
      </c>
      <c r="C383" t="s">
        <v>317</v>
      </c>
      <c r="D383" s="3">
        <v>156.82</v>
      </c>
      <c r="E383" t="s">
        <v>322</v>
      </c>
      <c r="F383" t="s">
        <v>215</v>
      </c>
    </row>
    <row r="384" spans="1:6" x14ac:dyDescent="0.25">
      <c r="A384">
        <v>20181001</v>
      </c>
      <c r="B384" t="str">
        <f>"126155"</f>
        <v>126155</v>
      </c>
      <c r="C384" t="s">
        <v>317</v>
      </c>
      <c r="D384" s="3">
        <v>14.69</v>
      </c>
      <c r="E384" t="s">
        <v>323</v>
      </c>
      <c r="F384" t="s">
        <v>215</v>
      </c>
    </row>
    <row r="385" spans="1:6" x14ac:dyDescent="0.25">
      <c r="A385">
        <v>20181001</v>
      </c>
      <c r="B385" t="str">
        <f>"126155"</f>
        <v>126155</v>
      </c>
      <c r="C385" t="s">
        <v>317</v>
      </c>
      <c r="D385" s="3">
        <v>3914.76</v>
      </c>
      <c r="E385" t="s">
        <v>323</v>
      </c>
      <c r="F385" t="s">
        <v>215</v>
      </c>
    </row>
    <row r="386" spans="1:6" x14ac:dyDescent="0.25">
      <c r="A386">
        <v>20181001</v>
      </c>
      <c r="B386" t="str">
        <f>"126155"</f>
        <v>126155</v>
      </c>
      <c r="C386" t="s">
        <v>317</v>
      </c>
      <c r="D386" s="3">
        <v>2255.36</v>
      </c>
      <c r="E386" t="s">
        <v>323</v>
      </c>
      <c r="F386" t="s">
        <v>215</v>
      </c>
    </row>
    <row r="387" spans="1:6" x14ac:dyDescent="0.25">
      <c r="A387">
        <v>20181001</v>
      </c>
      <c r="B387" t="str">
        <f>"126155"</f>
        <v>126155</v>
      </c>
      <c r="C387" t="s">
        <v>317</v>
      </c>
      <c r="D387" s="3">
        <v>1756.28</v>
      </c>
      <c r="E387" t="s">
        <v>323</v>
      </c>
      <c r="F387" t="s">
        <v>215</v>
      </c>
    </row>
    <row r="388" spans="1:6" x14ac:dyDescent="0.25">
      <c r="A388">
        <v>20181001</v>
      </c>
      <c r="B388" t="str">
        <f>"126155"</f>
        <v>126155</v>
      </c>
      <c r="C388" t="s">
        <v>317</v>
      </c>
      <c r="D388" s="3">
        <v>769.95</v>
      </c>
      <c r="E388" t="s">
        <v>323</v>
      </c>
      <c r="F388" t="s">
        <v>215</v>
      </c>
    </row>
    <row r="389" spans="1:6" x14ac:dyDescent="0.25">
      <c r="A389">
        <v>20181001</v>
      </c>
      <c r="B389" t="str">
        <f>"126155"</f>
        <v>126155</v>
      </c>
      <c r="C389" t="s">
        <v>317</v>
      </c>
      <c r="D389" s="3">
        <v>634.26</v>
      </c>
      <c r="E389" t="s">
        <v>323</v>
      </c>
      <c r="F389" t="s">
        <v>215</v>
      </c>
    </row>
    <row r="390" spans="1:6" x14ac:dyDescent="0.25">
      <c r="A390">
        <v>20181001</v>
      </c>
      <c r="B390" t="str">
        <f>"126155"</f>
        <v>126155</v>
      </c>
      <c r="C390" t="s">
        <v>317</v>
      </c>
      <c r="D390" s="3">
        <v>45.21</v>
      </c>
      <c r="E390" t="s">
        <v>323</v>
      </c>
      <c r="F390" t="s">
        <v>215</v>
      </c>
    </row>
    <row r="391" spans="1:6" x14ac:dyDescent="0.25">
      <c r="A391">
        <v>20181001</v>
      </c>
      <c r="B391" t="str">
        <f>"126155"</f>
        <v>126155</v>
      </c>
      <c r="C391" t="s">
        <v>317</v>
      </c>
      <c r="D391" s="3">
        <v>201.75</v>
      </c>
      <c r="E391" t="s">
        <v>323</v>
      </c>
      <c r="F391" t="s">
        <v>215</v>
      </c>
    </row>
    <row r="392" spans="1:6" x14ac:dyDescent="0.25">
      <c r="A392">
        <v>20181001</v>
      </c>
      <c r="B392" t="str">
        <f>"126155"</f>
        <v>126155</v>
      </c>
      <c r="C392" t="s">
        <v>317</v>
      </c>
      <c r="D392" s="3">
        <v>38.43</v>
      </c>
      <c r="E392" t="s">
        <v>323</v>
      </c>
      <c r="F392" t="s">
        <v>215</v>
      </c>
    </row>
    <row r="393" spans="1:6" x14ac:dyDescent="0.25">
      <c r="A393">
        <v>20181001</v>
      </c>
      <c r="B393" t="str">
        <f>"126155"</f>
        <v>126155</v>
      </c>
      <c r="C393" t="s">
        <v>317</v>
      </c>
      <c r="D393" s="3">
        <v>214.42</v>
      </c>
      <c r="E393" t="s">
        <v>323</v>
      </c>
      <c r="F393" t="s">
        <v>215</v>
      </c>
    </row>
    <row r="394" spans="1:6" x14ac:dyDescent="0.25">
      <c r="A394">
        <v>20181001</v>
      </c>
      <c r="B394" t="str">
        <f>"126155"</f>
        <v>126155</v>
      </c>
      <c r="C394" t="s">
        <v>317</v>
      </c>
      <c r="D394" s="3">
        <v>547.77</v>
      </c>
      <c r="E394" t="s">
        <v>323</v>
      </c>
      <c r="F394" t="s">
        <v>215</v>
      </c>
    </row>
    <row r="395" spans="1:6" x14ac:dyDescent="0.25">
      <c r="A395">
        <v>20181001</v>
      </c>
      <c r="B395" t="str">
        <f>"126155"</f>
        <v>126155</v>
      </c>
      <c r="C395" t="s">
        <v>317</v>
      </c>
      <c r="D395" s="3">
        <v>105.29</v>
      </c>
      <c r="E395" t="s">
        <v>323</v>
      </c>
      <c r="F395" t="s">
        <v>215</v>
      </c>
    </row>
    <row r="396" spans="1:6" x14ac:dyDescent="0.25">
      <c r="A396">
        <v>20181001</v>
      </c>
      <c r="B396" t="str">
        <f>"126155"</f>
        <v>126155</v>
      </c>
      <c r="C396" t="s">
        <v>317</v>
      </c>
      <c r="D396" s="3">
        <v>1052.3800000000001</v>
      </c>
      <c r="E396" t="s">
        <v>318</v>
      </c>
      <c r="F396" t="s">
        <v>215</v>
      </c>
    </row>
    <row r="397" spans="1:6" x14ac:dyDescent="0.25">
      <c r="A397">
        <v>20181001</v>
      </c>
      <c r="B397" t="str">
        <f>"126155"</f>
        <v>126155</v>
      </c>
      <c r="C397" t="s">
        <v>317</v>
      </c>
      <c r="D397" s="3">
        <v>177.89</v>
      </c>
      <c r="E397" t="s">
        <v>318</v>
      </c>
      <c r="F397" t="s">
        <v>215</v>
      </c>
    </row>
    <row r="398" spans="1:6" x14ac:dyDescent="0.25">
      <c r="A398">
        <v>20181001</v>
      </c>
      <c r="B398" t="str">
        <f>"126155"</f>
        <v>126155</v>
      </c>
      <c r="C398" t="s">
        <v>317</v>
      </c>
      <c r="D398" s="3">
        <v>81.819999999999993</v>
      </c>
      <c r="E398" t="s">
        <v>319</v>
      </c>
      <c r="F398" t="s">
        <v>215</v>
      </c>
    </row>
    <row r="399" spans="1:6" x14ac:dyDescent="0.25">
      <c r="A399">
        <v>20181001</v>
      </c>
      <c r="B399" t="str">
        <f>"126155"</f>
        <v>126155</v>
      </c>
      <c r="C399" t="s">
        <v>317</v>
      </c>
      <c r="D399" s="3">
        <v>1451.36</v>
      </c>
      <c r="E399" t="s">
        <v>319</v>
      </c>
      <c r="F399" t="s">
        <v>215</v>
      </c>
    </row>
    <row r="400" spans="1:6" x14ac:dyDescent="0.25">
      <c r="A400">
        <v>20181001</v>
      </c>
      <c r="B400" t="str">
        <f>"126155"</f>
        <v>126155</v>
      </c>
      <c r="C400" t="s">
        <v>317</v>
      </c>
      <c r="D400" s="3">
        <v>1520.91</v>
      </c>
      <c r="E400" t="s">
        <v>321</v>
      </c>
      <c r="F400" t="s">
        <v>215</v>
      </c>
    </row>
    <row r="401" spans="1:6" x14ac:dyDescent="0.25">
      <c r="A401">
        <v>20181001</v>
      </c>
      <c r="B401" t="str">
        <f>"126155"</f>
        <v>126155</v>
      </c>
      <c r="C401" t="s">
        <v>317</v>
      </c>
      <c r="D401" s="3">
        <v>290.13</v>
      </c>
      <c r="E401" t="s">
        <v>321</v>
      </c>
      <c r="F401" t="s">
        <v>215</v>
      </c>
    </row>
    <row r="402" spans="1:6" x14ac:dyDescent="0.25">
      <c r="A402">
        <v>20181001</v>
      </c>
      <c r="B402" t="str">
        <f>"126155"</f>
        <v>126155</v>
      </c>
      <c r="C402" t="s">
        <v>317</v>
      </c>
      <c r="D402" s="3">
        <v>3310.42</v>
      </c>
      <c r="E402" t="s">
        <v>320</v>
      </c>
      <c r="F402" t="s">
        <v>215</v>
      </c>
    </row>
    <row r="403" spans="1:6" x14ac:dyDescent="0.25">
      <c r="A403">
        <v>20181001</v>
      </c>
      <c r="B403" t="str">
        <f>"126155"</f>
        <v>126155</v>
      </c>
      <c r="C403" t="s">
        <v>317</v>
      </c>
      <c r="D403" s="3">
        <v>204.91</v>
      </c>
      <c r="E403" t="s">
        <v>320</v>
      </c>
      <c r="F403" t="s">
        <v>215</v>
      </c>
    </row>
    <row r="404" spans="1:6" x14ac:dyDescent="0.25">
      <c r="A404">
        <v>20181001</v>
      </c>
      <c r="B404" t="str">
        <f>"126155"</f>
        <v>126155</v>
      </c>
      <c r="C404" t="s">
        <v>317</v>
      </c>
      <c r="D404" s="3">
        <v>309.47000000000003</v>
      </c>
      <c r="E404" t="s">
        <v>320</v>
      </c>
      <c r="F404" t="s">
        <v>215</v>
      </c>
    </row>
    <row r="405" spans="1:6" x14ac:dyDescent="0.25">
      <c r="A405">
        <v>20181001</v>
      </c>
      <c r="B405" t="str">
        <f>"126156"</f>
        <v>126156</v>
      </c>
      <c r="C405" t="s">
        <v>327</v>
      </c>
      <c r="D405" s="3">
        <v>705.5</v>
      </c>
      <c r="E405" t="s">
        <v>328</v>
      </c>
      <c r="F405" t="s">
        <v>192</v>
      </c>
    </row>
    <row r="406" spans="1:6" x14ac:dyDescent="0.25">
      <c r="A406">
        <v>20181001</v>
      </c>
      <c r="B406" t="str">
        <f>"126157"</f>
        <v>126157</v>
      </c>
      <c r="C406" t="s">
        <v>329</v>
      </c>
      <c r="D406" s="3">
        <v>27.44</v>
      </c>
      <c r="E406" t="s">
        <v>334</v>
      </c>
      <c r="F406" t="s">
        <v>192</v>
      </c>
    </row>
    <row r="407" spans="1:6" x14ac:dyDescent="0.25">
      <c r="A407">
        <v>20181001</v>
      </c>
      <c r="B407" t="str">
        <f>"126157"</f>
        <v>126157</v>
      </c>
      <c r="C407" t="s">
        <v>329</v>
      </c>
      <c r="D407" s="3">
        <v>1128</v>
      </c>
      <c r="E407" t="s">
        <v>334</v>
      </c>
      <c r="F407" t="s">
        <v>192</v>
      </c>
    </row>
    <row r="408" spans="1:6" x14ac:dyDescent="0.25">
      <c r="A408">
        <v>20181001</v>
      </c>
      <c r="B408" t="str">
        <f>"126157"</f>
        <v>126157</v>
      </c>
      <c r="C408" t="s">
        <v>329</v>
      </c>
      <c r="D408" s="3">
        <v>1030.96</v>
      </c>
      <c r="E408" t="s">
        <v>333</v>
      </c>
      <c r="F408" t="s">
        <v>192</v>
      </c>
    </row>
    <row r="409" spans="1:6" x14ac:dyDescent="0.25">
      <c r="A409">
        <v>20181001</v>
      </c>
      <c r="B409" t="str">
        <f>"126157"</f>
        <v>126157</v>
      </c>
      <c r="C409" t="s">
        <v>329</v>
      </c>
      <c r="D409" s="3">
        <v>573.28</v>
      </c>
      <c r="E409" t="s">
        <v>331</v>
      </c>
      <c r="F409" t="s">
        <v>192</v>
      </c>
    </row>
    <row r="410" spans="1:6" x14ac:dyDescent="0.25">
      <c r="A410">
        <v>20181001</v>
      </c>
      <c r="B410" t="str">
        <f>"126157"</f>
        <v>126157</v>
      </c>
      <c r="C410" t="s">
        <v>329</v>
      </c>
      <c r="D410" s="3">
        <v>538</v>
      </c>
      <c r="E410" t="s">
        <v>330</v>
      </c>
      <c r="F410" t="s">
        <v>192</v>
      </c>
    </row>
    <row r="411" spans="1:6" x14ac:dyDescent="0.25">
      <c r="A411">
        <v>20181001</v>
      </c>
      <c r="B411" t="str">
        <f>"126157"</f>
        <v>126157</v>
      </c>
      <c r="C411" t="s">
        <v>329</v>
      </c>
      <c r="D411" s="3">
        <v>266</v>
      </c>
      <c r="E411" t="s">
        <v>332</v>
      </c>
      <c r="F411" t="s">
        <v>192</v>
      </c>
    </row>
    <row r="412" spans="1:6" x14ac:dyDescent="0.25">
      <c r="A412">
        <v>20181001</v>
      </c>
      <c r="B412" t="str">
        <f>"126158"</f>
        <v>126158</v>
      </c>
      <c r="C412" t="s">
        <v>89</v>
      </c>
      <c r="D412" s="3">
        <v>355</v>
      </c>
      <c r="E412" t="s">
        <v>335</v>
      </c>
      <c r="F412" t="s">
        <v>198</v>
      </c>
    </row>
    <row r="413" spans="1:6" x14ac:dyDescent="0.25">
      <c r="A413">
        <v>20181001</v>
      </c>
      <c r="B413" t="str">
        <f>"126159"</f>
        <v>126159</v>
      </c>
      <c r="C413" t="s">
        <v>336</v>
      </c>
      <c r="D413" s="3">
        <v>200</v>
      </c>
      <c r="E413" t="s">
        <v>337</v>
      </c>
      <c r="F413" t="s">
        <v>192</v>
      </c>
    </row>
    <row r="414" spans="1:6" x14ac:dyDescent="0.25">
      <c r="A414">
        <v>20181001</v>
      </c>
      <c r="B414" t="str">
        <f>"126160"</f>
        <v>126160</v>
      </c>
      <c r="C414" t="s">
        <v>338</v>
      </c>
      <c r="D414" s="3">
        <v>90.9</v>
      </c>
      <c r="E414" t="s">
        <v>28</v>
      </c>
      <c r="F414" t="s">
        <v>192</v>
      </c>
    </row>
    <row r="415" spans="1:6" x14ac:dyDescent="0.25">
      <c r="A415">
        <v>20181001</v>
      </c>
      <c r="B415" t="str">
        <f>"126161"</f>
        <v>126161</v>
      </c>
      <c r="C415" t="s">
        <v>13</v>
      </c>
      <c r="D415" s="3">
        <v>970.52</v>
      </c>
      <c r="E415" t="s">
        <v>339</v>
      </c>
      <c r="F415" t="s">
        <v>192</v>
      </c>
    </row>
    <row r="416" spans="1:6" x14ac:dyDescent="0.25">
      <c r="A416">
        <v>20181001</v>
      </c>
      <c r="B416" t="str">
        <f>"126162"</f>
        <v>126162</v>
      </c>
      <c r="C416" t="s">
        <v>340</v>
      </c>
      <c r="D416" s="3">
        <v>79.989999999999995</v>
      </c>
      <c r="E416" t="s">
        <v>114</v>
      </c>
      <c r="F416" t="s">
        <v>192</v>
      </c>
    </row>
    <row r="417" spans="1:6" x14ac:dyDescent="0.25">
      <c r="A417">
        <v>20181001</v>
      </c>
      <c r="B417" t="str">
        <f>"126163"</f>
        <v>126163</v>
      </c>
      <c r="C417" t="s">
        <v>341</v>
      </c>
      <c r="D417" s="3">
        <v>40.700000000000003</v>
      </c>
      <c r="E417" t="s">
        <v>342</v>
      </c>
      <c r="F417" t="s">
        <v>215</v>
      </c>
    </row>
    <row r="418" spans="1:6" x14ac:dyDescent="0.25">
      <c r="A418">
        <v>20181001</v>
      </c>
      <c r="B418" t="str">
        <f>"126164"</f>
        <v>126164</v>
      </c>
      <c r="C418" t="s">
        <v>343</v>
      </c>
      <c r="D418" s="3">
        <v>700</v>
      </c>
      <c r="E418" t="s">
        <v>344</v>
      </c>
      <c r="F418" t="s">
        <v>192</v>
      </c>
    </row>
    <row r="419" spans="1:6" x14ac:dyDescent="0.25">
      <c r="A419">
        <v>20181001</v>
      </c>
      <c r="B419" t="str">
        <f>"126165"</f>
        <v>126165</v>
      </c>
      <c r="C419" t="s">
        <v>345</v>
      </c>
      <c r="D419" s="3">
        <v>471.41</v>
      </c>
      <c r="E419" t="s">
        <v>346</v>
      </c>
      <c r="F419" t="s">
        <v>192</v>
      </c>
    </row>
    <row r="420" spans="1:6" x14ac:dyDescent="0.25">
      <c r="A420">
        <v>20181001</v>
      </c>
      <c r="B420" t="str">
        <f>"126165"</f>
        <v>126165</v>
      </c>
      <c r="C420" t="s">
        <v>345</v>
      </c>
      <c r="D420" s="3">
        <v>382.23</v>
      </c>
      <c r="E420" t="s">
        <v>75</v>
      </c>
      <c r="F420" t="s">
        <v>192</v>
      </c>
    </row>
    <row r="421" spans="1:6" x14ac:dyDescent="0.25">
      <c r="A421">
        <v>20181001</v>
      </c>
      <c r="B421" t="str">
        <f>"126165"</f>
        <v>126165</v>
      </c>
      <c r="C421" t="s">
        <v>345</v>
      </c>
      <c r="D421" s="3">
        <v>164.95</v>
      </c>
      <c r="E421" t="s">
        <v>28</v>
      </c>
      <c r="F421" t="s">
        <v>192</v>
      </c>
    </row>
    <row r="422" spans="1:6" x14ac:dyDescent="0.25">
      <c r="A422">
        <v>20181001</v>
      </c>
      <c r="B422" t="str">
        <f>"126166"</f>
        <v>126166</v>
      </c>
      <c r="C422" t="s">
        <v>347</v>
      </c>
      <c r="D422" s="3">
        <v>560</v>
      </c>
      <c r="E422" t="s">
        <v>28</v>
      </c>
      <c r="F422" t="s">
        <v>195</v>
      </c>
    </row>
    <row r="423" spans="1:6" x14ac:dyDescent="0.25">
      <c r="A423">
        <v>20181001</v>
      </c>
      <c r="B423" t="str">
        <f>"126167"</f>
        <v>126167</v>
      </c>
      <c r="C423" t="s">
        <v>348</v>
      </c>
      <c r="D423" s="3">
        <v>84.99</v>
      </c>
      <c r="E423" t="s">
        <v>349</v>
      </c>
      <c r="F423" t="s">
        <v>192</v>
      </c>
    </row>
    <row r="424" spans="1:6" x14ac:dyDescent="0.25">
      <c r="A424">
        <v>20181001</v>
      </c>
      <c r="B424" t="str">
        <f>"126168"</f>
        <v>126168</v>
      </c>
      <c r="C424" t="s">
        <v>350</v>
      </c>
      <c r="D424" s="3">
        <v>-212.53</v>
      </c>
      <c r="E424" t="s">
        <v>352</v>
      </c>
      <c r="F424" t="s">
        <v>192</v>
      </c>
    </row>
    <row r="425" spans="1:6" x14ac:dyDescent="0.25">
      <c r="A425">
        <v>20181001</v>
      </c>
      <c r="B425" t="str">
        <f>"126168"</f>
        <v>126168</v>
      </c>
      <c r="C425" t="s">
        <v>350</v>
      </c>
      <c r="D425" s="3">
        <v>422.78</v>
      </c>
      <c r="E425" t="s">
        <v>351</v>
      </c>
      <c r="F425" t="s">
        <v>192</v>
      </c>
    </row>
    <row r="426" spans="1:6" x14ac:dyDescent="0.25">
      <c r="A426">
        <v>20181001</v>
      </c>
      <c r="B426" t="str">
        <f>"126168"</f>
        <v>126168</v>
      </c>
      <c r="C426" t="s">
        <v>350</v>
      </c>
      <c r="D426" s="3">
        <v>106.19</v>
      </c>
      <c r="E426" t="s">
        <v>351</v>
      </c>
      <c r="F426" t="s">
        <v>192</v>
      </c>
    </row>
    <row r="427" spans="1:6" x14ac:dyDescent="0.25">
      <c r="A427">
        <v>20181001</v>
      </c>
      <c r="B427" t="str">
        <f>"126168"</f>
        <v>126168</v>
      </c>
      <c r="C427" t="s">
        <v>350</v>
      </c>
      <c r="D427" s="3">
        <v>620.5</v>
      </c>
      <c r="E427" t="s">
        <v>351</v>
      </c>
      <c r="F427" t="s">
        <v>192</v>
      </c>
    </row>
    <row r="428" spans="1:6" x14ac:dyDescent="0.25">
      <c r="A428">
        <v>20181001</v>
      </c>
      <c r="B428" t="str">
        <f>"126168"</f>
        <v>126168</v>
      </c>
      <c r="C428" t="s">
        <v>350</v>
      </c>
      <c r="D428" s="3">
        <v>103.62</v>
      </c>
      <c r="E428" t="s">
        <v>351</v>
      </c>
      <c r="F428" t="s">
        <v>192</v>
      </c>
    </row>
    <row r="429" spans="1:6" x14ac:dyDescent="0.25">
      <c r="A429">
        <v>20181001</v>
      </c>
      <c r="B429" t="str">
        <f>"126168"</f>
        <v>126168</v>
      </c>
      <c r="C429" t="s">
        <v>350</v>
      </c>
      <c r="D429" s="3">
        <v>236.7</v>
      </c>
      <c r="E429" t="s">
        <v>351</v>
      </c>
      <c r="F429" t="s">
        <v>192</v>
      </c>
    </row>
    <row r="430" spans="1:6" x14ac:dyDescent="0.25">
      <c r="A430">
        <v>20181001</v>
      </c>
      <c r="B430" t="str">
        <f>"126168"</f>
        <v>126168</v>
      </c>
      <c r="C430" t="s">
        <v>350</v>
      </c>
      <c r="D430" s="3">
        <v>471.6</v>
      </c>
      <c r="E430" t="s">
        <v>351</v>
      </c>
      <c r="F430" t="s">
        <v>192</v>
      </c>
    </row>
    <row r="431" spans="1:6" x14ac:dyDescent="0.25">
      <c r="A431">
        <v>20181001</v>
      </c>
      <c r="B431" t="str">
        <f>"126170"</f>
        <v>126170</v>
      </c>
      <c r="C431" t="s">
        <v>353</v>
      </c>
      <c r="D431" s="3">
        <v>146.79</v>
      </c>
      <c r="E431" t="s">
        <v>355</v>
      </c>
      <c r="F431" t="s">
        <v>192</v>
      </c>
    </row>
    <row r="432" spans="1:6" x14ac:dyDescent="0.25">
      <c r="A432">
        <v>20181001</v>
      </c>
      <c r="B432" t="str">
        <f>"126170"</f>
        <v>126170</v>
      </c>
      <c r="C432" t="s">
        <v>353</v>
      </c>
      <c r="D432" s="3">
        <v>58.58</v>
      </c>
      <c r="E432" t="s">
        <v>355</v>
      </c>
      <c r="F432" t="s">
        <v>192</v>
      </c>
    </row>
    <row r="433" spans="1:6" x14ac:dyDescent="0.25">
      <c r="A433">
        <v>20181001</v>
      </c>
      <c r="B433" t="str">
        <f>"126170"</f>
        <v>126170</v>
      </c>
      <c r="C433" t="s">
        <v>353</v>
      </c>
      <c r="D433" s="3">
        <v>330</v>
      </c>
      <c r="E433" t="s">
        <v>354</v>
      </c>
      <c r="F433" t="s">
        <v>192</v>
      </c>
    </row>
    <row r="434" spans="1:6" x14ac:dyDescent="0.25">
      <c r="A434">
        <v>20181001</v>
      </c>
      <c r="B434" t="str">
        <f>"126170"</f>
        <v>126170</v>
      </c>
      <c r="C434" t="s">
        <v>353</v>
      </c>
      <c r="D434" s="3">
        <v>1394.19</v>
      </c>
      <c r="E434" t="s">
        <v>356</v>
      </c>
      <c r="F434" t="s">
        <v>192</v>
      </c>
    </row>
    <row r="435" spans="1:6" x14ac:dyDescent="0.25">
      <c r="A435">
        <v>20181001</v>
      </c>
      <c r="B435" t="str">
        <f>"126171"</f>
        <v>126171</v>
      </c>
      <c r="C435" t="s">
        <v>357</v>
      </c>
      <c r="D435" s="3">
        <v>12694.99</v>
      </c>
      <c r="E435" t="s">
        <v>263</v>
      </c>
      <c r="F435" t="s">
        <v>192</v>
      </c>
    </row>
    <row r="436" spans="1:6" x14ac:dyDescent="0.25">
      <c r="A436">
        <v>20181001</v>
      </c>
      <c r="B436" t="str">
        <f>"126172"</f>
        <v>126172</v>
      </c>
      <c r="C436" t="s">
        <v>358</v>
      </c>
      <c r="D436" s="3">
        <v>125</v>
      </c>
      <c r="E436" t="s">
        <v>116</v>
      </c>
      <c r="F436" t="s">
        <v>192</v>
      </c>
    </row>
    <row r="437" spans="1:6" x14ac:dyDescent="0.25">
      <c r="A437">
        <v>20181001</v>
      </c>
      <c r="B437" t="str">
        <f>"126173"</f>
        <v>126173</v>
      </c>
      <c r="C437" t="s">
        <v>359</v>
      </c>
      <c r="D437" s="3">
        <v>4.28</v>
      </c>
      <c r="E437" t="s">
        <v>360</v>
      </c>
      <c r="F437" t="s">
        <v>192</v>
      </c>
    </row>
    <row r="438" spans="1:6" x14ac:dyDescent="0.25">
      <c r="A438">
        <v>20181001</v>
      </c>
      <c r="B438" t="str">
        <f>"126173"</f>
        <v>126173</v>
      </c>
      <c r="C438" t="s">
        <v>359</v>
      </c>
      <c r="D438" s="3">
        <v>5.93</v>
      </c>
      <c r="E438" t="s">
        <v>360</v>
      </c>
      <c r="F438" t="s">
        <v>192</v>
      </c>
    </row>
    <row r="439" spans="1:6" x14ac:dyDescent="0.25">
      <c r="A439">
        <v>20181001</v>
      </c>
      <c r="B439" t="str">
        <f>"126173"</f>
        <v>126173</v>
      </c>
      <c r="C439" t="s">
        <v>359</v>
      </c>
      <c r="D439" s="3">
        <v>4.28</v>
      </c>
      <c r="E439" t="s">
        <v>360</v>
      </c>
      <c r="F439" t="s">
        <v>192</v>
      </c>
    </row>
    <row r="440" spans="1:6" x14ac:dyDescent="0.25">
      <c r="A440">
        <v>20181001</v>
      </c>
      <c r="B440" t="str">
        <f>"126173"</f>
        <v>126173</v>
      </c>
      <c r="C440" t="s">
        <v>359</v>
      </c>
      <c r="D440" s="3">
        <v>3.68</v>
      </c>
      <c r="E440" t="s">
        <v>360</v>
      </c>
      <c r="F440" t="s">
        <v>192</v>
      </c>
    </row>
    <row r="441" spans="1:6" x14ac:dyDescent="0.25">
      <c r="A441">
        <v>20181001</v>
      </c>
      <c r="B441" t="str">
        <f>"126173"</f>
        <v>126173</v>
      </c>
      <c r="C441" t="s">
        <v>359</v>
      </c>
      <c r="D441" s="3">
        <v>3.68</v>
      </c>
      <c r="E441" t="s">
        <v>360</v>
      </c>
      <c r="F441" t="s">
        <v>192</v>
      </c>
    </row>
    <row r="442" spans="1:6" x14ac:dyDescent="0.25">
      <c r="A442">
        <v>20181001</v>
      </c>
      <c r="B442" t="str">
        <f>"126173"</f>
        <v>126173</v>
      </c>
      <c r="C442" t="s">
        <v>359</v>
      </c>
      <c r="D442" s="3">
        <v>84.65</v>
      </c>
      <c r="E442" t="s">
        <v>361</v>
      </c>
      <c r="F442" t="s">
        <v>192</v>
      </c>
    </row>
    <row r="443" spans="1:6" x14ac:dyDescent="0.25">
      <c r="A443">
        <v>20181001</v>
      </c>
      <c r="B443" t="str">
        <f>"126173"</f>
        <v>126173</v>
      </c>
      <c r="C443" t="s">
        <v>359</v>
      </c>
      <c r="D443" s="3">
        <v>11.03</v>
      </c>
      <c r="E443" t="s">
        <v>361</v>
      </c>
      <c r="F443" t="s">
        <v>192</v>
      </c>
    </row>
    <row r="444" spans="1:6" x14ac:dyDescent="0.25">
      <c r="A444">
        <v>20181001</v>
      </c>
      <c r="B444" t="str">
        <f>"126173"</f>
        <v>126173</v>
      </c>
      <c r="C444" t="s">
        <v>359</v>
      </c>
      <c r="D444" s="3">
        <v>6.12</v>
      </c>
      <c r="E444" t="s">
        <v>361</v>
      </c>
      <c r="F444" t="s">
        <v>192</v>
      </c>
    </row>
    <row r="445" spans="1:6" x14ac:dyDescent="0.25">
      <c r="A445">
        <v>20181001</v>
      </c>
      <c r="B445" t="str">
        <f>"126173"</f>
        <v>126173</v>
      </c>
      <c r="C445" t="s">
        <v>359</v>
      </c>
      <c r="D445" s="3">
        <v>26.38</v>
      </c>
      <c r="E445" t="s">
        <v>361</v>
      </c>
      <c r="F445" t="s">
        <v>192</v>
      </c>
    </row>
    <row r="446" spans="1:6" x14ac:dyDescent="0.25">
      <c r="A446">
        <v>20181001</v>
      </c>
      <c r="B446" t="str">
        <f>"126173"</f>
        <v>126173</v>
      </c>
      <c r="C446" t="s">
        <v>359</v>
      </c>
      <c r="D446" s="3">
        <v>38.43</v>
      </c>
      <c r="E446" t="s">
        <v>361</v>
      </c>
      <c r="F446" t="s">
        <v>192</v>
      </c>
    </row>
    <row r="447" spans="1:6" x14ac:dyDescent="0.25">
      <c r="A447">
        <v>20181001</v>
      </c>
      <c r="B447" t="str">
        <f>"126174"</f>
        <v>126174</v>
      </c>
      <c r="C447" t="s">
        <v>362</v>
      </c>
      <c r="D447" s="3">
        <v>37.5</v>
      </c>
      <c r="E447" t="s">
        <v>363</v>
      </c>
      <c r="F447" t="s">
        <v>192</v>
      </c>
    </row>
    <row r="448" spans="1:6" x14ac:dyDescent="0.25">
      <c r="A448">
        <v>20181001</v>
      </c>
      <c r="B448" t="str">
        <f>"126175"</f>
        <v>126175</v>
      </c>
      <c r="C448" t="s">
        <v>364</v>
      </c>
      <c r="D448" s="3">
        <v>50</v>
      </c>
      <c r="E448" t="s">
        <v>365</v>
      </c>
      <c r="F448" t="s">
        <v>192</v>
      </c>
    </row>
    <row r="449" spans="1:6" x14ac:dyDescent="0.25">
      <c r="A449">
        <v>20181001</v>
      </c>
      <c r="B449" t="str">
        <f>"126176"</f>
        <v>126176</v>
      </c>
      <c r="C449" t="s">
        <v>366</v>
      </c>
      <c r="D449" s="3">
        <v>1425</v>
      </c>
      <c r="E449" t="s">
        <v>73</v>
      </c>
      <c r="F449" t="s">
        <v>192</v>
      </c>
    </row>
    <row r="450" spans="1:6" x14ac:dyDescent="0.25">
      <c r="A450">
        <v>20181001</v>
      </c>
      <c r="B450" t="str">
        <f>"126177"</f>
        <v>126177</v>
      </c>
      <c r="C450" t="s">
        <v>367</v>
      </c>
      <c r="D450" s="3">
        <v>1712</v>
      </c>
      <c r="E450" t="s">
        <v>369</v>
      </c>
      <c r="F450" t="s">
        <v>215</v>
      </c>
    </row>
    <row r="451" spans="1:6" x14ac:dyDescent="0.25">
      <c r="A451">
        <v>20181001</v>
      </c>
      <c r="B451" t="str">
        <f>"126177"</f>
        <v>126177</v>
      </c>
      <c r="C451" t="s">
        <v>367</v>
      </c>
      <c r="D451" s="3">
        <v>865</v>
      </c>
      <c r="E451" t="s">
        <v>368</v>
      </c>
      <c r="F451" t="s">
        <v>215</v>
      </c>
    </row>
    <row r="452" spans="1:6" x14ac:dyDescent="0.25">
      <c r="A452">
        <v>20181001</v>
      </c>
      <c r="B452" t="str">
        <f>"126178"</f>
        <v>126178</v>
      </c>
      <c r="C452" t="s">
        <v>370</v>
      </c>
      <c r="D452" s="3">
        <v>-34.200000000000003</v>
      </c>
      <c r="E452" t="s">
        <v>372</v>
      </c>
      <c r="F452" t="s">
        <v>192</v>
      </c>
    </row>
    <row r="453" spans="1:6" x14ac:dyDescent="0.25">
      <c r="A453">
        <v>20181001</v>
      </c>
      <c r="B453" t="str">
        <f>"126178"</f>
        <v>126178</v>
      </c>
      <c r="C453" t="s">
        <v>370</v>
      </c>
      <c r="D453" s="3">
        <v>46.05</v>
      </c>
      <c r="E453" t="s">
        <v>371</v>
      </c>
      <c r="F453" t="s">
        <v>192</v>
      </c>
    </row>
    <row r="454" spans="1:6" x14ac:dyDescent="0.25">
      <c r="A454">
        <v>20181001</v>
      </c>
      <c r="B454" t="str">
        <f>"126178"</f>
        <v>126178</v>
      </c>
      <c r="C454" t="s">
        <v>370</v>
      </c>
      <c r="D454" s="3">
        <v>18.66</v>
      </c>
      <c r="E454" t="s">
        <v>28</v>
      </c>
      <c r="F454" t="s">
        <v>192</v>
      </c>
    </row>
    <row r="455" spans="1:6" x14ac:dyDescent="0.25">
      <c r="A455">
        <v>20181001</v>
      </c>
      <c r="B455" t="str">
        <f>"126178"</f>
        <v>126178</v>
      </c>
      <c r="C455" t="s">
        <v>370</v>
      </c>
      <c r="D455" s="3">
        <v>124.6</v>
      </c>
      <c r="E455" t="s">
        <v>28</v>
      </c>
      <c r="F455" t="s">
        <v>192</v>
      </c>
    </row>
    <row r="456" spans="1:6" x14ac:dyDescent="0.25">
      <c r="A456">
        <v>20181001</v>
      </c>
      <c r="B456" t="str">
        <f>"126178"</f>
        <v>126178</v>
      </c>
      <c r="C456" t="s">
        <v>370</v>
      </c>
      <c r="D456" s="3">
        <v>188.86</v>
      </c>
      <c r="E456" t="s">
        <v>28</v>
      </c>
      <c r="F456" t="s">
        <v>192</v>
      </c>
    </row>
    <row r="457" spans="1:6" x14ac:dyDescent="0.25">
      <c r="A457">
        <v>20181001</v>
      </c>
      <c r="B457" t="str">
        <f>"126178"</f>
        <v>126178</v>
      </c>
      <c r="C457" t="s">
        <v>370</v>
      </c>
      <c r="D457" s="3">
        <v>9.57</v>
      </c>
      <c r="E457" t="s">
        <v>28</v>
      </c>
      <c r="F457" t="s">
        <v>192</v>
      </c>
    </row>
    <row r="458" spans="1:6" x14ac:dyDescent="0.25">
      <c r="A458">
        <v>20181001</v>
      </c>
      <c r="B458" t="str">
        <f>"126178"</f>
        <v>126178</v>
      </c>
      <c r="C458" t="s">
        <v>370</v>
      </c>
      <c r="D458" s="3">
        <v>175.12</v>
      </c>
      <c r="E458" t="s">
        <v>75</v>
      </c>
      <c r="F458" t="s">
        <v>192</v>
      </c>
    </row>
    <row r="459" spans="1:6" x14ac:dyDescent="0.25">
      <c r="A459">
        <v>20181001</v>
      </c>
      <c r="B459" t="str">
        <f>"126178"</f>
        <v>126178</v>
      </c>
      <c r="C459" t="s">
        <v>370</v>
      </c>
      <c r="D459" s="3">
        <v>124.99</v>
      </c>
      <c r="E459" t="s">
        <v>75</v>
      </c>
      <c r="F459" t="s">
        <v>192</v>
      </c>
    </row>
    <row r="460" spans="1:6" x14ac:dyDescent="0.25">
      <c r="A460">
        <v>20181001</v>
      </c>
      <c r="B460" t="str">
        <f>"126178"</f>
        <v>126178</v>
      </c>
      <c r="C460" t="s">
        <v>370</v>
      </c>
      <c r="D460" s="3">
        <v>214.42</v>
      </c>
      <c r="E460" t="s">
        <v>28</v>
      </c>
      <c r="F460" t="s">
        <v>192</v>
      </c>
    </row>
    <row r="461" spans="1:6" x14ac:dyDescent="0.25">
      <c r="A461">
        <v>20181001</v>
      </c>
      <c r="B461" t="str">
        <f>"126178"</f>
        <v>126178</v>
      </c>
      <c r="C461" t="s">
        <v>370</v>
      </c>
      <c r="D461" s="3">
        <v>36.76</v>
      </c>
      <c r="E461" t="s">
        <v>28</v>
      </c>
      <c r="F461" t="s">
        <v>192</v>
      </c>
    </row>
    <row r="462" spans="1:6" x14ac:dyDescent="0.25">
      <c r="A462">
        <v>20181001</v>
      </c>
      <c r="B462" t="str">
        <f>"126178"</f>
        <v>126178</v>
      </c>
      <c r="C462" t="s">
        <v>370</v>
      </c>
      <c r="D462" s="3">
        <v>170.93</v>
      </c>
      <c r="E462" t="s">
        <v>28</v>
      </c>
      <c r="F462" t="s">
        <v>192</v>
      </c>
    </row>
    <row r="463" spans="1:6" x14ac:dyDescent="0.25">
      <c r="A463">
        <v>20181001</v>
      </c>
      <c r="B463" t="str">
        <f>"126178"</f>
        <v>126178</v>
      </c>
      <c r="C463" t="s">
        <v>370</v>
      </c>
      <c r="D463" s="3">
        <v>17.100000000000001</v>
      </c>
      <c r="E463" t="s">
        <v>28</v>
      </c>
      <c r="F463" t="s">
        <v>192</v>
      </c>
    </row>
    <row r="464" spans="1:6" x14ac:dyDescent="0.25">
      <c r="A464">
        <v>20181001</v>
      </c>
      <c r="B464" t="str">
        <f>"126178"</f>
        <v>126178</v>
      </c>
      <c r="C464" t="s">
        <v>370</v>
      </c>
      <c r="D464" s="3">
        <v>275.76</v>
      </c>
      <c r="E464" t="s">
        <v>28</v>
      </c>
      <c r="F464" t="s">
        <v>192</v>
      </c>
    </row>
    <row r="465" spans="1:6" x14ac:dyDescent="0.25">
      <c r="A465">
        <v>20181001</v>
      </c>
      <c r="B465" t="str">
        <f>"126178"</f>
        <v>126178</v>
      </c>
      <c r="C465" t="s">
        <v>370</v>
      </c>
      <c r="D465" s="3">
        <v>32.58</v>
      </c>
      <c r="E465" t="s">
        <v>75</v>
      </c>
      <c r="F465" t="s">
        <v>192</v>
      </c>
    </row>
    <row r="466" spans="1:6" x14ac:dyDescent="0.25">
      <c r="A466">
        <v>20181001</v>
      </c>
      <c r="B466" t="str">
        <f>"126178"</f>
        <v>126178</v>
      </c>
      <c r="C466" t="s">
        <v>370</v>
      </c>
      <c r="D466" s="3">
        <v>27.3</v>
      </c>
      <c r="E466" t="s">
        <v>28</v>
      </c>
      <c r="F466" t="s">
        <v>192</v>
      </c>
    </row>
    <row r="467" spans="1:6" x14ac:dyDescent="0.25">
      <c r="A467">
        <v>20181001</v>
      </c>
      <c r="B467" t="str">
        <f>"126178"</f>
        <v>126178</v>
      </c>
      <c r="C467" t="s">
        <v>370</v>
      </c>
      <c r="D467" s="3">
        <v>10.4</v>
      </c>
      <c r="E467" t="s">
        <v>28</v>
      </c>
      <c r="F467" t="s">
        <v>192</v>
      </c>
    </row>
    <row r="468" spans="1:6" x14ac:dyDescent="0.25">
      <c r="A468">
        <v>20181001</v>
      </c>
      <c r="B468" t="str">
        <f>"126179"</f>
        <v>126179</v>
      </c>
      <c r="C468" t="s">
        <v>373</v>
      </c>
      <c r="D468" s="3">
        <v>440.65</v>
      </c>
      <c r="E468" t="s">
        <v>374</v>
      </c>
      <c r="F468" t="s">
        <v>192</v>
      </c>
    </row>
    <row r="469" spans="1:6" x14ac:dyDescent="0.25">
      <c r="A469">
        <v>20181001</v>
      </c>
      <c r="B469" t="str">
        <f>"126180"</f>
        <v>126180</v>
      </c>
      <c r="C469" t="s">
        <v>375</v>
      </c>
      <c r="D469" s="3">
        <v>239.49</v>
      </c>
      <c r="E469" t="s">
        <v>377</v>
      </c>
      <c r="F469" t="s">
        <v>192</v>
      </c>
    </row>
    <row r="470" spans="1:6" x14ac:dyDescent="0.25">
      <c r="A470">
        <v>20181001</v>
      </c>
      <c r="B470" t="str">
        <f>"126180"</f>
        <v>126180</v>
      </c>
      <c r="C470" t="s">
        <v>375</v>
      </c>
      <c r="D470" s="3">
        <v>207.95</v>
      </c>
      <c r="E470" t="s">
        <v>376</v>
      </c>
      <c r="F470" t="s">
        <v>192</v>
      </c>
    </row>
    <row r="471" spans="1:6" x14ac:dyDescent="0.25">
      <c r="A471">
        <v>20181001</v>
      </c>
      <c r="B471" t="str">
        <f>"126181"</f>
        <v>126181</v>
      </c>
      <c r="C471" t="s">
        <v>378</v>
      </c>
      <c r="D471" s="3">
        <v>770.24</v>
      </c>
      <c r="E471" t="s">
        <v>379</v>
      </c>
      <c r="F471" t="s">
        <v>192</v>
      </c>
    </row>
    <row r="472" spans="1:6" x14ac:dyDescent="0.25">
      <c r="A472">
        <v>20181001</v>
      </c>
      <c r="B472" t="str">
        <f>"126181"</f>
        <v>126181</v>
      </c>
      <c r="C472" t="s">
        <v>378</v>
      </c>
      <c r="D472" s="3">
        <v>811.87</v>
      </c>
      <c r="E472" t="s">
        <v>379</v>
      </c>
      <c r="F472" t="s">
        <v>192</v>
      </c>
    </row>
    <row r="473" spans="1:6" x14ac:dyDescent="0.25">
      <c r="A473">
        <v>20181001</v>
      </c>
      <c r="B473" t="str">
        <f>"126181"</f>
        <v>126181</v>
      </c>
      <c r="C473" t="s">
        <v>378</v>
      </c>
      <c r="D473" s="3">
        <v>768.67</v>
      </c>
      <c r="E473" t="s">
        <v>379</v>
      </c>
      <c r="F473" t="s">
        <v>192</v>
      </c>
    </row>
    <row r="474" spans="1:6" x14ac:dyDescent="0.25">
      <c r="A474">
        <v>20181001</v>
      </c>
      <c r="B474" t="str">
        <f>"126181"</f>
        <v>126181</v>
      </c>
      <c r="C474" t="s">
        <v>378</v>
      </c>
      <c r="D474" s="3">
        <v>750.4</v>
      </c>
      <c r="E474" t="s">
        <v>379</v>
      </c>
      <c r="F474" t="s">
        <v>192</v>
      </c>
    </row>
    <row r="475" spans="1:6" x14ac:dyDescent="0.25">
      <c r="A475">
        <v>20181001</v>
      </c>
      <c r="B475" t="str">
        <f>"126182"</f>
        <v>126182</v>
      </c>
      <c r="C475" t="s">
        <v>380</v>
      </c>
      <c r="D475" s="3">
        <v>16252.65</v>
      </c>
      <c r="E475" t="s">
        <v>381</v>
      </c>
      <c r="F475" t="s">
        <v>192</v>
      </c>
    </row>
    <row r="476" spans="1:6" x14ac:dyDescent="0.25">
      <c r="A476">
        <v>20181001</v>
      </c>
      <c r="B476" t="str">
        <f>"126183"</f>
        <v>126183</v>
      </c>
      <c r="C476" t="s">
        <v>382</v>
      </c>
      <c r="D476" s="3">
        <v>500</v>
      </c>
      <c r="E476" t="s">
        <v>73</v>
      </c>
      <c r="F476" t="s">
        <v>198</v>
      </c>
    </row>
    <row r="477" spans="1:6" x14ac:dyDescent="0.25">
      <c r="A477">
        <v>20181001</v>
      </c>
      <c r="B477" t="str">
        <f>"126184"</f>
        <v>126184</v>
      </c>
      <c r="C477" t="s">
        <v>383</v>
      </c>
      <c r="D477" s="3">
        <v>4193.93</v>
      </c>
      <c r="E477" t="s">
        <v>384</v>
      </c>
      <c r="F477" t="s">
        <v>192</v>
      </c>
    </row>
    <row r="478" spans="1:6" x14ac:dyDescent="0.25">
      <c r="A478">
        <v>20181001</v>
      </c>
      <c r="B478" t="str">
        <f>"126185"</f>
        <v>126185</v>
      </c>
      <c r="C478" t="s">
        <v>385</v>
      </c>
      <c r="D478" s="3">
        <v>53000</v>
      </c>
      <c r="E478" t="s">
        <v>386</v>
      </c>
      <c r="F478" t="s">
        <v>192</v>
      </c>
    </row>
    <row r="479" spans="1:6" x14ac:dyDescent="0.25">
      <c r="A479">
        <v>20181001</v>
      </c>
      <c r="B479" t="str">
        <f>"126186"</f>
        <v>126186</v>
      </c>
      <c r="C479" t="s">
        <v>387</v>
      </c>
      <c r="D479" s="3">
        <v>458.92</v>
      </c>
      <c r="E479" t="s">
        <v>28</v>
      </c>
      <c r="F479" t="s">
        <v>307</v>
      </c>
    </row>
    <row r="480" spans="1:6" x14ac:dyDescent="0.25">
      <c r="A480">
        <v>20181001</v>
      </c>
      <c r="B480" t="str">
        <f>"126186"</f>
        <v>126186</v>
      </c>
      <c r="C480" t="s">
        <v>387</v>
      </c>
      <c r="D480" s="3">
        <v>134.97999999999999</v>
      </c>
      <c r="E480" t="s">
        <v>28</v>
      </c>
      <c r="F480" t="s">
        <v>192</v>
      </c>
    </row>
    <row r="481" spans="1:6" x14ac:dyDescent="0.25">
      <c r="A481">
        <v>20181001</v>
      </c>
      <c r="B481" t="str">
        <f>"126187"</f>
        <v>126187</v>
      </c>
      <c r="C481" t="s">
        <v>388</v>
      </c>
      <c r="D481" s="3">
        <v>656.81</v>
      </c>
      <c r="E481" t="s">
        <v>389</v>
      </c>
      <c r="F481" t="s">
        <v>192</v>
      </c>
    </row>
    <row r="482" spans="1:6" x14ac:dyDescent="0.25">
      <c r="A482">
        <v>20181001</v>
      </c>
      <c r="B482" t="str">
        <f>"126187"</f>
        <v>126187</v>
      </c>
      <c r="C482" t="s">
        <v>388</v>
      </c>
      <c r="D482" s="3">
        <v>630.14</v>
      </c>
      <c r="E482" t="s">
        <v>389</v>
      </c>
      <c r="F482" t="s">
        <v>192</v>
      </c>
    </row>
    <row r="483" spans="1:6" x14ac:dyDescent="0.25">
      <c r="A483">
        <v>20181001</v>
      </c>
      <c r="B483" t="str">
        <f>"126187"</f>
        <v>126187</v>
      </c>
      <c r="C483" t="s">
        <v>388</v>
      </c>
      <c r="D483" s="3">
        <v>632.28</v>
      </c>
      <c r="E483" t="s">
        <v>389</v>
      </c>
      <c r="F483" t="s">
        <v>192</v>
      </c>
    </row>
    <row r="484" spans="1:6" x14ac:dyDescent="0.25">
      <c r="A484">
        <v>20181001</v>
      </c>
      <c r="B484" t="str">
        <f>"126188"</f>
        <v>126188</v>
      </c>
      <c r="C484" t="s">
        <v>390</v>
      </c>
      <c r="D484" s="3">
        <v>477.62</v>
      </c>
      <c r="E484" t="s">
        <v>391</v>
      </c>
      <c r="F484" t="s">
        <v>192</v>
      </c>
    </row>
    <row r="485" spans="1:6" x14ac:dyDescent="0.25">
      <c r="A485">
        <v>20181001</v>
      </c>
      <c r="B485" t="str">
        <f>"126189"</f>
        <v>126189</v>
      </c>
      <c r="C485" t="s">
        <v>392</v>
      </c>
      <c r="D485" s="3">
        <v>1993.68</v>
      </c>
      <c r="E485" t="s">
        <v>393</v>
      </c>
      <c r="F485" t="s">
        <v>192</v>
      </c>
    </row>
    <row r="486" spans="1:6" x14ac:dyDescent="0.25">
      <c r="A486">
        <v>20181001</v>
      </c>
      <c r="B486" t="str">
        <f>"126190"</f>
        <v>126190</v>
      </c>
      <c r="C486" t="s">
        <v>394</v>
      </c>
      <c r="D486" s="3">
        <v>139600</v>
      </c>
      <c r="E486" t="s">
        <v>395</v>
      </c>
      <c r="F486" t="s">
        <v>396</v>
      </c>
    </row>
    <row r="487" spans="1:6" x14ac:dyDescent="0.25">
      <c r="A487">
        <v>20181001</v>
      </c>
      <c r="B487" t="str">
        <f>"126191"</f>
        <v>126191</v>
      </c>
      <c r="C487" t="s">
        <v>397</v>
      </c>
      <c r="D487" s="3">
        <v>85</v>
      </c>
      <c r="E487" t="s">
        <v>346</v>
      </c>
      <c r="F487" t="s">
        <v>192</v>
      </c>
    </row>
    <row r="488" spans="1:6" x14ac:dyDescent="0.25">
      <c r="A488">
        <v>20181001</v>
      </c>
      <c r="B488" t="str">
        <f>"126191"</f>
        <v>126191</v>
      </c>
      <c r="C488" t="s">
        <v>397</v>
      </c>
      <c r="D488" s="3">
        <v>177</v>
      </c>
      <c r="E488" t="s">
        <v>398</v>
      </c>
      <c r="F488" t="s">
        <v>192</v>
      </c>
    </row>
    <row r="489" spans="1:6" x14ac:dyDescent="0.25">
      <c r="A489">
        <v>20181001</v>
      </c>
      <c r="B489" t="str">
        <f>"126191"</f>
        <v>126191</v>
      </c>
      <c r="C489" t="s">
        <v>397</v>
      </c>
      <c r="D489" s="3">
        <v>195</v>
      </c>
      <c r="E489" t="s">
        <v>399</v>
      </c>
      <c r="F489" t="s">
        <v>192</v>
      </c>
    </row>
    <row r="490" spans="1:6" x14ac:dyDescent="0.25">
      <c r="A490">
        <v>20181001</v>
      </c>
      <c r="B490" t="str">
        <f>"126192"</f>
        <v>126192</v>
      </c>
      <c r="C490" t="s">
        <v>400</v>
      </c>
      <c r="D490" s="3">
        <v>641.67999999999995</v>
      </c>
      <c r="E490" t="s">
        <v>401</v>
      </c>
      <c r="F490" t="s">
        <v>192</v>
      </c>
    </row>
    <row r="491" spans="1:6" x14ac:dyDescent="0.25">
      <c r="A491">
        <v>20181001</v>
      </c>
      <c r="B491" t="str">
        <f>"126193"</f>
        <v>126193</v>
      </c>
      <c r="C491" t="s">
        <v>402</v>
      </c>
      <c r="D491" s="3">
        <v>12133.04</v>
      </c>
      <c r="E491" t="s">
        <v>403</v>
      </c>
      <c r="F491" t="s">
        <v>192</v>
      </c>
    </row>
    <row r="492" spans="1:6" x14ac:dyDescent="0.25">
      <c r="A492">
        <v>20181001</v>
      </c>
      <c r="B492" t="str">
        <f>"126193"</f>
        <v>126193</v>
      </c>
      <c r="C492" t="s">
        <v>402</v>
      </c>
      <c r="D492" s="3">
        <v>4688.96</v>
      </c>
      <c r="E492" t="s">
        <v>403</v>
      </c>
      <c r="F492" t="s">
        <v>192</v>
      </c>
    </row>
    <row r="493" spans="1:6" x14ac:dyDescent="0.25">
      <c r="A493">
        <v>20181001</v>
      </c>
      <c r="B493" t="str">
        <f>"126194"</f>
        <v>126194</v>
      </c>
      <c r="C493" t="s">
        <v>126</v>
      </c>
      <c r="D493" s="3">
        <v>98.56</v>
      </c>
      <c r="E493" t="s">
        <v>114</v>
      </c>
      <c r="F493" t="s">
        <v>192</v>
      </c>
    </row>
    <row r="494" spans="1:6" x14ac:dyDescent="0.25">
      <c r="A494">
        <v>20181001</v>
      </c>
      <c r="B494" t="str">
        <f>"126194"</f>
        <v>126194</v>
      </c>
      <c r="C494" t="s">
        <v>126</v>
      </c>
      <c r="D494" s="3">
        <v>89.99</v>
      </c>
      <c r="E494" t="s">
        <v>114</v>
      </c>
      <c r="F494" t="s">
        <v>192</v>
      </c>
    </row>
    <row r="495" spans="1:6" x14ac:dyDescent="0.25">
      <c r="A495">
        <v>20181001</v>
      </c>
      <c r="B495" t="str">
        <f>"126194"</f>
        <v>126194</v>
      </c>
      <c r="C495" t="s">
        <v>126</v>
      </c>
      <c r="D495" s="3">
        <v>27.54</v>
      </c>
      <c r="E495" t="s">
        <v>114</v>
      </c>
      <c r="F495" t="s">
        <v>192</v>
      </c>
    </row>
    <row r="496" spans="1:6" x14ac:dyDescent="0.25">
      <c r="A496">
        <v>20181001</v>
      </c>
      <c r="B496" t="str">
        <f>"126194"</f>
        <v>126194</v>
      </c>
      <c r="C496" t="s">
        <v>126</v>
      </c>
      <c r="D496" s="3">
        <v>374.29</v>
      </c>
      <c r="E496" t="s">
        <v>114</v>
      </c>
      <c r="F496" t="s">
        <v>192</v>
      </c>
    </row>
    <row r="497" spans="1:6" x14ac:dyDescent="0.25">
      <c r="A497">
        <v>20181001</v>
      </c>
      <c r="B497" t="str">
        <f>"126194"</f>
        <v>126194</v>
      </c>
      <c r="C497" t="s">
        <v>126</v>
      </c>
      <c r="D497" s="3">
        <v>28.64</v>
      </c>
      <c r="E497" t="s">
        <v>114</v>
      </c>
      <c r="F497" t="s">
        <v>192</v>
      </c>
    </row>
    <row r="498" spans="1:6" x14ac:dyDescent="0.25">
      <c r="A498">
        <v>20181001</v>
      </c>
      <c r="B498" t="str">
        <f>"126194"</f>
        <v>126194</v>
      </c>
      <c r="C498" t="s">
        <v>126</v>
      </c>
      <c r="D498" s="3">
        <v>179.99</v>
      </c>
      <c r="E498" t="s">
        <v>114</v>
      </c>
      <c r="F498" t="s">
        <v>192</v>
      </c>
    </row>
    <row r="499" spans="1:6" x14ac:dyDescent="0.25">
      <c r="A499">
        <v>20181001</v>
      </c>
      <c r="B499" t="str">
        <f>"126194"</f>
        <v>126194</v>
      </c>
      <c r="C499" t="s">
        <v>126</v>
      </c>
      <c r="D499" s="3">
        <v>53.59</v>
      </c>
      <c r="E499" t="s">
        <v>114</v>
      </c>
      <c r="F499" t="s">
        <v>192</v>
      </c>
    </row>
    <row r="500" spans="1:6" x14ac:dyDescent="0.25">
      <c r="A500">
        <v>20181001</v>
      </c>
      <c r="B500" t="str">
        <f>"126194"</f>
        <v>126194</v>
      </c>
      <c r="C500" t="s">
        <v>126</v>
      </c>
      <c r="D500" s="3">
        <v>59.16</v>
      </c>
      <c r="E500" t="s">
        <v>114</v>
      </c>
      <c r="F500" t="s">
        <v>192</v>
      </c>
    </row>
    <row r="501" spans="1:6" x14ac:dyDescent="0.25">
      <c r="A501">
        <v>20181001</v>
      </c>
      <c r="B501" t="str">
        <f>"126194"</f>
        <v>126194</v>
      </c>
      <c r="C501" t="s">
        <v>126</v>
      </c>
      <c r="D501" s="3">
        <v>35.97</v>
      </c>
      <c r="E501" t="s">
        <v>114</v>
      </c>
      <c r="F501" t="s">
        <v>192</v>
      </c>
    </row>
    <row r="502" spans="1:6" x14ac:dyDescent="0.25">
      <c r="A502">
        <v>20181001</v>
      </c>
      <c r="B502" t="str">
        <f>"126194"</f>
        <v>126194</v>
      </c>
      <c r="C502" t="s">
        <v>126</v>
      </c>
      <c r="D502" s="3">
        <v>126.82</v>
      </c>
      <c r="E502" t="s">
        <v>404</v>
      </c>
      <c r="F502" t="s">
        <v>192</v>
      </c>
    </row>
    <row r="503" spans="1:6" x14ac:dyDescent="0.25">
      <c r="A503">
        <v>20181001</v>
      </c>
      <c r="B503" t="str">
        <f>"126194"</f>
        <v>126194</v>
      </c>
      <c r="C503" t="s">
        <v>126</v>
      </c>
      <c r="D503" s="3">
        <v>27.48</v>
      </c>
      <c r="E503" t="s">
        <v>404</v>
      </c>
      <c r="F503" t="s">
        <v>192</v>
      </c>
    </row>
    <row r="504" spans="1:6" x14ac:dyDescent="0.25">
      <c r="A504">
        <v>20181001</v>
      </c>
      <c r="B504" t="str">
        <f>"126194"</f>
        <v>126194</v>
      </c>
      <c r="C504" t="s">
        <v>126</v>
      </c>
      <c r="D504" s="3">
        <v>13.83</v>
      </c>
      <c r="E504" t="s">
        <v>346</v>
      </c>
      <c r="F504" t="s">
        <v>192</v>
      </c>
    </row>
    <row r="505" spans="1:6" x14ac:dyDescent="0.25">
      <c r="A505">
        <v>20181001</v>
      </c>
      <c r="B505" t="str">
        <f>"126194"</f>
        <v>126194</v>
      </c>
      <c r="C505" t="s">
        <v>126</v>
      </c>
      <c r="D505" s="3">
        <v>126.84</v>
      </c>
      <c r="E505" t="s">
        <v>346</v>
      </c>
      <c r="F505" t="s">
        <v>192</v>
      </c>
    </row>
    <row r="506" spans="1:6" x14ac:dyDescent="0.25">
      <c r="A506">
        <v>20181001</v>
      </c>
      <c r="B506" t="str">
        <f>"126194"</f>
        <v>126194</v>
      </c>
      <c r="C506" t="s">
        <v>126</v>
      </c>
      <c r="D506" s="3">
        <v>8.23</v>
      </c>
      <c r="E506" t="s">
        <v>346</v>
      </c>
      <c r="F506" t="s">
        <v>192</v>
      </c>
    </row>
    <row r="507" spans="1:6" x14ac:dyDescent="0.25">
      <c r="A507">
        <v>20181001</v>
      </c>
      <c r="B507" t="str">
        <f>"126194"</f>
        <v>126194</v>
      </c>
      <c r="C507" t="s">
        <v>126</v>
      </c>
      <c r="D507" s="3">
        <v>176.03</v>
      </c>
      <c r="E507" t="s">
        <v>346</v>
      </c>
      <c r="F507" t="s">
        <v>192</v>
      </c>
    </row>
    <row r="508" spans="1:6" x14ac:dyDescent="0.25">
      <c r="A508">
        <v>20181001</v>
      </c>
      <c r="B508" t="str">
        <f>"126194"</f>
        <v>126194</v>
      </c>
      <c r="C508" t="s">
        <v>126</v>
      </c>
      <c r="D508" s="3">
        <v>17.16</v>
      </c>
      <c r="E508" t="s">
        <v>405</v>
      </c>
      <c r="F508" t="s">
        <v>192</v>
      </c>
    </row>
    <row r="509" spans="1:6" x14ac:dyDescent="0.25">
      <c r="A509">
        <v>20181001</v>
      </c>
      <c r="B509" t="str">
        <f>"126194"</f>
        <v>126194</v>
      </c>
      <c r="C509" t="s">
        <v>126</v>
      </c>
      <c r="D509" s="3">
        <v>462.08</v>
      </c>
      <c r="E509" t="s">
        <v>405</v>
      </c>
      <c r="F509" t="s">
        <v>192</v>
      </c>
    </row>
    <row r="510" spans="1:6" x14ac:dyDescent="0.25">
      <c r="A510">
        <v>20181001</v>
      </c>
      <c r="B510" t="str">
        <f>"126194"</f>
        <v>126194</v>
      </c>
      <c r="C510" t="s">
        <v>126</v>
      </c>
      <c r="D510" s="3">
        <v>14.59</v>
      </c>
      <c r="E510" t="s">
        <v>405</v>
      </c>
      <c r="F510" t="s">
        <v>192</v>
      </c>
    </row>
    <row r="511" spans="1:6" x14ac:dyDescent="0.25">
      <c r="A511">
        <v>20181001</v>
      </c>
      <c r="B511" t="str">
        <f>"126194"</f>
        <v>126194</v>
      </c>
      <c r="C511" t="s">
        <v>126</v>
      </c>
      <c r="D511" s="3">
        <v>462.08</v>
      </c>
      <c r="E511" t="s">
        <v>405</v>
      </c>
      <c r="F511" t="s">
        <v>192</v>
      </c>
    </row>
    <row r="512" spans="1:6" x14ac:dyDescent="0.25">
      <c r="A512">
        <v>20181001</v>
      </c>
      <c r="B512" t="str">
        <f>"126194"</f>
        <v>126194</v>
      </c>
      <c r="C512" t="s">
        <v>126</v>
      </c>
      <c r="D512" s="3">
        <v>228.04</v>
      </c>
      <c r="E512" t="s">
        <v>28</v>
      </c>
      <c r="F512" t="s">
        <v>192</v>
      </c>
    </row>
    <row r="513" spans="1:6" x14ac:dyDescent="0.25">
      <c r="A513">
        <v>20181001</v>
      </c>
      <c r="B513" t="str">
        <f>"126194"</f>
        <v>126194</v>
      </c>
      <c r="C513" t="s">
        <v>126</v>
      </c>
      <c r="D513" s="3">
        <v>399.73</v>
      </c>
      <c r="E513" t="s">
        <v>28</v>
      </c>
      <c r="F513" t="s">
        <v>192</v>
      </c>
    </row>
    <row r="514" spans="1:6" x14ac:dyDescent="0.25">
      <c r="A514">
        <v>20181001</v>
      </c>
      <c r="B514" t="str">
        <f>"126194"</f>
        <v>126194</v>
      </c>
      <c r="C514" t="s">
        <v>126</v>
      </c>
      <c r="D514" s="3">
        <v>134.19999999999999</v>
      </c>
      <c r="E514" t="s">
        <v>28</v>
      </c>
      <c r="F514" t="s">
        <v>192</v>
      </c>
    </row>
    <row r="515" spans="1:6" x14ac:dyDescent="0.25">
      <c r="A515">
        <v>20181001</v>
      </c>
      <c r="B515" t="str">
        <f>"126194"</f>
        <v>126194</v>
      </c>
      <c r="C515" t="s">
        <v>126</v>
      </c>
      <c r="D515" s="3">
        <v>208.91</v>
      </c>
      <c r="E515" t="s">
        <v>28</v>
      </c>
      <c r="F515" t="s">
        <v>192</v>
      </c>
    </row>
    <row r="516" spans="1:6" x14ac:dyDescent="0.25">
      <c r="A516">
        <v>20181001</v>
      </c>
      <c r="B516" t="str">
        <f>"126195"</f>
        <v>126195</v>
      </c>
      <c r="C516" t="s">
        <v>406</v>
      </c>
      <c r="D516" s="3">
        <v>489.15</v>
      </c>
      <c r="E516" t="s">
        <v>407</v>
      </c>
      <c r="F516" t="s">
        <v>215</v>
      </c>
    </row>
    <row r="517" spans="1:6" x14ac:dyDescent="0.25">
      <c r="A517">
        <v>20181001</v>
      </c>
      <c r="B517" t="str">
        <f>"126195"</f>
        <v>126195</v>
      </c>
      <c r="C517" t="s">
        <v>406</v>
      </c>
      <c r="D517" s="3">
        <v>763.4</v>
      </c>
      <c r="E517" t="s">
        <v>258</v>
      </c>
      <c r="F517" t="s">
        <v>215</v>
      </c>
    </row>
    <row r="518" spans="1:6" x14ac:dyDescent="0.25">
      <c r="A518">
        <v>20181001</v>
      </c>
      <c r="B518" t="str">
        <f>"126195"</f>
        <v>126195</v>
      </c>
      <c r="C518" t="s">
        <v>406</v>
      </c>
      <c r="D518" s="3">
        <v>189.78</v>
      </c>
      <c r="E518" t="s">
        <v>258</v>
      </c>
      <c r="F518" t="s">
        <v>215</v>
      </c>
    </row>
    <row r="519" spans="1:6" x14ac:dyDescent="0.25">
      <c r="A519">
        <v>20181001</v>
      </c>
      <c r="B519" t="str">
        <f>"126195"</f>
        <v>126195</v>
      </c>
      <c r="C519" t="s">
        <v>406</v>
      </c>
      <c r="D519" s="3">
        <v>325.85000000000002</v>
      </c>
      <c r="E519" t="s">
        <v>258</v>
      </c>
      <c r="F519" t="s">
        <v>215</v>
      </c>
    </row>
    <row r="520" spans="1:6" x14ac:dyDescent="0.25">
      <c r="A520">
        <v>20181001</v>
      </c>
      <c r="B520" t="str">
        <f>"126195"</f>
        <v>126195</v>
      </c>
      <c r="C520" t="s">
        <v>406</v>
      </c>
      <c r="D520" s="3">
        <v>370.9</v>
      </c>
      <c r="E520" t="s">
        <v>258</v>
      </c>
      <c r="F520" t="s">
        <v>215</v>
      </c>
    </row>
    <row r="521" spans="1:6" x14ac:dyDescent="0.25">
      <c r="A521">
        <v>20181001</v>
      </c>
      <c r="B521" t="str">
        <f>"126195"</f>
        <v>126195</v>
      </c>
      <c r="C521" t="s">
        <v>406</v>
      </c>
      <c r="D521" s="3">
        <v>187.15</v>
      </c>
      <c r="E521" t="s">
        <v>258</v>
      </c>
      <c r="F521" t="s">
        <v>215</v>
      </c>
    </row>
    <row r="522" spans="1:6" x14ac:dyDescent="0.25">
      <c r="A522">
        <v>20181001</v>
      </c>
      <c r="B522" t="str">
        <f>"126195"</f>
        <v>126195</v>
      </c>
      <c r="C522" t="s">
        <v>406</v>
      </c>
      <c r="D522" s="3">
        <v>169.35</v>
      </c>
      <c r="E522" t="s">
        <v>258</v>
      </c>
      <c r="F522" t="s">
        <v>215</v>
      </c>
    </row>
    <row r="523" spans="1:6" x14ac:dyDescent="0.25">
      <c r="A523">
        <v>20181001</v>
      </c>
      <c r="B523" t="str">
        <f>"126195"</f>
        <v>126195</v>
      </c>
      <c r="C523" t="s">
        <v>406</v>
      </c>
      <c r="D523" s="3">
        <v>429.65</v>
      </c>
      <c r="E523" t="s">
        <v>258</v>
      </c>
      <c r="F523" t="s">
        <v>215</v>
      </c>
    </row>
    <row r="524" spans="1:6" x14ac:dyDescent="0.25">
      <c r="A524">
        <v>20181001</v>
      </c>
      <c r="B524" t="str">
        <f>"126195"</f>
        <v>126195</v>
      </c>
      <c r="C524" t="s">
        <v>406</v>
      </c>
      <c r="D524" s="3">
        <v>267.35000000000002</v>
      </c>
      <c r="E524" t="s">
        <v>258</v>
      </c>
      <c r="F524" t="s">
        <v>215</v>
      </c>
    </row>
    <row r="525" spans="1:6" x14ac:dyDescent="0.25">
      <c r="A525">
        <v>20181001</v>
      </c>
      <c r="B525" t="str">
        <f>"126195"</f>
        <v>126195</v>
      </c>
      <c r="C525" t="s">
        <v>406</v>
      </c>
      <c r="D525" s="3">
        <v>289.14999999999998</v>
      </c>
      <c r="E525" t="s">
        <v>258</v>
      </c>
      <c r="F525" t="s">
        <v>215</v>
      </c>
    </row>
    <row r="526" spans="1:6" x14ac:dyDescent="0.25">
      <c r="A526">
        <v>20181001</v>
      </c>
      <c r="B526" t="str">
        <f>"126195"</f>
        <v>126195</v>
      </c>
      <c r="C526" t="s">
        <v>406</v>
      </c>
      <c r="D526" s="3">
        <v>158.69999999999999</v>
      </c>
      <c r="E526" t="s">
        <v>258</v>
      </c>
      <c r="F526" t="s">
        <v>215</v>
      </c>
    </row>
    <row r="527" spans="1:6" x14ac:dyDescent="0.25">
      <c r="A527">
        <v>20181001</v>
      </c>
      <c r="B527" t="str">
        <f>"126195"</f>
        <v>126195</v>
      </c>
      <c r="C527" t="s">
        <v>406</v>
      </c>
      <c r="D527" s="3">
        <v>233.6</v>
      </c>
      <c r="E527" t="s">
        <v>315</v>
      </c>
      <c r="F527" t="s">
        <v>215</v>
      </c>
    </row>
    <row r="528" spans="1:6" x14ac:dyDescent="0.25">
      <c r="A528">
        <v>20181001</v>
      </c>
      <c r="B528" t="str">
        <f>"126195"</f>
        <v>126195</v>
      </c>
      <c r="C528" t="s">
        <v>406</v>
      </c>
      <c r="D528" s="3">
        <v>213.55</v>
      </c>
      <c r="E528" t="s">
        <v>258</v>
      </c>
      <c r="F528" t="s">
        <v>215</v>
      </c>
    </row>
    <row r="529" spans="1:6" x14ac:dyDescent="0.25">
      <c r="A529">
        <v>20181001</v>
      </c>
      <c r="B529" t="str">
        <f>"126195"</f>
        <v>126195</v>
      </c>
      <c r="C529" t="s">
        <v>406</v>
      </c>
      <c r="D529" s="3">
        <v>314.8</v>
      </c>
      <c r="E529" t="s">
        <v>408</v>
      </c>
      <c r="F529" t="s">
        <v>215</v>
      </c>
    </row>
    <row r="530" spans="1:6" x14ac:dyDescent="0.25">
      <c r="A530">
        <v>20181001</v>
      </c>
      <c r="B530" t="str">
        <f>"126196"</f>
        <v>126196</v>
      </c>
      <c r="C530" t="s">
        <v>409</v>
      </c>
      <c r="D530" s="3">
        <v>153</v>
      </c>
      <c r="E530" t="s">
        <v>410</v>
      </c>
      <c r="F530" t="s">
        <v>192</v>
      </c>
    </row>
    <row r="531" spans="1:6" x14ac:dyDescent="0.25">
      <c r="A531">
        <v>20181001</v>
      </c>
      <c r="B531" t="str">
        <f>"126197"</f>
        <v>126197</v>
      </c>
      <c r="C531" t="s">
        <v>411</v>
      </c>
      <c r="D531" s="3">
        <v>1000</v>
      </c>
      <c r="E531" t="s">
        <v>412</v>
      </c>
      <c r="F531" t="s">
        <v>192</v>
      </c>
    </row>
    <row r="532" spans="1:6" x14ac:dyDescent="0.25">
      <c r="A532">
        <v>20181001</v>
      </c>
      <c r="B532" t="str">
        <f>"126197"</f>
        <v>126197</v>
      </c>
      <c r="C532" t="s">
        <v>411</v>
      </c>
      <c r="D532" s="3">
        <v>2600</v>
      </c>
      <c r="E532" t="s">
        <v>412</v>
      </c>
      <c r="F532" t="s">
        <v>413</v>
      </c>
    </row>
    <row r="533" spans="1:6" x14ac:dyDescent="0.25">
      <c r="A533">
        <v>20181001</v>
      </c>
      <c r="B533" t="str">
        <f>"126198"</f>
        <v>126198</v>
      </c>
      <c r="C533" t="s">
        <v>414</v>
      </c>
      <c r="D533" s="3">
        <v>200</v>
      </c>
      <c r="E533" t="s">
        <v>415</v>
      </c>
      <c r="F533" t="s">
        <v>192</v>
      </c>
    </row>
    <row r="534" spans="1:6" x14ac:dyDescent="0.25">
      <c r="A534">
        <v>20181001</v>
      </c>
      <c r="B534" t="str">
        <f>"126199"</f>
        <v>126199</v>
      </c>
      <c r="C534" t="s">
        <v>416</v>
      </c>
      <c r="D534" s="3">
        <v>1589.64</v>
      </c>
      <c r="E534" t="s">
        <v>28</v>
      </c>
      <c r="F534" t="s">
        <v>192</v>
      </c>
    </row>
    <row r="535" spans="1:6" x14ac:dyDescent="0.25">
      <c r="A535">
        <v>20181001</v>
      </c>
      <c r="B535" t="str">
        <f>"126200"</f>
        <v>126200</v>
      </c>
      <c r="C535" t="s">
        <v>417</v>
      </c>
      <c r="D535" s="3">
        <v>86.35</v>
      </c>
      <c r="E535" t="s">
        <v>28</v>
      </c>
      <c r="F535" t="s">
        <v>192</v>
      </c>
    </row>
    <row r="536" spans="1:6" x14ac:dyDescent="0.25">
      <c r="A536">
        <v>20181001</v>
      </c>
      <c r="B536" t="str">
        <f>"126201"</f>
        <v>126201</v>
      </c>
      <c r="C536" t="s">
        <v>418</v>
      </c>
      <c r="D536" s="3">
        <v>200</v>
      </c>
      <c r="E536" t="s">
        <v>365</v>
      </c>
      <c r="F536" t="s">
        <v>192</v>
      </c>
    </row>
    <row r="537" spans="1:6" x14ac:dyDescent="0.25">
      <c r="A537">
        <v>20181001</v>
      </c>
      <c r="B537" t="str">
        <f>"126203"</f>
        <v>126203</v>
      </c>
      <c r="C537" t="s">
        <v>419</v>
      </c>
      <c r="D537" s="3">
        <v>152.55000000000001</v>
      </c>
      <c r="E537" t="s">
        <v>28</v>
      </c>
      <c r="F537" t="s">
        <v>192</v>
      </c>
    </row>
    <row r="538" spans="1:6" x14ac:dyDescent="0.25">
      <c r="A538">
        <v>20181001</v>
      </c>
      <c r="B538" t="str">
        <f>"126204"</f>
        <v>126204</v>
      </c>
      <c r="C538" t="s">
        <v>420</v>
      </c>
      <c r="D538" s="3">
        <v>27000</v>
      </c>
      <c r="E538" t="s">
        <v>421</v>
      </c>
      <c r="F538" t="s">
        <v>192</v>
      </c>
    </row>
    <row r="539" spans="1:6" x14ac:dyDescent="0.25">
      <c r="A539">
        <v>20181001</v>
      </c>
      <c r="B539" t="str">
        <f>"126204"</f>
        <v>126204</v>
      </c>
      <c r="C539" t="s">
        <v>420</v>
      </c>
      <c r="D539" s="3">
        <v>36301</v>
      </c>
      <c r="E539" t="s">
        <v>421</v>
      </c>
      <c r="F539" t="s">
        <v>192</v>
      </c>
    </row>
    <row r="540" spans="1:6" x14ac:dyDescent="0.25">
      <c r="A540">
        <v>20181001</v>
      </c>
      <c r="B540" t="str">
        <f>"126204"</f>
        <v>126204</v>
      </c>
      <c r="C540" t="s">
        <v>420</v>
      </c>
      <c r="D540" s="3">
        <v>276957</v>
      </c>
      <c r="E540" t="s">
        <v>421</v>
      </c>
      <c r="F540" t="s">
        <v>192</v>
      </c>
    </row>
    <row r="541" spans="1:6" x14ac:dyDescent="0.25">
      <c r="A541">
        <v>20181001</v>
      </c>
      <c r="B541" t="str">
        <f>"126205"</f>
        <v>126205</v>
      </c>
      <c r="C541" t="s">
        <v>422</v>
      </c>
      <c r="D541" s="3">
        <v>334</v>
      </c>
      <c r="E541" t="s">
        <v>28</v>
      </c>
      <c r="F541" t="s">
        <v>192</v>
      </c>
    </row>
    <row r="542" spans="1:6" x14ac:dyDescent="0.25">
      <c r="A542">
        <v>20181001</v>
      </c>
      <c r="B542" t="str">
        <f>"126206"</f>
        <v>126206</v>
      </c>
      <c r="C542" t="s">
        <v>49</v>
      </c>
      <c r="D542" s="3">
        <v>167.5</v>
      </c>
      <c r="E542" t="s">
        <v>114</v>
      </c>
      <c r="F542" t="s">
        <v>192</v>
      </c>
    </row>
    <row r="543" spans="1:6" x14ac:dyDescent="0.25">
      <c r="A543">
        <v>20181001</v>
      </c>
      <c r="B543" t="str">
        <f>"126207"</f>
        <v>126207</v>
      </c>
      <c r="C543" t="s">
        <v>423</v>
      </c>
      <c r="D543" s="3">
        <v>10.65</v>
      </c>
      <c r="E543" t="s">
        <v>342</v>
      </c>
      <c r="F543" t="s">
        <v>215</v>
      </c>
    </row>
    <row r="544" spans="1:6" x14ac:dyDescent="0.25">
      <c r="A544">
        <v>20181001</v>
      </c>
      <c r="B544" t="str">
        <f>"126208"</f>
        <v>126208</v>
      </c>
      <c r="C544" t="s">
        <v>424</v>
      </c>
      <c r="D544" s="3">
        <v>72</v>
      </c>
      <c r="E544" t="s">
        <v>235</v>
      </c>
      <c r="F544" t="s">
        <v>192</v>
      </c>
    </row>
    <row r="545" spans="1:6" x14ac:dyDescent="0.25">
      <c r="A545">
        <v>20181001</v>
      </c>
      <c r="B545" t="str">
        <f>"126209"</f>
        <v>126209</v>
      </c>
      <c r="C545" t="s">
        <v>425</v>
      </c>
      <c r="D545" s="3">
        <v>8250</v>
      </c>
      <c r="E545" t="s">
        <v>426</v>
      </c>
      <c r="F545" t="s">
        <v>427</v>
      </c>
    </row>
    <row r="546" spans="1:6" x14ac:dyDescent="0.25">
      <c r="A546">
        <v>20181001</v>
      </c>
      <c r="B546" t="str">
        <f>"126210"</f>
        <v>126210</v>
      </c>
      <c r="C546" t="s">
        <v>428</v>
      </c>
      <c r="D546" s="3">
        <v>669</v>
      </c>
      <c r="E546" t="s">
        <v>267</v>
      </c>
      <c r="F546" t="s">
        <v>192</v>
      </c>
    </row>
    <row r="547" spans="1:6" x14ac:dyDescent="0.25">
      <c r="A547">
        <v>20181001</v>
      </c>
      <c r="B547" t="str">
        <f>"126210"</f>
        <v>126210</v>
      </c>
      <c r="C547" t="s">
        <v>428</v>
      </c>
      <c r="D547" s="3">
        <v>1338</v>
      </c>
      <c r="E547" t="s">
        <v>267</v>
      </c>
      <c r="F547" t="s">
        <v>192</v>
      </c>
    </row>
    <row r="548" spans="1:6" x14ac:dyDescent="0.25">
      <c r="A548">
        <v>20181001</v>
      </c>
      <c r="B548" t="str">
        <f>"126210"</f>
        <v>126210</v>
      </c>
      <c r="C548" t="s">
        <v>428</v>
      </c>
      <c r="D548" s="3">
        <v>669</v>
      </c>
      <c r="E548" t="s">
        <v>267</v>
      </c>
      <c r="F548" t="s">
        <v>192</v>
      </c>
    </row>
    <row r="549" spans="1:6" x14ac:dyDescent="0.25">
      <c r="A549">
        <v>20181001</v>
      </c>
      <c r="B549" t="str">
        <f>"126210"</f>
        <v>126210</v>
      </c>
      <c r="C549" t="s">
        <v>428</v>
      </c>
      <c r="D549" s="3">
        <v>669</v>
      </c>
      <c r="E549" t="s">
        <v>267</v>
      </c>
      <c r="F549" t="s">
        <v>192</v>
      </c>
    </row>
    <row r="550" spans="1:6" x14ac:dyDescent="0.25">
      <c r="A550">
        <v>20181001</v>
      </c>
      <c r="B550" t="str">
        <f>"126210"</f>
        <v>126210</v>
      </c>
      <c r="C550" t="s">
        <v>428</v>
      </c>
      <c r="D550" s="3">
        <v>669</v>
      </c>
      <c r="E550" t="s">
        <v>267</v>
      </c>
      <c r="F550" t="s">
        <v>192</v>
      </c>
    </row>
    <row r="551" spans="1:6" x14ac:dyDescent="0.25">
      <c r="A551">
        <v>20181001</v>
      </c>
      <c r="B551" t="str">
        <f>"126210"</f>
        <v>126210</v>
      </c>
      <c r="C551" t="s">
        <v>428</v>
      </c>
      <c r="D551" s="3">
        <v>669</v>
      </c>
      <c r="E551" t="s">
        <v>267</v>
      </c>
      <c r="F551" t="s">
        <v>192</v>
      </c>
    </row>
    <row r="552" spans="1:6" x14ac:dyDescent="0.25">
      <c r="A552">
        <v>20181001</v>
      </c>
      <c r="B552" t="str">
        <f>"126210"</f>
        <v>126210</v>
      </c>
      <c r="C552" t="s">
        <v>428</v>
      </c>
      <c r="D552" s="3">
        <v>669</v>
      </c>
      <c r="E552" t="s">
        <v>267</v>
      </c>
      <c r="F552" t="s">
        <v>192</v>
      </c>
    </row>
    <row r="553" spans="1:6" x14ac:dyDescent="0.25">
      <c r="A553">
        <v>20181001</v>
      </c>
      <c r="B553" t="str">
        <f>"126210"</f>
        <v>126210</v>
      </c>
      <c r="C553" t="s">
        <v>428</v>
      </c>
      <c r="D553" s="3">
        <v>669</v>
      </c>
      <c r="E553" t="s">
        <v>267</v>
      </c>
      <c r="F553" t="s">
        <v>192</v>
      </c>
    </row>
    <row r="554" spans="1:6" x14ac:dyDescent="0.25">
      <c r="A554">
        <v>20181001</v>
      </c>
      <c r="B554" t="str">
        <f>"126210"</f>
        <v>126210</v>
      </c>
      <c r="C554" t="s">
        <v>428</v>
      </c>
      <c r="D554" s="3">
        <v>669</v>
      </c>
      <c r="E554" t="s">
        <v>267</v>
      </c>
      <c r="F554" t="s">
        <v>192</v>
      </c>
    </row>
    <row r="555" spans="1:6" x14ac:dyDescent="0.25">
      <c r="A555">
        <v>20181001</v>
      </c>
      <c r="B555" t="str">
        <f>"126210"</f>
        <v>126210</v>
      </c>
      <c r="C555" t="s">
        <v>428</v>
      </c>
      <c r="D555" s="3">
        <v>669</v>
      </c>
      <c r="E555" t="s">
        <v>267</v>
      </c>
      <c r="F555" t="s">
        <v>192</v>
      </c>
    </row>
    <row r="556" spans="1:6" x14ac:dyDescent="0.25">
      <c r="A556">
        <v>20181001</v>
      </c>
      <c r="B556" t="str">
        <f>"126210"</f>
        <v>126210</v>
      </c>
      <c r="C556" t="s">
        <v>428</v>
      </c>
      <c r="D556" s="3">
        <v>2676</v>
      </c>
      <c r="E556" t="s">
        <v>267</v>
      </c>
      <c r="F556" t="s">
        <v>413</v>
      </c>
    </row>
    <row r="557" spans="1:6" x14ac:dyDescent="0.25">
      <c r="A557">
        <v>20181001</v>
      </c>
      <c r="B557" t="str">
        <f>"126210"</f>
        <v>126210</v>
      </c>
      <c r="C557" t="s">
        <v>428</v>
      </c>
      <c r="D557" s="3">
        <v>669</v>
      </c>
      <c r="E557" t="s">
        <v>267</v>
      </c>
      <c r="F557" t="s">
        <v>413</v>
      </c>
    </row>
    <row r="558" spans="1:6" x14ac:dyDescent="0.25">
      <c r="A558">
        <v>20181001</v>
      </c>
      <c r="B558" t="str">
        <f>"126210"</f>
        <v>126210</v>
      </c>
      <c r="C558" t="s">
        <v>428</v>
      </c>
      <c r="D558" s="3">
        <v>1338</v>
      </c>
      <c r="E558" t="s">
        <v>267</v>
      </c>
      <c r="F558" t="s">
        <v>413</v>
      </c>
    </row>
    <row r="559" spans="1:6" x14ac:dyDescent="0.25">
      <c r="A559">
        <v>20181001</v>
      </c>
      <c r="B559" t="str">
        <f>"126210"</f>
        <v>126210</v>
      </c>
      <c r="C559" t="s">
        <v>428</v>
      </c>
      <c r="D559" s="3">
        <v>1338</v>
      </c>
      <c r="E559" t="s">
        <v>267</v>
      </c>
      <c r="F559" t="s">
        <v>413</v>
      </c>
    </row>
    <row r="560" spans="1:6" x14ac:dyDescent="0.25">
      <c r="A560">
        <v>20181001</v>
      </c>
      <c r="B560" t="str">
        <f>"126210"</f>
        <v>126210</v>
      </c>
      <c r="C560" t="s">
        <v>428</v>
      </c>
      <c r="D560" s="3">
        <v>669</v>
      </c>
      <c r="E560" t="s">
        <v>267</v>
      </c>
      <c r="F560" t="s">
        <v>413</v>
      </c>
    </row>
    <row r="561" spans="1:6" x14ac:dyDescent="0.25">
      <c r="A561">
        <v>20181001</v>
      </c>
      <c r="B561" t="str">
        <f>"126210"</f>
        <v>126210</v>
      </c>
      <c r="C561" t="s">
        <v>428</v>
      </c>
      <c r="D561" s="3">
        <v>1338</v>
      </c>
      <c r="E561" t="s">
        <v>267</v>
      </c>
      <c r="F561" t="s">
        <v>413</v>
      </c>
    </row>
    <row r="562" spans="1:6" x14ac:dyDescent="0.25">
      <c r="A562">
        <v>20181001</v>
      </c>
      <c r="B562" t="str">
        <f>"126210"</f>
        <v>126210</v>
      </c>
      <c r="C562" t="s">
        <v>428</v>
      </c>
      <c r="D562" s="3">
        <v>1338</v>
      </c>
      <c r="E562" t="s">
        <v>267</v>
      </c>
      <c r="F562" t="s">
        <v>413</v>
      </c>
    </row>
    <row r="563" spans="1:6" x14ac:dyDescent="0.25">
      <c r="A563">
        <v>20181001</v>
      </c>
      <c r="B563" t="str">
        <f>"126210"</f>
        <v>126210</v>
      </c>
      <c r="C563" t="s">
        <v>428</v>
      </c>
      <c r="D563" s="3">
        <v>1338</v>
      </c>
      <c r="E563" t="s">
        <v>267</v>
      </c>
      <c r="F563" t="s">
        <v>413</v>
      </c>
    </row>
    <row r="564" spans="1:6" x14ac:dyDescent="0.25">
      <c r="A564">
        <v>20181001</v>
      </c>
      <c r="B564" t="str">
        <f>"126210"</f>
        <v>126210</v>
      </c>
      <c r="C564" t="s">
        <v>428</v>
      </c>
      <c r="D564" s="3">
        <v>49.95</v>
      </c>
      <c r="E564" t="s">
        <v>28</v>
      </c>
      <c r="F564" t="s">
        <v>192</v>
      </c>
    </row>
    <row r="565" spans="1:6" x14ac:dyDescent="0.25">
      <c r="A565">
        <v>20181001</v>
      </c>
      <c r="B565" t="str">
        <f>"126211"</f>
        <v>126211</v>
      </c>
      <c r="C565" t="s">
        <v>53</v>
      </c>
      <c r="D565" s="3">
        <v>179.52</v>
      </c>
      <c r="E565" t="s">
        <v>429</v>
      </c>
      <c r="F565" t="s">
        <v>192</v>
      </c>
    </row>
    <row r="566" spans="1:6" x14ac:dyDescent="0.25">
      <c r="A566">
        <v>20181001</v>
      </c>
      <c r="B566" t="str">
        <f>"126211"</f>
        <v>126211</v>
      </c>
      <c r="C566" t="s">
        <v>53</v>
      </c>
      <c r="D566" s="3">
        <v>119.68</v>
      </c>
      <c r="E566" t="s">
        <v>430</v>
      </c>
      <c r="F566" t="s">
        <v>192</v>
      </c>
    </row>
    <row r="567" spans="1:6" x14ac:dyDescent="0.25">
      <c r="A567">
        <v>20181001</v>
      </c>
      <c r="B567" t="str">
        <f>"126211"</f>
        <v>126211</v>
      </c>
      <c r="C567" t="s">
        <v>53</v>
      </c>
      <c r="D567" s="3">
        <v>418.88</v>
      </c>
      <c r="E567" t="s">
        <v>75</v>
      </c>
      <c r="F567" t="s">
        <v>192</v>
      </c>
    </row>
    <row r="568" spans="1:6" x14ac:dyDescent="0.25">
      <c r="A568">
        <v>20181001</v>
      </c>
      <c r="B568" t="str">
        <f>"126212"</f>
        <v>126212</v>
      </c>
      <c r="C568" t="s">
        <v>431</v>
      </c>
      <c r="D568" s="3">
        <v>121.44</v>
      </c>
      <c r="E568" t="s">
        <v>208</v>
      </c>
      <c r="F568" t="s">
        <v>192</v>
      </c>
    </row>
    <row r="569" spans="1:6" x14ac:dyDescent="0.25">
      <c r="A569">
        <v>20181001</v>
      </c>
      <c r="B569" t="str">
        <f>"126213"</f>
        <v>126213</v>
      </c>
      <c r="C569" t="s">
        <v>432</v>
      </c>
      <c r="D569" s="3">
        <v>940</v>
      </c>
      <c r="E569" t="s">
        <v>67</v>
      </c>
      <c r="F569" t="s">
        <v>198</v>
      </c>
    </row>
    <row r="570" spans="1:6" x14ac:dyDescent="0.25">
      <c r="A570">
        <v>20181001</v>
      </c>
      <c r="B570" t="str">
        <f>"126213"</f>
        <v>126213</v>
      </c>
      <c r="C570" t="s">
        <v>432</v>
      </c>
      <c r="D570" s="3">
        <v>425</v>
      </c>
      <c r="E570" t="s">
        <v>67</v>
      </c>
      <c r="F570" t="s">
        <v>198</v>
      </c>
    </row>
    <row r="571" spans="1:6" x14ac:dyDescent="0.25">
      <c r="A571">
        <v>20181001</v>
      </c>
      <c r="B571" t="str">
        <f>"126214"</f>
        <v>126214</v>
      </c>
      <c r="C571" t="s">
        <v>433</v>
      </c>
      <c r="D571" s="3">
        <v>40</v>
      </c>
      <c r="E571" t="s">
        <v>434</v>
      </c>
      <c r="F571" t="s">
        <v>215</v>
      </c>
    </row>
    <row r="572" spans="1:6" x14ac:dyDescent="0.25">
      <c r="A572">
        <v>20181001</v>
      </c>
      <c r="B572" t="str">
        <f>"126215"</f>
        <v>126215</v>
      </c>
      <c r="C572" t="s">
        <v>435</v>
      </c>
      <c r="D572" s="3">
        <v>3000</v>
      </c>
      <c r="E572" t="s">
        <v>436</v>
      </c>
      <c r="F572" t="s">
        <v>198</v>
      </c>
    </row>
    <row r="573" spans="1:6" x14ac:dyDescent="0.25">
      <c r="A573">
        <v>20181001</v>
      </c>
      <c r="B573" t="str">
        <f>"126216"</f>
        <v>126216</v>
      </c>
      <c r="C573" t="s">
        <v>437</v>
      </c>
      <c r="D573" s="3">
        <v>535.5</v>
      </c>
      <c r="E573" t="s">
        <v>114</v>
      </c>
      <c r="F573" t="s">
        <v>192</v>
      </c>
    </row>
    <row r="574" spans="1:6" x14ac:dyDescent="0.25">
      <c r="A574">
        <v>20181001</v>
      </c>
      <c r="B574" t="str">
        <f>"126216"</f>
        <v>126216</v>
      </c>
      <c r="C574" t="s">
        <v>437</v>
      </c>
      <c r="D574" s="3">
        <v>627.29999999999995</v>
      </c>
      <c r="E574" t="s">
        <v>28</v>
      </c>
      <c r="F574" t="s">
        <v>192</v>
      </c>
    </row>
    <row r="575" spans="1:6" x14ac:dyDescent="0.25">
      <c r="A575">
        <v>20181001</v>
      </c>
      <c r="B575" t="str">
        <f>"126216"</f>
        <v>126216</v>
      </c>
      <c r="C575" t="s">
        <v>437</v>
      </c>
      <c r="D575" s="3">
        <v>650.25</v>
      </c>
      <c r="E575" t="s">
        <v>28</v>
      </c>
      <c r="F575" t="s">
        <v>192</v>
      </c>
    </row>
    <row r="576" spans="1:6" x14ac:dyDescent="0.25">
      <c r="A576">
        <v>20181001</v>
      </c>
      <c r="B576" t="str">
        <f>"126217"</f>
        <v>126217</v>
      </c>
      <c r="C576" t="s">
        <v>438</v>
      </c>
      <c r="D576" s="3">
        <v>300</v>
      </c>
      <c r="E576" t="s">
        <v>114</v>
      </c>
      <c r="F576" t="s">
        <v>192</v>
      </c>
    </row>
    <row r="577" spans="1:6" x14ac:dyDescent="0.25">
      <c r="A577">
        <v>20181001</v>
      </c>
      <c r="B577" t="str">
        <f>"126218"</f>
        <v>126218</v>
      </c>
      <c r="C577" t="s">
        <v>439</v>
      </c>
      <c r="D577" s="3">
        <v>750</v>
      </c>
      <c r="E577" t="s">
        <v>440</v>
      </c>
      <c r="F577" t="s">
        <v>192</v>
      </c>
    </row>
    <row r="578" spans="1:6" x14ac:dyDescent="0.25">
      <c r="A578">
        <v>20181001</v>
      </c>
      <c r="B578" t="str">
        <f>"126219"</f>
        <v>126219</v>
      </c>
      <c r="C578" t="s">
        <v>441</v>
      </c>
      <c r="D578" s="3">
        <v>470</v>
      </c>
      <c r="E578" t="s">
        <v>442</v>
      </c>
      <c r="F578" t="s">
        <v>192</v>
      </c>
    </row>
    <row r="579" spans="1:6" x14ac:dyDescent="0.25">
      <c r="A579">
        <v>20181001</v>
      </c>
      <c r="B579" t="str">
        <f>"126220"</f>
        <v>126220</v>
      </c>
      <c r="C579" t="s">
        <v>443</v>
      </c>
      <c r="D579" s="3">
        <v>385.64</v>
      </c>
      <c r="E579" t="s">
        <v>444</v>
      </c>
      <c r="F579" t="s">
        <v>192</v>
      </c>
    </row>
    <row r="580" spans="1:6" x14ac:dyDescent="0.25">
      <c r="A580">
        <v>20181001</v>
      </c>
      <c r="B580" t="str">
        <f>"126221"</f>
        <v>126221</v>
      </c>
      <c r="C580" t="s">
        <v>445</v>
      </c>
      <c r="D580" s="3">
        <v>295</v>
      </c>
      <c r="E580" t="s">
        <v>267</v>
      </c>
      <c r="F580" t="s">
        <v>192</v>
      </c>
    </row>
    <row r="581" spans="1:6" x14ac:dyDescent="0.25">
      <c r="A581">
        <v>20181001</v>
      </c>
      <c r="B581" t="str">
        <f>"126222"</f>
        <v>126222</v>
      </c>
      <c r="C581" t="s">
        <v>97</v>
      </c>
      <c r="D581" s="3">
        <v>85</v>
      </c>
      <c r="E581" t="s">
        <v>446</v>
      </c>
      <c r="F581" t="s">
        <v>192</v>
      </c>
    </row>
    <row r="582" spans="1:6" x14ac:dyDescent="0.25">
      <c r="A582">
        <v>20181001</v>
      </c>
      <c r="B582" t="str">
        <f>"126223"</f>
        <v>126223</v>
      </c>
      <c r="C582" t="s">
        <v>447</v>
      </c>
      <c r="D582" s="3">
        <v>289</v>
      </c>
      <c r="E582" t="s">
        <v>267</v>
      </c>
      <c r="F582" t="s">
        <v>413</v>
      </c>
    </row>
    <row r="583" spans="1:6" x14ac:dyDescent="0.25">
      <c r="A583">
        <v>20181001</v>
      </c>
      <c r="B583" t="str">
        <f>"126224"</f>
        <v>126224</v>
      </c>
      <c r="C583" t="s">
        <v>448</v>
      </c>
      <c r="D583" s="3">
        <v>25</v>
      </c>
      <c r="E583" t="s">
        <v>267</v>
      </c>
      <c r="F583" t="s">
        <v>413</v>
      </c>
    </row>
    <row r="584" spans="1:6" x14ac:dyDescent="0.25">
      <c r="A584">
        <v>20181001</v>
      </c>
      <c r="B584" t="str">
        <f>"126225"</f>
        <v>126225</v>
      </c>
      <c r="C584" t="s">
        <v>449</v>
      </c>
      <c r="D584" s="3">
        <v>66.31</v>
      </c>
      <c r="E584" t="s">
        <v>450</v>
      </c>
      <c r="F584" t="s">
        <v>192</v>
      </c>
    </row>
    <row r="585" spans="1:6" x14ac:dyDescent="0.25">
      <c r="A585">
        <v>20181001</v>
      </c>
      <c r="B585" t="str">
        <f>"126225"</f>
        <v>126225</v>
      </c>
      <c r="C585" t="s">
        <v>449</v>
      </c>
      <c r="D585" s="3">
        <v>75.989999999999995</v>
      </c>
      <c r="E585" t="s">
        <v>114</v>
      </c>
      <c r="F585" t="s">
        <v>192</v>
      </c>
    </row>
    <row r="586" spans="1:6" x14ac:dyDescent="0.25">
      <c r="A586">
        <v>20181001</v>
      </c>
      <c r="B586" t="str">
        <f>"126225"</f>
        <v>126225</v>
      </c>
      <c r="C586" t="s">
        <v>449</v>
      </c>
      <c r="D586" s="3">
        <v>122.85</v>
      </c>
      <c r="E586" t="s">
        <v>451</v>
      </c>
      <c r="F586" t="s">
        <v>192</v>
      </c>
    </row>
    <row r="587" spans="1:6" x14ac:dyDescent="0.25">
      <c r="A587">
        <v>20181001</v>
      </c>
      <c r="B587" t="str">
        <f>"126226"</f>
        <v>126226</v>
      </c>
      <c r="C587" t="s">
        <v>452</v>
      </c>
      <c r="D587" s="3">
        <v>14000</v>
      </c>
      <c r="E587" t="s">
        <v>453</v>
      </c>
      <c r="F587" t="s">
        <v>192</v>
      </c>
    </row>
    <row r="588" spans="1:6" x14ac:dyDescent="0.25">
      <c r="A588">
        <v>20181001</v>
      </c>
      <c r="B588" t="str">
        <f>"126227"</f>
        <v>126227</v>
      </c>
      <c r="C588" t="s">
        <v>454</v>
      </c>
      <c r="D588" s="3">
        <v>386</v>
      </c>
      <c r="E588" t="s">
        <v>455</v>
      </c>
      <c r="F588" t="s">
        <v>192</v>
      </c>
    </row>
    <row r="589" spans="1:6" x14ac:dyDescent="0.25">
      <c r="A589">
        <v>20181001</v>
      </c>
      <c r="B589" t="str">
        <f>"126228"</f>
        <v>126228</v>
      </c>
      <c r="C589" t="s">
        <v>454</v>
      </c>
      <c r="D589" s="3">
        <v>359</v>
      </c>
      <c r="E589" t="s">
        <v>456</v>
      </c>
      <c r="F589" t="s">
        <v>413</v>
      </c>
    </row>
    <row r="590" spans="1:6" x14ac:dyDescent="0.25">
      <c r="A590">
        <v>20181001</v>
      </c>
      <c r="B590" t="str">
        <f>"126229"</f>
        <v>126229</v>
      </c>
      <c r="C590" t="s">
        <v>454</v>
      </c>
      <c r="D590" s="3">
        <v>336</v>
      </c>
      <c r="E590" t="s">
        <v>457</v>
      </c>
      <c r="F590" t="s">
        <v>192</v>
      </c>
    </row>
    <row r="591" spans="1:6" x14ac:dyDescent="0.25">
      <c r="A591">
        <v>20181001</v>
      </c>
      <c r="B591" t="str">
        <f>"126230"</f>
        <v>126230</v>
      </c>
      <c r="C591" t="s">
        <v>454</v>
      </c>
      <c r="D591" s="3">
        <v>336</v>
      </c>
      <c r="E591" t="s">
        <v>446</v>
      </c>
      <c r="F591" t="s">
        <v>192</v>
      </c>
    </row>
    <row r="592" spans="1:6" x14ac:dyDescent="0.25">
      <c r="A592">
        <v>20181001</v>
      </c>
      <c r="B592" t="str">
        <f>"126231"</f>
        <v>126231</v>
      </c>
      <c r="C592" t="s">
        <v>454</v>
      </c>
      <c r="D592" s="3">
        <v>336</v>
      </c>
      <c r="E592" t="s">
        <v>455</v>
      </c>
      <c r="F592" t="s">
        <v>192</v>
      </c>
    </row>
    <row r="593" spans="1:6" x14ac:dyDescent="0.25">
      <c r="A593">
        <v>20181001</v>
      </c>
      <c r="B593" t="str">
        <f>"126232"</f>
        <v>126232</v>
      </c>
      <c r="C593" t="s">
        <v>458</v>
      </c>
      <c r="D593" s="3">
        <v>600</v>
      </c>
      <c r="E593" t="s">
        <v>67</v>
      </c>
      <c r="F593" t="s">
        <v>198</v>
      </c>
    </row>
    <row r="594" spans="1:6" x14ac:dyDescent="0.25">
      <c r="A594">
        <v>20181001</v>
      </c>
      <c r="B594" t="str">
        <f>"126233"</f>
        <v>126233</v>
      </c>
      <c r="C594" t="s">
        <v>459</v>
      </c>
      <c r="D594" s="3">
        <v>270</v>
      </c>
      <c r="E594" t="s">
        <v>267</v>
      </c>
      <c r="F594" t="s">
        <v>192</v>
      </c>
    </row>
    <row r="595" spans="1:6" x14ac:dyDescent="0.25">
      <c r="A595">
        <v>20181001</v>
      </c>
      <c r="B595" t="str">
        <f>"126234"</f>
        <v>126234</v>
      </c>
      <c r="C595" t="s">
        <v>460</v>
      </c>
      <c r="D595" s="3">
        <v>228</v>
      </c>
      <c r="E595" t="s">
        <v>28</v>
      </c>
      <c r="F595" t="s">
        <v>195</v>
      </c>
    </row>
    <row r="596" spans="1:6" x14ac:dyDescent="0.25">
      <c r="A596">
        <v>20181001</v>
      </c>
      <c r="B596" t="str">
        <f>"126234"</f>
        <v>126234</v>
      </c>
      <c r="C596" t="s">
        <v>460</v>
      </c>
      <c r="D596" s="3">
        <v>242</v>
      </c>
      <c r="E596" t="s">
        <v>28</v>
      </c>
      <c r="F596" t="s">
        <v>195</v>
      </c>
    </row>
    <row r="597" spans="1:6" x14ac:dyDescent="0.25">
      <c r="A597">
        <v>20181001</v>
      </c>
      <c r="B597" t="str">
        <f>"126234"</f>
        <v>126234</v>
      </c>
      <c r="C597" t="s">
        <v>460</v>
      </c>
      <c r="D597" s="3">
        <v>194</v>
      </c>
      <c r="E597" t="s">
        <v>28</v>
      </c>
      <c r="F597" t="s">
        <v>195</v>
      </c>
    </row>
    <row r="598" spans="1:6" x14ac:dyDescent="0.25">
      <c r="A598">
        <v>20181001</v>
      </c>
      <c r="B598" t="str">
        <f>"126235"</f>
        <v>126235</v>
      </c>
      <c r="C598" t="s">
        <v>461</v>
      </c>
      <c r="D598" s="3">
        <v>350.95</v>
      </c>
      <c r="E598" t="s">
        <v>462</v>
      </c>
      <c r="F598" t="s">
        <v>192</v>
      </c>
    </row>
    <row r="599" spans="1:6" x14ac:dyDescent="0.25">
      <c r="A599">
        <v>20181001</v>
      </c>
      <c r="B599" t="str">
        <f>"126236"</f>
        <v>126236</v>
      </c>
      <c r="C599" t="s">
        <v>463</v>
      </c>
      <c r="D599" s="3">
        <v>4.71</v>
      </c>
      <c r="E599" t="s">
        <v>342</v>
      </c>
      <c r="F599" t="s">
        <v>215</v>
      </c>
    </row>
    <row r="600" spans="1:6" x14ac:dyDescent="0.25">
      <c r="A600">
        <v>20181001</v>
      </c>
      <c r="B600" t="str">
        <f>"126236"</f>
        <v>126236</v>
      </c>
      <c r="C600" t="s">
        <v>463</v>
      </c>
      <c r="D600" s="3">
        <v>0.52</v>
      </c>
      <c r="E600" t="s">
        <v>342</v>
      </c>
      <c r="F600" t="s">
        <v>215</v>
      </c>
    </row>
    <row r="601" spans="1:6" x14ac:dyDescent="0.25">
      <c r="A601">
        <v>20181001</v>
      </c>
      <c r="B601" t="str">
        <f>"126237"</f>
        <v>126237</v>
      </c>
      <c r="C601" t="s">
        <v>464</v>
      </c>
      <c r="D601" s="3">
        <v>40</v>
      </c>
      <c r="E601" t="s">
        <v>465</v>
      </c>
      <c r="F601" t="s">
        <v>198</v>
      </c>
    </row>
    <row r="602" spans="1:6" x14ac:dyDescent="0.25">
      <c r="A602">
        <v>20181001</v>
      </c>
      <c r="B602" t="str">
        <f>"126238"</f>
        <v>126238</v>
      </c>
      <c r="C602" t="s">
        <v>466</v>
      </c>
      <c r="D602" s="3">
        <v>42.79</v>
      </c>
      <c r="E602" t="s">
        <v>467</v>
      </c>
      <c r="F602" t="s">
        <v>192</v>
      </c>
    </row>
    <row r="603" spans="1:6" x14ac:dyDescent="0.25">
      <c r="A603">
        <v>20181001</v>
      </c>
      <c r="B603" t="str">
        <f>"126239"</f>
        <v>126239</v>
      </c>
      <c r="C603" t="s">
        <v>468</v>
      </c>
      <c r="D603" s="3">
        <v>405</v>
      </c>
      <c r="E603" t="s">
        <v>469</v>
      </c>
      <c r="F603" t="s">
        <v>192</v>
      </c>
    </row>
    <row r="604" spans="1:6" x14ac:dyDescent="0.25">
      <c r="A604">
        <v>20181001</v>
      </c>
      <c r="B604" t="str">
        <f>"126240"</f>
        <v>126240</v>
      </c>
      <c r="C604" t="s">
        <v>470</v>
      </c>
      <c r="D604" s="3">
        <v>234</v>
      </c>
      <c r="E604" t="s">
        <v>471</v>
      </c>
      <c r="F604" t="s">
        <v>192</v>
      </c>
    </row>
    <row r="605" spans="1:6" x14ac:dyDescent="0.25">
      <c r="A605">
        <v>20181001</v>
      </c>
      <c r="B605" t="str">
        <f>"126241"</f>
        <v>126241</v>
      </c>
      <c r="C605" t="s">
        <v>472</v>
      </c>
      <c r="D605" s="3">
        <v>160</v>
      </c>
      <c r="E605" t="s">
        <v>471</v>
      </c>
      <c r="F605" t="s">
        <v>192</v>
      </c>
    </row>
    <row r="606" spans="1:6" x14ac:dyDescent="0.25">
      <c r="A606">
        <v>20181001</v>
      </c>
      <c r="B606" t="str">
        <f>"126242"</f>
        <v>126242</v>
      </c>
      <c r="C606" t="s">
        <v>472</v>
      </c>
      <c r="D606" s="3">
        <v>70</v>
      </c>
      <c r="E606" t="s">
        <v>471</v>
      </c>
      <c r="F606" t="s">
        <v>192</v>
      </c>
    </row>
    <row r="607" spans="1:6" x14ac:dyDescent="0.25">
      <c r="A607">
        <v>20181001</v>
      </c>
      <c r="B607" t="str">
        <f>"126243"</f>
        <v>126243</v>
      </c>
      <c r="C607" t="s">
        <v>473</v>
      </c>
      <c r="D607" s="3">
        <v>1405.46</v>
      </c>
      <c r="E607" t="s">
        <v>475</v>
      </c>
      <c r="F607" t="s">
        <v>192</v>
      </c>
    </row>
    <row r="608" spans="1:6" x14ac:dyDescent="0.25">
      <c r="A608">
        <v>20181001</v>
      </c>
      <c r="B608" t="str">
        <f>"126243"</f>
        <v>126243</v>
      </c>
      <c r="C608" t="s">
        <v>473</v>
      </c>
      <c r="D608" s="3">
        <v>198</v>
      </c>
      <c r="E608" t="s">
        <v>474</v>
      </c>
      <c r="F608" t="s">
        <v>192</v>
      </c>
    </row>
    <row r="609" spans="1:6" x14ac:dyDescent="0.25">
      <c r="A609">
        <v>20181001</v>
      </c>
      <c r="B609" t="str">
        <f>"126244"</f>
        <v>126244</v>
      </c>
      <c r="C609" t="s">
        <v>476</v>
      </c>
      <c r="D609" s="3">
        <v>659.96</v>
      </c>
      <c r="E609" t="s">
        <v>477</v>
      </c>
      <c r="F609" t="s">
        <v>192</v>
      </c>
    </row>
    <row r="610" spans="1:6" x14ac:dyDescent="0.25">
      <c r="A610">
        <v>20181001</v>
      </c>
      <c r="B610" t="str">
        <f>"126245"</f>
        <v>126245</v>
      </c>
      <c r="C610" t="s">
        <v>478</v>
      </c>
      <c r="D610" s="3">
        <v>20740.830000000002</v>
      </c>
      <c r="E610" t="s">
        <v>479</v>
      </c>
      <c r="F610" t="s">
        <v>192</v>
      </c>
    </row>
    <row r="611" spans="1:6" x14ac:dyDescent="0.25">
      <c r="A611">
        <v>20181001</v>
      </c>
      <c r="B611" t="str">
        <f>"126246"</f>
        <v>126246</v>
      </c>
      <c r="C611" t="s">
        <v>480</v>
      </c>
      <c r="D611" s="3">
        <v>532.26</v>
      </c>
      <c r="E611" t="s">
        <v>481</v>
      </c>
      <c r="F611" t="s">
        <v>192</v>
      </c>
    </row>
    <row r="612" spans="1:6" x14ac:dyDescent="0.25">
      <c r="A612">
        <v>20181001</v>
      </c>
      <c r="B612" t="str">
        <f>"126247"</f>
        <v>126247</v>
      </c>
      <c r="C612" t="s">
        <v>482</v>
      </c>
      <c r="D612" s="3">
        <v>1996.9</v>
      </c>
      <c r="E612" t="s">
        <v>483</v>
      </c>
      <c r="F612" t="s">
        <v>192</v>
      </c>
    </row>
    <row r="613" spans="1:6" x14ac:dyDescent="0.25">
      <c r="A613">
        <v>20181001</v>
      </c>
      <c r="B613" t="str">
        <f>"126247"</f>
        <v>126247</v>
      </c>
      <c r="C613" t="s">
        <v>482</v>
      </c>
      <c r="D613" s="3">
        <v>249.65</v>
      </c>
      <c r="E613" t="s">
        <v>484</v>
      </c>
      <c r="F613" t="s">
        <v>192</v>
      </c>
    </row>
    <row r="614" spans="1:6" x14ac:dyDescent="0.25">
      <c r="A614">
        <v>20181001</v>
      </c>
      <c r="B614" t="str">
        <f>"126247"</f>
        <v>126247</v>
      </c>
      <c r="C614" t="s">
        <v>482</v>
      </c>
      <c r="D614" s="3">
        <v>35.76</v>
      </c>
      <c r="E614" t="s">
        <v>484</v>
      </c>
      <c r="F614" t="s">
        <v>192</v>
      </c>
    </row>
    <row r="615" spans="1:6" x14ac:dyDescent="0.25">
      <c r="A615">
        <v>20181001</v>
      </c>
      <c r="B615" t="str">
        <f>"126247"</f>
        <v>126247</v>
      </c>
      <c r="C615" t="s">
        <v>482</v>
      </c>
      <c r="D615" s="3">
        <v>60.93</v>
      </c>
      <c r="E615" t="s">
        <v>484</v>
      </c>
      <c r="F615" t="s">
        <v>192</v>
      </c>
    </row>
    <row r="616" spans="1:6" x14ac:dyDescent="0.25">
      <c r="A616">
        <v>20181001</v>
      </c>
      <c r="B616" t="str">
        <f>"126248"</f>
        <v>126248</v>
      </c>
      <c r="C616" t="s">
        <v>485</v>
      </c>
      <c r="D616" s="3">
        <v>108</v>
      </c>
      <c r="E616" t="s">
        <v>486</v>
      </c>
      <c r="F616" t="s">
        <v>192</v>
      </c>
    </row>
    <row r="617" spans="1:6" x14ac:dyDescent="0.25">
      <c r="A617">
        <v>20181001</v>
      </c>
      <c r="B617" t="str">
        <f>"126249"</f>
        <v>126249</v>
      </c>
      <c r="C617" t="s">
        <v>487</v>
      </c>
      <c r="D617" s="3">
        <v>81</v>
      </c>
      <c r="E617" t="s">
        <v>28</v>
      </c>
      <c r="F617" t="s">
        <v>192</v>
      </c>
    </row>
    <row r="618" spans="1:6" x14ac:dyDescent="0.25">
      <c r="A618">
        <v>20181001</v>
      </c>
      <c r="B618" t="str">
        <f>"126250"</f>
        <v>126250</v>
      </c>
      <c r="C618" t="s">
        <v>488</v>
      </c>
      <c r="D618" s="3">
        <v>326.72000000000003</v>
      </c>
      <c r="E618" t="s">
        <v>28</v>
      </c>
      <c r="F618" t="s">
        <v>192</v>
      </c>
    </row>
    <row r="619" spans="1:6" x14ac:dyDescent="0.25">
      <c r="A619">
        <v>20181001</v>
      </c>
      <c r="B619" t="str">
        <f>"126251"</f>
        <v>126251</v>
      </c>
      <c r="C619" t="s">
        <v>489</v>
      </c>
      <c r="D619" s="3">
        <v>105.05</v>
      </c>
      <c r="E619" t="s">
        <v>28</v>
      </c>
      <c r="F619" t="s">
        <v>192</v>
      </c>
    </row>
    <row r="620" spans="1:6" x14ac:dyDescent="0.25">
      <c r="A620">
        <v>20181001</v>
      </c>
      <c r="B620" t="str">
        <f>"126252"</f>
        <v>126252</v>
      </c>
      <c r="C620" t="s">
        <v>490</v>
      </c>
      <c r="D620" s="3">
        <v>7</v>
      </c>
      <c r="E620" t="s">
        <v>491</v>
      </c>
      <c r="F620" t="s">
        <v>215</v>
      </c>
    </row>
    <row r="621" spans="1:6" x14ac:dyDescent="0.25">
      <c r="A621">
        <v>20181001</v>
      </c>
      <c r="B621" t="str">
        <f>"126253"</f>
        <v>126253</v>
      </c>
      <c r="C621" t="s">
        <v>55</v>
      </c>
      <c r="D621" s="3">
        <v>69.72</v>
      </c>
      <c r="E621" t="s">
        <v>496</v>
      </c>
      <c r="F621" t="s">
        <v>215</v>
      </c>
    </row>
    <row r="622" spans="1:6" x14ac:dyDescent="0.25">
      <c r="A622">
        <v>20181001</v>
      </c>
      <c r="B622" t="str">
        <f>"126253"</f>
        <v>126253</v>
      </c>
      <c r="C622" t="s">
        <v>55</v>
      </c>
      <c r="D622" s="3">
        <v>110.47</v>
      </c>
      <c r="E622" t="s">
        <v>495</v>
      </c>
      <c r="F622" t="s">
        <v>215</v>
      </c>
    </row>
    <row r="623" spans="1:6" x14ac:dyDescent="0.25">
      <c r="A623">
        <v>20181001</v>
      </c>
      <c r="B623" t="str">
        <f>"126253"</f>
        <v>126253</v>
      </c>
      <c r="C623" t="s">
        <v>55</v>
      </c>
      <c r="D623" s="3">
        <v>49.89</v>
      </c>
      <c r="E623" t="s">
        <v>28</v>
      </c>
      <c r="F623" t="s">
        <v>192</v>
      </c>
    </row>
    <row r="624" spans="1:6" x14ac:dyDescent="0.25">
      <c r="A624">
        <v>20181001</v>
      </c>
      <c r="B624" t="str">
        <f>"126253"</f>
        <v>126253</v>
      </c>
      <c r="C624" t="s">
        <v>55</v>
      </c>
      <c r="D624" s="3">
        <v>75.22</v>
      </c>
      <c r="E624" t="s">
        <v>494</v>
      </c>
      <c r="F624" t="s">
        <v>215</v>
      </c>
    </row>
    <row r="625" spans="1:6" x14ac:dyDescent="0.25">
      <c r="A625">
        <v>20181001</v>
      </c>
      <c r="B625" t="str">
        <f>"126253"</f>
        <v>126253</v>
      </c>
      <c r="C625" t="s">
        <v>55</v>
      </c>
      <c r="D625" s="3">
        <v>152.97999999999999</v>
      </c>
      <c r="E625" t="s">
        <v>492</v>
      </c>
      <c r="F625" t="s">
        <v>192</v>
      </c>
    </row>
    <row r="626" spans="1:6" x14ac:dyDescent="0.25">
      <c r="A626">
        <v>20181001</v>
      </c>
      <c r="B626" t="str">
        <f>"126253"</f>
        <v>126253</v>
      </c>
      <c r="C626" t="s">
        <v>55</v>
      </c>
      <c r="D626" s="3">
        <v>330.02</v>
      </c>
      <c r="E626" t="s">
        <v>493</v>
      </c>
      <c r="F626" t="s">
        <v>192</v>
      </c>
    </row>
    <row r="627" spans="1:6" x14ac:dyDescent="0.25">
      <c r="A627">
        <v>20181001</v>
      </c>
      <c r="B627" t="str">
        <f>"126254"</f>
        <v>126254</v>
      </c>
      <c r="C627" t="s">
        <v>497</v>
      </c>
      <c r="D627" s="3">
        <v>720</v>
      </c>
      <c r="E627" t="s">
        <v>73</v>
      </c>
      <c r="F627" t="s">
        <v>192</v>
      </c>
    </row>
    <row r="628" spans="1:6" x14ac:dyDescent="0.25">
      <c r="A628">
        <v>20181001</v>
      </c>
      <c r="B628" t="str">
        <f>"126255"</f>
        <v>126255</v>
      </c>
      <c r="C628" t="s">
        <v>498</v>
      </c>
      <c r="D628" s="3">
        <v>318.95999999999998</v>
      </c>
      <c r="E628" t="s">
        <v>351</v>
      </c>
      <c r="F628" t="s">
        <v>192</v>
      </c>
    </row>
    <row r="629" spans="1:6" x14ac:dyDescent="0.25">
      <c r="A629">
        <v>20181001</v>
      </c>
      <c r="B629" t="str">
        <f>"126256"</f>
        <v>126256</v>
      </c>
      <c r="C629" t="s">
        <v>499</v>
      </c>
      <c r="D629" s="3">
        <v>346</v>
      </c>
      <c r="E629" t="s">
        <v>500</v>
      </c>
      <c r="F629" t="s">
        <v>192</v>
      </c>
    </row>
    <row r="630" spans="1:6" x14ac:dyDescent="0.25">
      <c r="A630">
        <v>20181001</v>
      </c>
      <c r="B630" t="str">
        <f>"126257"</f>
        <v>126257</v>
      </c>
      <c r="C630" t="s">
        <v>501</v>
      </c>
      <c r="D630" s="3">
        <v>18468</v>
      </c>
      <c r="E630" t="s">
        <v>502</v>
      </c>
      <c r="F630" t="s">
        <v>192</v>
      </c>
    </row>
    <row r="631" spans="1:6" x14ac:dyDescent="0.25">
      <c r="A631">
        <v>20181009</v>
      </c>
      <c r="B631" t="str">
        <f>"126258"</f>
        <v>126258</v>
      </c>
      <c r="C631" t="s">
        <v>503</v>
      </c>
      <c r="D631" s="3">
        <v>3945.15</v>
      </c>
      <c r="E631" t="s">
        <v>241</v>
      </c>
      <c r="F631" t="s">
        <v>192</v>
      </c>
    </row>
    <row r="632" spans="1:6" x14ac:dyDescent="0.25">
      <c r="A632">
        <v>20181009</v>
      </c>
      <c r="B632" t="str">
        <f>"126259"</f>
        <v>126259</v>
      </c>
      <c r="C632" t="s">
        <v>504</v>
      </c>
      <c r="D632" s="3">
        <v>3082.73</v>
      </c>
      <c r="E632" t="s">
        <v>241</v>
      </c>
      <c r="F632" t="s">
        <v>192</v>
      </c>
    </row>
    <row r="633" spans="1:6" x14ac:dyDescent="0.25">
      <c r="A633">
        <v>20181009</v>
      </c>
      <c r="B633" t="str">
        <f>"126260"</f>
        <v>126260</v>
      </c>
      <c r="C633" t="s">
        <v>505</v>
      </c>
      <c r="D633" s="3">
        <v>2891.81</v>
      </c>
      <c r="E633" t="s">
        <v>241</v>
      </c>
      <c r="F633" t="s">
        <v>192</v>
      </c>
    </row>
    <row r="634" spans="1:6" x14ac:dyDescent="0.25">
      <c r="A634">
        <v>20181009</v>
      </c>
      <c r="B634" t="str">
        <f>"126261"</f>
        <v>126261</v>
      </c>
      <c r="C634" t="s">
        <v>506</v>
      </c>
      <c r="D634" s="3">
        <v>102.94</v>
      </c>
      <c r="E634" t="s">
        <v>241</v>
      </c>
      <c r="F634" t="s">
        <v>192</v>
      </c>
    </row>
    <row r="635" spans="1:6" x14ac:dyDescent="0.25">
      <c r="A635">
        <v>20181009</v>
      </c>
      <c r="B635" t="str">
        <f>"126262"</f>
        <v>126262</v>
      </c>
      <c r="C635" t="s">
        <v>507</v>
      </c>
      <c r="D635" s="3">
        <v>1272.29</v>
      </c>
      <c r="E635" t="s">
        <v>241</v>
      </c>
      <c r="F635" t="s">
        <v>192</v>
      </c>
    </row>
    <row r="636" spans="1:6" x14ac:dyDescent="0.25">
      <c r="A636">
        <v>20181009</v>
      </c>
      <c r="B636" t="str">
        <f>"126262"</f>
        <v>126262</v>
      </c>
      <c r="C636" t="s">
        <v>507</v>
      </c>
      <c r="D636" s="3">
        <v>63.57</v>
      </c>
      <c r="E636" t="s">
        <v>241</v>
      </c>
      <c r="F636" t="s">
        <v>192</v>
      </c>
    </row>
    <row r="637" spans="1:6" x14ac:dyDescent="0.25">
      <c r="A637">
        <v>20181009</v>
      </c>
      <c r="B637" t="str">
        <f>"126262"</f>
        <v>126262</v>
      </c>
      <c r="C637" t="s">
        <v>507</v>
      </c>
      <c r="D637" s="3">
        <v>4340.1400000000003</v>
      </c>
      <c r="E637" t="s">
        <v>241</v>
      </c>
      <c r="F637" t="s">
        <v>192</v>
      </c>
    </row>
    <row r="638" spans="1:6" x14ac:dyDescent="0.25">
      <c r="A638">
        <v>20181009</v>
      </c>
      <c r="B638" t="str">
        <f>"126262"</f>
        <v>126262</v>
      </c>
      <c r="C638" t="s">
        <v>507</v>
      </c>
      <c r="D638" s="3">
        <v>3019.36</v>
      </c>
      <c r="E638" t="s">
        <v>241</v>
      </c>
      <c r="F638" t="s">
        <v>192</v>
      </c>
    </row>
    <row r="639" spans="1:6" x14ac:dyDescent="0.25">
      <c r="A639">
        <v>20181009</v>
      </c>
      <c r="B639" t="str">
        <f>"126262"</f>
        <v>126262</v>
      </c>
      <c r="C639" t="s">
        <v>507</v>
      </c>
      <c r="D639" s="3">
        <v>126.07</v>
      </c>
      <c r="E639" t="s">
        <v>241</v>
      </c>
      <c r="F639" t="s">
        <v>192</v>
      </c>
    </row>
    <row r="640" spans="1:6" x14ac:dyDescent="0.25">
      <c r="A640">
        <v>20181009</v>
      </c>
      <c r="B640" t="str">
        <f>"126262"</f>
        <v>126262</v>
      </c>
      <c r="C640" t="s">
        <v>507</v>
      </c>
      <c r="D640" s="3">
        <v>2402.1799999999998</v>
      </c>
      <c r="E640" t="s">
        <v>241</v>
      </c>
      <c r="F640" t="s">
        <v>192</v>
      </c>
    </row>
    <row r="641" spans="1:6" x14ac:dyDescent="0.25">
      <c r="A641">
        <v>20181009</v>
      </c>
      <c r="B641" t="str">
        <f>"126262"</f>
        <v>126262</v>
      </c>
      <c r="C641" t="s">
        <v>507</v>
      </c>
      <c r="D641" s="3">
        <v>1639.21</v>
      </c>
      <c r="E641" t="s">
        <v>241</v>
      </c>
      <c r="F641" t="s">
        <v>192</v>
      </c>
    </row>
    <row r="642" spans="1:6" x14ac:dyDescent="0.25">
      <c r="A642">
        <v>20181009</v>
      </c>
      <c r="B642" t="str">
        <f>"126262"</f>
        <v>126262</v>
      </c>
      <c r="C642" t="s">
        <v>507</v>
      </c>
      <c r="D642" s="3">
        <v>1177.2</v>
      </c>
      <c r="E642" t="s">
        <v>241</v>
      </c>
      <c r="F642" t="s">
        <v>192</v>
      </c>
    </row>
    <row r="643" spans="1:6" x14ac:dyDescent="0.25">
      <c r="A643">
        <v>20181009</v>
      </c>
      <c r="B643" t="str">
        <f>"126262"</f>
        <v>126262</v>
      </c>
      <c r="C643" t="s">
        <v>507</v>
      </c>
      <c r="D643" s="3">
        <v>4077.9</v>
      </c>
      <c r="E643" t="s">
        <v>241</v>
      </c>
      <c r="F643" t="s">
        <v>192</v>
      </c>
    </row>
    <row r="644" spans="1:6" x14ac:dyDescent="0.25">
      <c r="A644">
        <v>20181009</v>
      </c>
      <c r="B644" t="str">
        <f>"126262"</f>
        <v>126262</v>
      </c>
      <c r="C644" t="s">
        <v>507</v>
      </c>
      <c r="D644" s="3">
        <v>5139.66</v>
      </c>
      <c r="E644" t="s">
        <v>241</v>
      </c>
      <c r="F644" t="s">
        <v>192</v>
      </c>
    </row>
    <row r="645" spans="1:6" x14ac:dyDescent="0.25">
      <c r="A645">
        <v>20181009</v>
      </c>
      <c r="B645" t="str">
        <f>"126262"</f>
        <v>126262</v>
      </c>
      <c r="C645" t="s">
        <v>507</v>
      </c>
      <c r="D645" s="3">
        <v>1028.22</v>
      </c>
      <c r="E645" t="s">
        <v>241</v>
      </c>
      <c r="F645" t="s">
        <v>192</v>
      </c>
    </row>
    <row r="646" spans="1:6" x14ac:dyDescent="0.25">
      <c r="A646">
        <v>20181009</v>
      </c>
      <c r="B646" t="str">
        <f>"126262"</f>
        <v>126262</v>
      </c>
      <c r="C646" t="s">
        <v>507</v>
      </c>
      <c r="D646" s="3">
        <v>8.2200000000000006</v>
      </c>
      <c r="E646" t="s">
        <v>241</v>
      </c>
      <c r="F646" t="s">
        <v>192</v>
      </c>
    </row>
    <row r="647" spans="1:6" x14ac:dyDescent="0.25">
      <c r="A647">
        <v>20181009</v>
      </c>
      <c r="B647" t="str">
        <f>"126262"</f>
        <v>126262</v>
      </c>
      <c r="C647" t="s">
        <v>507</v>
      </c>
      <c r="D647" s="3">
        <v>22545.37</v>
      </c>
      <c r="E647" t="s">
        <v>241</v>
      </c>
      <c r="F647" t="s">
        <v>192</v>
      </c>
    </row>
    <row r="648" spans="1:6" x14ac:dyDescent="0.25">
      <c r="A648">
        <v>20181009</v>
      </c>
      <c r="B648" t="str">
        <f>"126262"</f>
        <v>126262</v>
      </c>
      <c r="C648" t="s">
        <v>507</v>
      </c>
      <c r="D648" s="3">
        <v>3067.1</v>
      </c>
      <c r="E648" t="s">
        <v>241</v>
      </c>
      <c r="F648" t="s">
        <v>192</v>
      </c>
    </row>
    <row r="649" spans="1:6" x14ac:dyDescent="0.25">
      <c r="A649">
        <v>20181009</v>
      </c>
      <c r="B649" t="str">
        <f>"126262"</f>
        <v>126262</v>
      </c>
      <c r="C649" t="s">
        <v>507</v>
      </c>
      <c r="D649" s="3">
        <v>2188.09</v>
      </c>
      <c r="E649" t="s">
        <v>241</v>
      </c>
      <c r="F649" t="s">
        <v>192</v>
      </c>
    </row>
    <row r="650" spans="1:6" x14ac:dyDescent="0.25">
      <c r="A650">
        <v>20181009</v>
      </c>
      <c r="B650" t="str">
        <f>"126262"</f>
        <v>126262</v>
      </c>
      <c r="C650" t="s">
        <v>507</v>
      </c>
      <c r="D650" s="3">
        <v>235.59</v>
      </c>
      <c r="E650" t="s">
        <v>241</v>
      </c>
      <c r="F650" t="s">
        <v>192</v>
      </c>
    </row>
    <row r="651" spans="1:6" x14ac:dyDescent="0.25">
      <c r="A651">
        <v>20181009</v>
      </c>
      <c r="B651" t="str">
        <f>"126262"</f>
        <v>126262</v>
      </c>
      <c r="C651" t="s">
        <v>507</v>
      </c>
      <c r="D651" s="3">
        <v>808.71</v>
      </c>
      <c r="E651" t="s">
        <v>241</v>
      </c>
      <c r="F651" t="s">
        <v>192</v>
      </c>
    </row>
    <row r="652" spans="1:6" x14ac:dyDescent="0.25">
      <c r="A652">
        <v>20181009</v>
      </c>
      <c r="B652" t="str">
        <f>"126262"</f>
        <v>126262</v>
      </c>
      <c r="C652" t="s">
        <v>507</v>
      </c>
      <c r="D652" s="3">
        <v>9124.56</v>
      </c>
      <c r="E652" t="s">
        <v>241</v>
      </c>
      <c r="F652" t="s">
        <v>192</v>
      </c>
    </row>
    <row r="653" spans="1:6" x14ac:dyDescent="0.25">
      <c r="A653">
        <v>20181009</v>
      </c>
      <c r="B653" t="str">
        <f>"126262"</f>
        <v>126262</v>
      </c>
      <c r="C653" t="s">
        <v>507</v>
      </c>
      <c r="D653" s="3">
        <v>1793.48</v>
      </c>
      <c r="E653" t="s">
        <v>241</v>
      </c>
      <c r="F653" t="s">
        <v>192</v>
      </c>
    </row>
    <row r="654" spans="1:6" x14ac:dyDescent="0.25">
      <c r="A654">
        <v>20181009</v>
      </c>
      <c r="B654" t="str">
        <f>"126262"</f>
        <v>126262</v>
      </c>
      <c r="C654" t="s">
        <v>507</v>
      </c>
      <c r="D654" s="3">
        <v>12893.33</v>
      </c>
      <c r="E654" t="s">
        <v>241</v>
      </c>
      <c r="F654" t="s">
        <v>192</v>
      </c>
    </row>
    <row r="655" spans="1:6" x14ac:dyDescent="0.25">
      <c r="A655">
        <v>20181009</v>
      </c>
      <c r="B655" t="str">
        <f>"126262"</f>
        <v>126262</v>
      </c>
      <c r="C655" t="s">
        <v>507</v>
      </c>
      <c r="D655" s="3">
        <v>5365.22</v>
      </c>
      <c r="E655" t="s">
        <v>241</v>
      </c>
      <c r="F655" t="s">
        <v>192</v>
      </c>
    </row>
    <row r="656" spans="1:6" x14ac:dyDescent="0.25">
      <c r="A656">
        <v>20181009</v>
      </c>
      <c r="B656" t="str">
        <f>"126262"</f>
        <v>126262</v>
      </c>
      <c r="C656" t="s">
        <v>507</v>
      </c>
      <c r="D656" s="3">
        <v>7795.6</v>
      </c>
      <c r="E656" t="s">
        <v>241</v>
      </c>
      <c r="F656" t="s">
        <v>192</v>
      </c>
    </row>
    <row r="657" spans="1:6" x14ac:dyDescent="0.25">
      <c r="A657">
        <v>20181009</v>
      </c>
      <c r="B657" t="str">
        <f>"126262"</f>
        <v>126262</v>
      </c>
      <c r="C657" t="s">
        <v>507</v>
      </c>
      <c r="D657" s="3">
        <v>255.16</v>
      </c>
      <c r="E657" t="s">
        <v>241</v>
      </c>
      <c r="F657" t="s">
        <v>192</v>
      </c>
    </row>
    <row r="658" spans="1:6" x14ac:dyDescent="0.25">
      <c r="A658">
        <v>20181009</v>
      </c>
      <c r="B658" t="str">
        <f>"126262"</f>
        <v>126262</v>
      </c>
      <c r="C658" t="s">
        <v>507</v>
      </c>
      <c r="D658" s="3">
        <v>6831.83</v>
      </c>
      <c r="E658" t="s">
        <v>241</v>
      </c>
      <c r="F658" t="s">
        <v>192</v>
      </c>
    </row>
    <row r="659" spans="1:6" x14ac:dyDescent="0.25">
      <c r="A659">
        <v>20181009</v>
      </c>
      <c r="B659" t="str">
        <f>"126262"</f>
        <v>126262</v>
      </c>
      <c r="C659" t="s">
        <v>507</v>
      </c>
      <c r="D659" s="3">
        <v>370.79</v>
      </c>
      <c r="E659" t="s">
        <v>241</v>
      </c>
      <c r="F659" t="s">
        <v>192</v>
      </c>
    </row>
    <row r="660" spans="1:6" x14ac:dyDescent="0.25">
      <c r="A660">
        <v>20181009</v>
      </c>
      <c r="B660" t="str">
        <f>"126262"</f>
        <v>126262</v>
      </c>
      <c r="C660" t="s">
        <v>507</v>
      </c>
      <c r="D660" s="3">
        <v>41.04</v>
      </c>
      <c r="E660" t="s">
        <v>241</v>
      </c>
      <c r="F660" t="s">
        <v>192</v>
      </c>
    </row>
    <row r="661" spans="1:6" x14ac:dyDescent="0.25">
      <c r="A661">
        <v>20181009</v>
      </c>
      <c r="B661" t="str">
        <f>"126263"</f>
        <v>126263</v>
      </c>
      <c r="C661" t="s">
        <v>508</v>
      </c>
      <c r="D661" s="3">
        <v>247.18</v>
      </c>
      <c r="E661" t="s">
        <v>241</v>
      </c>
      <c r="F661" t="s">
        <v>192</v>
      </c>
    </row>
    <row r="662" spans="1:6" x14ac:dyDescent="0.25">
      <c r="A662">
        <v>20181009</v>
      </c>
      <c r="B662" t="str">
        <f>"126263"</f>
        <v>126263</v>
      </c>
      <c r="C662" t="s">
        <v>508</v>
      </c>
      <c r="D662" s="3">
        <v>301.22000000000003</v>
      </c>
      <c r="E662" t="s">
        <v>241</v>
      </c>
      <c r="F662" t="s">
        <v>192</v>
      </c>
    </row>
    <row r="663" spans="1:6" x14ac:dyDescent="0.25">
      <c r="A663">
        <v>20181009</v>
      </c>
      <c r="B663" t="str">
        <f>"126263"</f>
        <v>126263</v>
      </c>
      <c r="C663" t="s">
        <v>508</v>
      </c>
      <c r="D663" s="3">
        <v>57.15</v>
      </c>
      <c r="E663" t="s">
        <v>241</v>
      </c>
      <c r="F663" t="s">
        <v>192</v>
      </c>
    </row>
    <row r="664" spans="1:6" x14ac:dyDescent="0.25">
      <c r="A664">
        <v>20181009</v>
      </c>
      <c r="B664" t="str">
        <f>"126263"</f>
        <v>126263</v>
      </c>
      <c r="C664" t="s">
        <v>508</v>
      </c>
      <c r="D664" s="3">
        <v>277.25</v>
      </c>
      <c r="E664" t="s">
        <v>241</v>
      </c>
      <c r="F664" t="s">
        <v>192</v>
      </c>
    </row>
    <row r="665" spans="1:6" x14ac:dyDescent="0.25">
      <c r="A665">
        <v>20181009</v>
      </c>
      <c r="B665" t="str">
        <f>"126263"</f>
        <v>126263</v>
      </c>
      <c r="C665" t="s">
        <v>508</v>
      </c>
      <c r="D665" s="3">
        <v>97.87</v>
      </c>
      <c r="E665" t="s">
        <v>241</v>
      </c>
      <c r="F665" t="s">
        <v>192</v>
      </c>
    </row>
    <row r="666" spans="1:6" x14ac:dyDescent="0.25">
      <c r="A666">
        <v>20181009</v>
      </c>
      <c r="B666" t="str">
        <f>"126263"</f>
        <v>126263</v>
      </c>
      <c r="C666" t="s">
        <v>508</v>
      </c>
      <c r="D666" s="3">
        <v>761.04</v>
      </c>
      <c r="E666" t="s">
        <v>241</v>
      </c>
      <c r="F666" t="s">
        <v>192</v>
      </c>
    </row>
    <row r="667" spans="1:6" x14ac:dyDescent="0.25">
      <c r="A667">
        <v>20181009</v>
      </c>
      <c r="B667" t="str">
        <f>"126263"</f>
        <v>126263</v>
      </c>
      <c r="C667" t="s">
        <v>508</v>
      </c>
      <c r="D667" s="3">
        <v>171.37</v>
      </c>
      <c r="E667" t="s">
        <v>241</v>
      </c>
      <c r="F667" t="s">
        <v>192</v>
      </c>
    </row>
    <row r="668" spans="1:6" x14ac:dyDescent="0.25">
      <c r="A668">
        <v>20181009</v>
      </c>
      <c r="B668" t="str">
        <f>"126263"</f>
        <v>126263</v>
      </c>
      <c r="C668" t="s">
        <v>508</v>
      </c>
      <c r="D668" s="3">
        <v>986.04</v>
      </c>
      <c r="E668" t="s">
        <v>241</v>
      </c>
      <c r="F668" t="s">
        <v>192</v>
      </c>
    </row>
    <row r="669" spans="1:6" x14ac:dyDescent="0.25">
      <c r="A669">
        <v>20181009</v>
      </c>
      <c r="B669" t="str">
        <f>"126263"</f>
        <v>126263</v>
      </c>
      <c r="C669" t="s">
        <v>508</v>
      </c>
      <c r="D669" s="3">
        <v>806.68</v>
      </c>
      <c r="E669" t="s">
        <v>241</v>
      </c>
      <c r="F669" t="s">
        <v>192</v>
      </c>
    </row>
    <row r="670" spans="1:6" x14ac:dyDescent="0.25">
      <c r="A670">
        <v>20181009</v>
      </c>
      <c r="B670" t="str">
        <f>"126263"</f>
        <v>126263</v>
      </c>
      <c r="C670" t="s">
        <v>508</v>
      </c>
      <c r="D670" s="3">
        <v>437.22</v>
      </c>
      <c r="E670" t="s">
        <v>241</v>
      </c>
      <c r="F670" t="s">
        <v>192</v>
      </c>
    </row>
    <row r="671" spans="1:6" x14ac:dyDescent="0.25">
      <c r="A671">
        <v>20181009</v>
      </c>
      <c r="B671" t="str">
        <f>"126263"</f>
        <v>126263</v>
      </c>
      <c r="C671" t="s">
        <v>508</v>
      </c>
      <c r="D671" s="3">
        <v>297.20999999999998</v>
      </c>
      <c r="E671" t="s">
        <v>241</v>
      </c>
      <c r="F671" t="s">
        <v>192</v>
      </c>
    </row>
    <row r="672" spans="1:6" x14ac:dyDescent="0.25">
      <c r="A672">
        <v>20181009</v>
      </c>
      <c r="B672" t="str">
        <f>"126263"</f>
        <v>126263</v>
      </c>
      <c r="C672" t="s">
        <v>508</v>
      </c>
      <c r="D672" s="3">
        <v>247.18</v>
      </c>
      <c r="E672" t="s">
        <v>241</v>
      </c>
      <c r="F672" t="s">
        <v>192</v>
      </c>
    </row>
    <row r="673" spans="1:6" x14ac:dyDescent="0.25">
      <c r="A673">
        <v>20181009</v>
      </c>
      <c r="B673" t="str">
        <f>"126263"</f>
        <v>126263</v>
      </c>
      <c r="C673" t="s">
        <v>508</v>
      </c>
      <c r="D673" s="3">
        <v>247.18</v>
      </c>
      <c r="E673" t="s">
        <v>241</v>
      </c>
      <c r="F673" t="s">
        <v>192</v>
      </c>
    </row>
    <row r="674" spans="1:6" x14ac:dyDescent="0.25">
      <c r="A674">
        <v>20181009</v>
      </c>
      <c r="B674" t="str">
        <f>"126263"</f>
        <v>126263</v>
      </c>
      <c r="C674" t="s">
        <v>508</v>
      </c>
      <c r="D674" s="3">
        <v>211.3</v>
      </c>
      <c r="E674" t="s">
        <v>241</v>
      </c>
      <c r="F674" t="s">
        <v>192</v>
      </c>
    </row>
    <row r="675" spans="1:6" x14ac:dyDescent="0.25">
      <c r="A675">
        <v>20181009</v>
      </c>
      <c r="B675" t="str">
        <f>"126263"</f>
        <v>126263</v>
      </c>
      <c r="C675" t="s">
        <v>508</v>
      </c>
      <c r="D675" s="3">
        <v>490.39</v>
      </c>
      <c r="E675" t="s">
        <v>241</v>
      </c>
      <c r="F675" t="s">
        <v>192</v>
      </c>
    </row>
    <row r="676" spans="1:6" x14ac:dyDescent="0.25">
      <c r="A676">
        <v>20181009</v>
      </c>
      <c r="B676" t="str">
        <f>"126263"</f>
        <v>126263</v>
      </c>
      <c r="C676" t="s">
        <v>508</v>
      </c>
      <c r="D676" s="3">
        <v>672.59</v>
      </c>
      <c r="E676" t="s">
        <v>241</v>
      </c>
      <c r="F676" t="s">
        <v>192</v>
      </c>
    </row>
    <row r="677" spans="1:6" x14ac:dyDescent="0.25">
      <c r="A677">
        <v>20181009</v>
      </c>
      <c r="B677" t="str">
        <f>"126263"</f>
        <v>126263</v>
      </c>
      <c r="C677" t="s">
        <v>508</v>
      </c>
      <c r="D677" s="3">
        <v>2536.2600000000002</v>
      </c>
      <c r="E677" t="s">
        <v>241</v>
      </c>
      <c r="F677" t="s">
        <v>192</v>
      </c>
    </row>
    <row r="678" spans="1:6" x14ac:dyDescent="0.25">
      <c r="A678">
        <v>20181009</v>
      </c>
      <c r="B678" t="str">
        <f>"126263"</f>
        <v>126263</v>
      </c>
      <c r="C678" t="s">
        <v>508</v>
      </c>
      <c r="D678" s="3">
        <v>456.16</v>
      </c>
      <c r="E678" t="s">
        <v>241</v>
      </c>
      <c r="F678" t="s">
        <v>192</v>
      </c>
    </row>
    <row r="679" spans="1:6" x14ac:dyDescent="0.25">
      <c r="A679">
        <v>20181009</v>
      </c>
      <c r="B679" t="str">
        <f>"126263"</f>
        <v>126263</v>
      </c>
      <c r="C679" t="s">
        <v>508</v>
      </c>
      <c r="D679" s="3">
        <v>305.92</v>
      </c>
      <c r="E679" t="s">
        <v>241</v>
      </c>
      <c r="F679" t="s">
        <v>192</v>
      </c>
    </row>
    <row r="680" spans="1:6" x14ac:dyDescent="0.25">
      <c r="A680">
        <v>20181009</v>
      </c>
      <c r="B680" t="str">
        <f>"126263"</f>
        <v>126263</v>
      </c>
      <c r="C680" t="s">
        <v>508</v>
      </c>
      <c r="D680" s="3">
        <v>3155.52</v>
      </c>
      <c r="E680" t="s">
        <v>241</v>
      </c>
      <c r="F680" t="s">
        <v>192</v>
      </c>
    </row>
    <row r="681" spans="1:6" x14ac:dyDescent="0.25">
      <c r="A681">
        <v>20181009</v>
      </c>
      <c r="B681" t="str">
        <f>"126263"</f>
        <v>126263</v>
      </c>
      <c r="C681" t="s">
        <v>508</v>
      </c>
      <c r="D681" s="3">
        <v>1474.76</v>
      </c>
      <c r="E681" t="s">
        <v>241</v>
      </c>
      <c r="F681" t="s">
        <v>192</v>
      </c>
    </row>
    <row r="682" spans="1:6" x14ac:dyDescent="0.25">
      <c r="A682">
        <v>20181009</v>
      </c>
      <c r="B682" t="str">
        <f>"126263"</f>
        <v>126263</v>
      </c>
      <c r="C682" t="s">
        <v>508</v>
      </c>
      <c r="D682" s="3">
        <v>776.68</v>
      </c>
      <c r="E682" t="s">
        <v>241</v>
      </c>
      <c r="F682" t="s">
        <v>192</v>
      </c>
    </row>
    <row r="683" spans="1:6" x14ac:dyDescent="0.25">
      <c r="A683">
        <v>20181009</v>
      </c>
      <c r="B683" t="str">
        <f>"126263"</f>
        <v>126263</v>
      </c>
      <c r="C683" t="s">
        <v>508</v>
      </c>
      <c r="D683" s="3">
        <v>247.18</v>
      </c>
      <c r="E683" t="s">
        <v>241</v>
      </c>
      <c r="F683" t="s">
        <v>192</v>
      </c>
    </row>
    <row r="684" spans="1:6" x14ac:dyDescent="0.25">
      <c r="A684">
        <v>20181009</v>
      </c>
      <c r="B684" t="str">
        <f>"126264"</f>
        <v>126264</v>
      </c>
      <c r="C684" t="s">
        <v>509</v>
      </c>
      <c r="D684" s="3">
        <v>1239.56</v>
      </c>
      <c r="E684" t="s">
        <v>241</v>
      </c>
      <c r="F684" t="s">
        <v>192</v>
      </c>
    </row>
    <row r="685" spans="1:6" x14ac:dyDescent="0.25">
      <c r="A685">
        <v>20181009</v>
      </c>
      <c r="B685" t="str">
        <f>"126264"</f>
        <v>126264</v>
      </c>
      <c r="C685" t="s">
        <v>509</v>
      </c>
      <c r="D685" s="3">
        <v>359.66</v>
      </c>
      <c r="E685" t="s">
        <v>241</v>
      </c>
      <c r="F685" t="s">
        <v>192</v>
      </c>
    </row>
    <row r="686" spans="1:6" x14ac:dyDescent="0.25">
      <c r="A686">
        <v>20181009</v>
      </c>
      <c r="B686" t="str">
        <f>"126265"</f>
        <v>126265</v>
      </c>
      <c r="C686" t="s">
        <v>510</v>
      </c>
      <c r="D686" s="3">
        <v>15.58</v>
      </c>
      <c r="E686" t="s">
        <v>361</v>
      </c>
      <c r="F686" t="s">
        <v>192</v>
      </c>
    </row>
    <row r="687" spans="1:6" x14ac:dyDescent="0.25">
      <c r="A687">
        <v>20181009</v>
      </c>
      <c r="B687" t="str">
        <f>"126265"</f>
        <v>126265</v>
      </c>
      <c r="C687" t="s">
        <v>510</v>
      </c>
      <c r="D687" s="3">
        <v>12.72</v>
      </c>
      <c r="E687" t="s">
        <v>361</v>
      </c>
      <c r="F687" t="s">
        <v>192</v>
      </c>
    </row>
    <row r="688" spans="1:6" x14ac:dyDescent="0.25">
      <c r="A688">
        <v>20181009</v>
      </c>
      <c r="B688" t="str">
        <f>"126265"</f>
        <v>126265</v>
      </c>
      <c r="C688" t="s">
        <v>510</v>
      </c>
      <c r="D688" s="3">
        <v>14.15</v>
      </c>
      <c r="E688" t="s">
        <v>361</v>
      </c>
      <c r="F688" t="s">
        <v>192</v>
      </c>
    </row>
    <row r="689" spans="1:6" x14ac:dyDescent="0.25">
      <c r="A689">
        <v>20181009</v>
      </c>
      <c r="B689" t="str">
        <f>"126265"</f>
        <v>126265</v>
      </c>
      <c r="C689" t="s">
        <v>510</v>
      </c>
      <c r="D689" s="3">
        <v>10.81</v>
      </c>
      <c r="E689" t="s">
        <v>361</v>
      </c>
      <c r="F689" t="s">
        <v>192</v>
      </c>
    </row>
    <row r="690" spans="1:6" x14ac:dyDescent="0.25">
      <c r="A690">
        <v>20181009</v>
      </c>
      <c r="B690" t="str">
        <f>"126266"</f>
        <v>126266</v>
      </c>
      <c r="C690" t="s">
        <v>31</v>
      </c>
      <c r="D690" s="3">
        <v>600</v>
      </c>
      <c r="E690" t="s">
        <v>104</v>
      </c>
      <c r="F690" t="s">
        <v>198</v>
      </c>
    </row>
    <row r="691" spans="1:6" x14ac:dyDescent="0.25">
      <c r="A691">
        <v>20181009</v>
      </c>
      <c r="B691" t="str">
        <f>"126267"</f>
        <v>126267</v>
      </c>
      <c r="C691" t="s">
        <v>31</v>
      </c>
      <c r="D691" s="3">
        <v>600</v>
      </c>
      <c r="E691" t="s">
        <v>104</v>
      </c>
      <c r="F691" t="s">
        <v>198</v>
      </c>
    </row>
    <row r="692" spans="1:6" x14ac:dyDescent="0.25">
      <c r="A692">
        <v>20181009</v>
      </c>
      <c r="B692" t="str">
        <f>"126268"</f>
        <v>126268</v>
      </c>
      <c r="C692" t="s">
        <v>31</v>
      </c>
      <c r="D692" s="3">
        <v>400</v>
      </c>
      <c r="E692" t="s">
        <v>104</v>
      </c>
      <c r="F692" t="s">
        <v>198</v>
      </c>
    </row>
    <row r="693" spans="1:6" x14ac:dyDescent="0.25">
      <c r="A693">
        <v>20181009</v>
      </c>
      <c r="B693" t="str">
        <f>"126269"</f>
        <v>126269</v>
      </c>
      <c r="C693" t="s">
        <v>31</v>
      </c>
      <c r="D693" s="3">
        <v>400</v>
      </c>
      <c r="E693" t="s">
        <v>104</v>
      </c>
      <c r="F693" t="s">
        <v>198</v>
      </c>
    </row>
    <row r="694" spans="1:6" x14ac:dyDescent="0.25">
      <c r="A694">
        <v>20181009</v>
      </c>
      <c r="B694" t="str">
        <f>"126270"</f>
        <v>126270</v>
      </c>
      <c r="C694" t="s">
        <v>31</v>
      </c>
      <c r="D694" s="3">
        <v>400</v>
      </c>
      <c r="E694" t="s">
        <v>104</v>
      </c>
      <c r="F694" t="s">
        <v>198</v>
      </c>
    </row>
    <row r="695" spans="1:6" x14ac:dyDescent="0.25">
      <c r="A695">
        <v>20181009</v>
      </c>
      <c r="B695" t="str">
        <f>"126271"</f>
        <v>126271</v>
      </c>
      <c r="C695" t="s">
        <v>31</v>
      </c>
      <c r="D695" s="3">
        <v>400</v>
      </c>
      <c r="E695" t="s">
        <v>104</v>
      </c>
      <c r="F695" t="s">
        <v>198</v>
      </c>
    </row>
    <row r="696" spans="1:6" x14ac:dyDescent="0.25">
      <c r="A696">
        <v>20181009</v>
      </c>
      <c r="B696" t="str">
        <f>"126272"</f>
        <v>126272</v>
      </c>
      <c r="C696" t="s">
        <v>31</v>
      </c>
      <c r="D696" s="3">
        <v>300</v>
      </c>
      <c r="E696" t="s">
        <v>104</v>
      </c>
      <c r="F696" t="s">
        <v>198</v>
      </c>
    </row>
    <row r="697" spans="1:6" x14ac:dyDescent="0.25">
      <c r="A697">
        <v>20181009</v>
      </c>
      <c r="B697" t="str">
        <f>"126273"</f>
        <v>126273</v>
      </c>
      <c r="C697" t="s">
        <v>31</v>
      </c>
      <c r="D697" s="3">
        <v>300</v>
      </c>
      <c r="E697" t="s">
        <v>104</v>
      </c>
      <c r="F697" t="s">
        <v>198</v>
      </c>
    </row>
    <row r="698" spans="1:6" x14ac:dyDescent="0.25">
      <c r="A698">
        <v>20181009</v>
      </c>
      <c r="B698" t="str">
        <f>"126274"</f>
        <v>126274</v>
      </c>
      <c r="C698" t="s">
        <v>31</v>
      </c>
      <c r="D698" s="3">
        <v>300</v>
      </c>
      <c r="E698" t="s">
        <v>104</v>
      </c>
      <c r="F698" t="s">
        <v>198</v>
      </c>
    </row>
    <row r="699" spans="1:6" x14ac:dyDescent="0.25">
      <c r="A699">
        <v>20181009</v>
      </c>
      <c r="B699" t="str">
        <f>"126275"</f>
        <v>126275</v>
      </c>
      <c r="C699" t="s">
        <v>31</v>
      </c>
      <c r="D699" s="3">
        <v>200</v>
      </c>
      <c r="E699" t="s">
        <v>104</v>
      </c>
      <c r="F699" t="s">
        <v>198</v>
      </c>
    </row>
    <row r="700" spans="1:6" x14ac:dyDescent="0.25">
      <c r="A700">
        <v>20181009</v>
      </c>
      <c r="B700" t="str">
        <f>"126276"</f>
        <v>126276</v>
      </c>
      <c r="C700" t="s">
        <v>511</v>
      </c>
      <c r="D700" s="3">
        <v>750</v>
      </c>
      <c r="E700" t="s">
        <v>197</v>
      </c>
      <c r="F700" t="s">
        <v>198</v>
      </c>
    </row>
    <row r="701" spans="1:6" x14ac:dyDescent="0.25">
      <c r="A701">
        <v>20181009</v>
      </c>
      <c r="B701" t="str">
        <f>"126277"</f>
        <v>126277</v>
      </c>
      <c r="C701" t="s">
        <v>512</v>
      </c>
      <c r="D701" s="3">
        <v>176.7</v>
      </c>
      <c r="E701" t="s">
        <v>513</v>
      </c>
      <c r="F701" t="s">
        <v>192</v>
      </c>
    </row>
    <row r="702" spans="1:6" x14ac:dyDescent="0.25">
      <c r="A702">
        <v>20181009</v>
      </c>
      <c r="B702" t="str">
        <f>"126278"</f>
        <v>126278</v>
      </c>
      <c r="C702" t="s">
        <v>514</v>
      </c>
      <c r="D702" s="3">
        <v>150</v>
      </c>
      <c r="E702" t="s">
        <v>515</v>
      </c>
      <c r="F702" t="s">
        <v>198</v>
      </c>
    </row>
    <row r="703" spans="1:6" x14ac:dyDescent="0.25">
      <c r="A703">
        <v>20181009</v>
      </c>
      <c r="B703" t="str">
        <f>"126279"</f>
        <v>126279</v>
      </c>
      <c r="C703" t="s">
        <v>516</v>
      </c>
      <c r="D703" s="3">
        <v>36</v>
      </c>
      <c r="E703" t="s">
        <v>267</v>
      </c>
      <c r="F703" t="s">
        <v>192</v>
      </c>
    </row>
    <row r="704" spans="1:6" x14ac:dyDescent="0.25">
      <c r="A704">
        <v>20181009</v>
      </c>
      <c r="B704" t="str">
        <f>"126280"</f>
        <v>126280</v>
      </c>
      <c r="C704" t="s">
        <v>517</v>
      </c>
      <c r="D704" s="3">
        <v>151.27000000000001</v>
      </c>
      <c r="E704" t="s">
        <v>518</v>
      </c>
      <c r="F704" t="s">
        <v>192</v>
      </c>
    </row>
    <row r="705" spans="1:6" x14ac:dyDescent="0.25">
      <c r="A705">
        <v>20181009</v>
      </c>
      <c r="B705" t="str">
        <f>"126280"</f>
        <v>126280</v>
      </c>
      <c r="C705" t="s">
        <v>517</v>
      </c>
      <c r="D705" s="3">
        <v>65.91</v>
      </c>
      <c r="E705" t="s">
        <v>518</v>
      </c>
      <c r="F705" t="s">
        <v>192</v>
      </c>
    </row>
    <row r="706" spans="1:6" x14ac:dyDescent="0.25">
      <c r="A706">
        <v>20181009</v>
      </c>
      <c r="B706" t="str">
        <f>"126280"</f>
        <v>126280</v>
      </c>
      <c r="C706" t="s">
        <v>517</v>
      </c>
      <c r="D706" s="3">
        <v>81.349999999999994</v>
      </c>
      <c r="E706" t="s">
        <v>518</v>
      </c>
      <c r="F706" t="s">
        <v>192</v>
      </c>
    </row>
    <row r="707" spans="1:6" x14ac:dyDescent="0.25">
      <c r="A707">
        <v>20181009</v>
      </c>
      <c r="B707" t="str">
        <f>"126281"</f>
        <v>126281</v>
      </c>
      <c r="C707" t="s">
        <v>519</v>
      </c>
      <c r="D707" s="3">
        <v>27871</v>
      </c>
      <c r="E707" t="s">
        <v>520</v>
      </c>
      <c r="F707" t="s">
        <v>192</v>
      </c>
    </row>
    <row r="708" spans="1:6" x14ac:dyDescent="0.25">
      <c r="A708">
        <v>20181009</v>
      </c>
      <c r="B708" t="str">
        <f>"126282"</f>
        <v>126282</v>
      </c>
      <c r="C708" t="s">
        <v>521</v>
      </c>
      <c r="D708" s="3">
        <v>826.63</v>
      </c>
      <c r="E708" t="s">
        <v>522</v>
      </c>
      <c r="F708" t="s">
        <v>192</v>
      </c>
    </row>
    <row r="709" spans="1:6" x14ac:dyDescent="0.25">
      <c r="A709">
        <v>20181009</v>
      </c>
      <c r="B709" t="str">
        <f>"126283"</f>
        <v>126283</v>
      </c>
      <c r="C709" t="s">
        <v>523</v>
      </c>
      <c r="D709" s="3">
        <v>8332.26</v>
      </c>
      <c r="E709" t="s">
        <v>241</v>
      </c>
      <c r="F709" t="s">
        <v>192</v>
      </c>
    </row>
    <row r="710" spans="1:6" x14ac:dyDescent="0.25">
      <c r="A710">
        <v>20181009</v>
      </c>
      <c r="B710" t="str">
        <f>"126284"</f>
        <v>126284</v>
      </c>
      <c r="C710" t="s">
        <v>524</v>
      </c>
      <c r="D710" s="3">
        <v>13570</v>
      </c>
      <c r="E710" t="s">
        <v>528</v>
      </c>
      <c r="F710" t="s">
        <v>198</v>
      </c>
    </row>
    <row r="711" spans="1:6" x14ac:dyDescent="0.25">
      <c r="A711">
        <v>20181009</v>
      </c>
      <c r="B711" t="str">
        <f>"126284"</f>
        <v>126284</v>
      </c>
      <c r="C711" t="s">
        <v>524</v>
      </c>
      <c r="D711" s="3">
        <v>363.95</v>
      </c>
      <c r="E711" t="s">
        <v>527</v>
      </c>
      <c r="F711" t="s">
        <v>198</v>
      </c>
    </row>
    <row r="712" spans="1:6" x14ac:dyDescent="0.25">
      <c r="A712">
        <v>20181009</v>
      </c>
      <c r="B712" t="str">
        <f>"126284"</f>
        <v>126284</v>
      </c>
      <c r="C712" t="s">
        <v>524</v>
      </c>
      <c r="D712" s="3">
        <v>7623</v>
      </c>
      <c r="E712" t="s">
        <v>525</v>
      </c>
      <c r="F712" t="s">
        <v>198</v>
      </c>
    </row>
    <row r="713" spans="1:6" x14ac:dyDescent="0.25">
      <c r="A713">
        <v>20181009</v>
      </c>
      <c r="B713" t="str">
        <f>"126284"</f>
        <v>126284</v>
      </c>
      <c r="C713" t="s">
        <v>524</v>
      </c>
      <c r="D713" s="3">
        <v>428.6</v>
      </c>
      <c r="E713" t="s">
        <v>526</v>
      </c>
      <c r="F713" t="s">
        <v>198</v>
      </c>
    </row>
    <row r="714" spans="1:6" x14ac:dyDescent="0.25">
      <c r="A714">
        <v>20181009</v>
      </c>
      <c r="B714" t="str">
        <f>"126285"</f>
        <v>126285</v>
      </c>
      <c r="C714" t="s">
        <v>529</v>
      </c>
      <c r="D714" s="3">
        <v>95.66</v>
      </c>
      <c r="E714" t="s">
        <v>241</v>
      </c>
      <c r="F714" t="s">
        <v>192</v>
      </c>
    </row>
    <row r="715" spans="1:6" x14ac:dyDescent="0.25">
      <c r="A715">
        <v>20181009</v>
      </c>
      <c r="B715" t="str">
        <f>"126285"</f>
        <v>126285</v>
      </c>
      <c r="C715" t="s">
        <v>529</v>
      </c>
      <c r="D715" s="3">
        <v>288.93</v>
      </c>
      <c r="E715" t="s">
        <v>241</v>
      </c>
      <c r="F715" t="s">
        <v>192</v>
      </c>
    </row>
    <row r="716" spans="1:6" x14ac:dyDescent="0.25">
      <c r="A716">
        <v>20181009</v>
      </c>
      <c r="B716" t="str">
        <f>"126285"</f>
        <v>126285</v>
      </c>
      <c r="C716" t="s">
        <v>529</v>
      </c>
      <c r="D716" s="3">
        <v>362.99</v>
      </c>
      <c r="E716" t="s">
        <v>241</v>
      </c>
      <c r="F716" t="s">
        <v>192</v>
      </c>
    </row>
    <row r="717" spans="1:6" x14ac:dyDescent="0.25">
      <c r="A717">
        <v>20181009</v>
      </c>
      <c r="B717" t="str">
        <f>"126285"</f>
        <v>126285</v>
      </c>
      <c r="C717" t="s">
        <v>529</v>
      </c>
      <c r="D717" s="3">
        <v>42.14</v>
      </c>
      <c r="E717" t="s">
        <v>241</v>
      </c>
      <c r="F717" t="s">
        <v>192</v>
      </c>
    </row>
    <row r="718" spans="1:6" x14ac:dyDescent="0.25">
      <c r="A718">
        <v>20181009</v>
      </c>
      <c r="B718" t="str">
        <f>"126285"</f>
        <v>126285</v>
      </c>
      <c r="C718" t="s">
        <v>529</v>
      </c>
      <c r="D718" s="3">
        <v>50.71</v>
      </c>
      <c r="E718" t="s">
        <v>241</v>
      </c>
      <c r="F718" t="s">
        <v>192</v>
      </c>
    </row>
    <row r="719" spans="1:6" x14ac:dyDescent="0.25">
      <c r="A719">
        <v>20181009</v>
      </c>
      <c r="B719" t="str">
        <f>"126285"</f>
        <v>126285</v>
      </c>
      <c r="C719" t="s">
        <v>529</v>
      </c>
      <c r="D719" s="3">
        <v>29.13</v>
      </c>
      <c r="E719" t="s">
        <v>241</v>
      </c>
      <c r="F719" t="s">
        <v>192</v>
      </c>
    </row>
    <row r="720" spans="1:6" x14ac:dyDescent="0.25">
      <c r="A720">
        <v>20181009</v>
      </c>
      <c r="B720" t="str">
        <f>"126285"</f>
        <v>126285</v>
      </c>
      <c r="C720" t="s">
        <v>529</v>
      </c>
      <c r="D720" s="3">
        <v>714.47</v>
      </c>
      <c r="E720" t="s">
        <v>241</v>
      </c>
      <c r="F720" t="s">
        <v>192</v>
      </c>
    </row>
    <row r="721" spans="1:6" x14ac:dyDescent="0.25">
      <c r="A721">
        <v>20181009</v>
      </c>
      <c r="B721" t="str">
        <f>"126285"</f>
        <v>126285</v>
      </c>
      <c r="C721" t="s">
        <v>529</v>
      </c>
      <c r="D721" s="3">
        <v>199.42</v>
      </c>
      <c r="E721" t="s">
        <v>241</v>
      </c>
      <c r="F721" t="s">
        <v>192</v>
      </c>
    </row>
    <row r="722" spans="1:6" x14ac:dyDescent="0.25">
      <c r="A722">
        <v>20181009</v>
      </c>
      <c r="B722" t="str">
        <f>"126285"</f>
        <v>126285</v>
      </c>
      <c r="C722" t="s">
        <v>529</v>
      </c>
      <c r="D722" s="3">
        <v>53.49</v>
      </c>
      <c r="E722" t="s">
        <v>241</v>
      </c>
      <c r="F722" t="s">
        <v>192</v>
      </c>
    </row>
    <row r="723" spans="1:6" x14ac:dyDescent="0.25">
      <c r="A723">
        <v>20181009</v>
      </c>
      <c r="B723" t="str">
        <f>"126285"</f>
        <v>126285</v>
      </c>
      <c r="C723" t="s">
        <v>529</v>
      </c>
      <c r="D723" s="3">
        <v>167.58</v>
      </c>
      <c r="E723" t="s">
        <v>241</v>
      </c>
      <c r="F723" t="s">
        <v>192</v>
      </c>
    </row>
    <row r="724" spans="1:6" x14ac:dyDescent="0.25">
      <c r="A724">
        <v>20181009</v>
      </c>
      <c r="B724" t="str">
        <f>"126285"</f>
        <v>126285</v>
      </c>
      <c r="C724" t="s">
        <v>529</v>
      </c>
      <c r="D724" s="3">
        <v>66.42</v>
      </c>
      <c r="E724" t="s">
        <v>241</v>
      </c>
      <c r="F724" t="s">
        <v>192</v>
      </c>
    </row>
    <row r="725" spans="1:6" x14ac:dyDescent="0.25">
      <c r="A725">
        <v>20181009</v>
      </c>
      <c r="B725" t="str">
        <f>"126285"</f>
        <v>126285</v>
      </c>
      <c r="C725" t="s">
        <v>529</v>
      </c>
      <c r="D725" s="3">
        <v>69.709999999999994</v>
      </c>
      <c r="E725" t="s">
        <v>241</v>
      </c>
      <c r="F725" t="s">
        <v>192</v>
      </c>
    </row>
    <row r="726" spans="1:6" x14ac:dyDescent="0.25">
      <c r="A726">
        <v>20181009</v>
      </c>
      <c r="B726" t="str">
        <f>"126285"</f>
        <v>126285</v>
      </c>
      <c r="C726" t="s">
        <v>529</v>
      </c>
      <c r="D726" s="3">
        <v>72.22</v>
      </c>
      <c r="E726" t="s">
        <v>241</v>
      </c>
      <c r="F726" t="s">
        <v>192</v>
      </c>
    </row>
    <row r="727" spans="1:6" x14ac:dyDescent="0.25">
      <c r="A727">
        <v>20181009</v>
      </c>
      <c r="B727" t="str">
        <f>"126285"</f>
        <v>126285</v>
      </c>
      <c r="C727" t="s">
        <v>529</v>
      </c>
      <c r="D727" s="3">
        <v>219.22</v>
      </c>
      <c r="E727" t="s">
        <v>241</v>
      </c>
      <c r="F727" t="s">
        <v>192</v>
      </c>
    </row>
    <row r="728" spans="1:6" x14ac:dyDescent="0.25">
      <c r="A728">
        <v>20181009</v>
      </c>
      <c r="B728" t="str">
        <f>"126286"</f>
        <v>126286</v>
      </c>
      <c r="C728" t="s">
        <v>530</v>
      </c>
      <c r="D728" s="3">
        <v>2146.04</v>
      </c>
      <c r="E728" t="s">
        <v>241</v>
      </c>
      <c r="F728" t="s">
        <v>192</v>
      </c>
    </row>
    <row r="729" spans="1:6" x14ac:dyDescent="0.25">
      <c r="A729">
        <v>20181009</v>
      </c>
      <c r="B729" t="str">
        <f>"126287"</f>
        <v>126287</v>
      </c>
      <c r="C729" t="s">
        <v>531</v>
      </c>
      <c r="D729" s="3">
        <v>-106.7</v>
      </c>
      <c r="E729" t="s">
        <v>533</v>
      </c>
      <c r="F729" t="s">
        <v>192</v>
      </c>
    </row>
    <row r="730" spans="1:6" x14ac:dyDescent="0.25">
      <c r="A730">
        <v>20181009</v>
      </c>
      <c r="B730" t="str">
        <f>"126287"</f>
        <v>126287</v>
      </c>
      <c r="C730" t="s">
        <v>531</v>
      </c>
      <c r="D730" s="3">
        <v>242</v>
      </c>
      <c r="E730" t="s">
        <v>28</v>
      </c>
      <c r="F730" t="s">
        <v>192</v>
      </c>
    </row>
    <row r="731" spans="1:6" x14ac:dyDescent="0.25">
      <c r="A731">
        <v>20181009</v>
      </c>
      <c r="B731" t="str">
        <f>"126287"</f>
        <v>126287</v>
      </c>
      <c r="C731" t="s">
        <v>531</v>
      </c>
      <c r="D731" s="3">
        <v>25</v>
      </c>
      <c r="E731" t="s">
        <v>532</v>
      </c>
      <c r="F731" t="s">
        <v>192</v>
      </c>
    </row>
    <row r="732" spans="1:6" x14ac:dyDescent="0.25">
      <c r="A732">
        <v>20181009</v>
      </c>
      <c r="B732" t="str">
        <f>"126287"</f>
        <v>126287</v>
      </c>
      <c r="C732" t="s">
        <v>531</v>
      </c>
      <c r="D732" s="3">
        <v>793.03</v>
      </c>
      <c r="E732" t="s">
        <v>534</v>
      </c>
      <c r="F732" t="s">
        <v>192</v>
      </c>
    </row>
    <row r="733" spans="1:6" x14ac:dyDescent="0.25">
      <c r="A733">
        <v>20181009</v>
      </c>
      <c r="B733" t="str">
        <f>"126287"</f>
        <v>126287</v>
      </c>
      <c r="C733" t="s">
        <v>531</v>
      </c>
      <c r="D733" s="3">
        <v>530.72</v>
      </c>
      <c r="E733" t="s">
        <v>534</v>
      </c>
      <c r="F733" t="s">
        <v>192</v>
      </c>
    </row>
    <row r="734" spans="1:6" x14ac:dyDescent="0.25">
      <c r="A734">
        <v>20181009</v>
      </c>
      <c r="B734" t="str">
        <f>"126288"</f>
        <v>126288</v>
      </c>
      <c r="C734" t="s">
        <v>531</v>
      </c>
      <c r="D734" s="3">
        <v>314.99</v>
      </c>
      <c r="E734" t="s">
        <v>534</v>
      </c>
      <c r="F734" t="s">
        <v>198</v>
      </c>
    </row>
    <row r="735" spans="1:6" x14ac:dyDescent="0.25">
      <c r="A735">
        <v>20181009</v>
      </c>
      <c r="B735" t="str">
        <f>"126288"</f>
        <v>126288</v>
      </c>
      <c r="C735" t="s">
        <v>531</v>
      </c>
      <c r="D735" s="3">
        <v>3331.9</v>
      </c>
      <c r="E735" t="s">
        <v>534</v>
      </c>
      <c r="F735" t="s">
        <v>192</v>
      </c>
    </row>
    <row r="736" spans="1:6" x14ac:dyDescent="0.25">
      <c r="A736">
        <v>20181009</v>
      </c>
      <c r="B736" t="str">
        <f>"126288"</f>
        <v>126288</v>
      </c>
      <c r="C736" t="s">
        <v>531</v>
      </c>
      <c r="D736" s="3">
        <v>218.71</v>
      </c>
      <c r="E736" t="s">
        <v>534</v>
      </c>
      <c r="F736" t="s">
        <v>192</v>
      </c>
    </row>
    <row r="737" spans="1:6" x14ac:dyDescent="0.25">
      <c r="A737">
        <v>20181009</v>
      </c>
      <c r="B737" t="str">
        <f>"126288"</f>
        <v>126288</v>
      </c>
      <c r="C737" t="s">
        <v>531</v>
      </c>
      <c r="D737" s="3">
        <v>962.4</v>
      </c>
      <c r="E737" t="s">
        <v>534</v>
      </c>
      <c r="F737" t="s">
        <v>192</v>
      </c>
    </row>
    <row r="738" spans="1:6" x14ac:dyDescent="0.25">
      <c r="A738">
        <v>20181009</v>
      </c>
      <c r="B738" t="str">
        <f>"126288"</f>
        <v>126288</v>
      </c>
      <c r="C738" t="s">
        <v>531</v>
      </c>
      <c r="D738" s="3">
        <v>2443.8200000000002</v>
      </c>
      <c r="E738" t="s">
        <v>534</v>
      </c>
      <c r="F738" t="s">
        <v>192</v>
      </c>
    </row>
    <row r="739" spans="1:6" x14ac:dyDescent="0.25">
      <c r="A739">
        <v>20181009</v>
      </c>
      <c r="B739" t="str">
        <f>"126288"</f>
        <v>126288</v>
      </c>
      <c r="C739" t="s">
        <v>531</v>
      </c>
      <c r="D739" s="3">
        <v>1515.45</v>
      </c>
      <c r="E739" t="s">
        <v>534</v>
      </c>
      <c r="F739" t="s">
        <v>192</v>
      </c>
    </row>
    <row r="740" spans="1:6" x14ac:dyDescent="0.25">
      <c r="A740">
        <v>20181009</v>
      </c>
      <c r="B740" t="str">
        <f>"126288"</f>
        <v>126288</v>
      </c>
      <c r="C740" t="s">
        <v>531</v>
      </c>
      <c r="D740" s="3">
        <v>691.11</v>
      </c>
      <c r="E740" t="s">
        <v>534</v>
      </c>
      <c r="F740" t="s">
        <v>192</v>
      </c>
    </row>
    <row r="741" spans="1:6" x14ac:dyDescent="0.25">
      <c r="A741">
        <v>20181009</v>
      </c>
      <c r="B741" t="str">
        <f>"126288"</f>
        <v>126288</v>
      </c>
      <c r="C741" t="s">
        <v>531</v>
      </c>
      <c r="D741" s="3">
        <v>780.77</v>
      </c>
      <c r="E741" t="s">
        <v>534</v>
      </c>
      <c r="F741" t="s">
        <v>192</v>
      </c>
    </row>
    <row r="742" spans="1:6" x14ac:dyDescent="0.25">
      <c r="A742">
        <v>20181009</v>
      </c>
      <c r="B742" t="str">
        <f>"126288"</f>
        <v>126288</v>
      </c>
      <c r="C742" t="s">
        <v>531</v>
      </c>
      <c r="D742" s="3">
        <v>1252.1300000000001</v>
      </c>
      <c r="E742" t="s">
        <v>534</v>
      </c>
      <c r="F742" t="s">
        <v>192</v>
      </c>
    </row>
    <row r="743" spans="1:6" x14ac:dyDescent="0.25">
      <c r="A743">
        <v>20181009</v>
      </c>
      <c r="B743" t="str">
        <f>"126288"</f>
        <v>126288</v>
      </c>
      <c r="C743" t="s">
        <v>531</v>
      </c>
      <c r="D743" s="3">
        <v>1370.11</v>
      </c>
      <c r="E743" t="s">
        <v>534</v>
      </c>
      <c r="F743" t="s">
        <v>192</v>
      </c>
    </row>
    <row r="744" spans="1:6" x14ac:dyDescent="0.25">
      <c r="A744">
        <v>20181009</v>
      </c>
      <c r="B744" t="str">
        <f>"126288"</f>
        <v>126288</v>
      </c>
      <c r="C744" t="s">
        <v>531</v>
      </c>
      <c r="D744" s="3">
        <v>1112.6500000000001</v>
      </c>
      <c r="E744" t="s">
        <v>534</v>
      </c>
      <c r="F744" t="s">
        <v>192</v>
      </c>
    </row>
    <row r="745" spans="1:6" x14ac:dyDescent="0.25">
      <c r="A745">
        <v>20181009</v>
      </c>
      <c r="B745" t="str">
        <f>"126288"</f>
        <v>126288</v>
      </c>
      <c r="C745" t="s">
        <v>531</v>
      </c>
      <c r="D745" s="3">
        <v>815.29</v>
      </c>
      <c r="E745" t="s">
        <v>534</v>
      </c>
      <c r="F745" t="s">
        <v>192</v>
      </c>
    </row>
    <row r="746" spans="1:6" x14ac:dyDescent="0.25">
      <c r="A746">
        <v>20181009</v>
      </c>
      <c r="B746" t="str">
        <f>"126288"</f>
        <v>126288</v>
      </c>
      <c r="C746" t="s">
        <v>531</v>
      </c>
      <c r="D746" s="3">
        <v>342.1</v>
      </c>
      <c r="E746" t="s">
        <v>534</v>
      </c>
      <c r="F746" t="s">
        <v>192</v>
      </c>
    </row>
    <row r="747" spans="1:6" x14ac:dyDescent="0.25">
      <c r="A747">
        <v>20181009</v>
      </c>
      <c r="B747" t="str">
        <f>"126288"</f>
        <v>126288</v>
      </c>
      <c r="C747" t="s">
        <v>531</v>
      </c>
      <c r="D747" s="3">
        <v>2415.48</v>
      </c>
      <c r="E747" t="s">
        <v>534</v>
      </c>
      <c r="F747" t="s">
        <v>192</v>
      </c>
    </row>
    <row r="748" spans="1:6" x14ac:dyDescent="0.25">
      <c r="A748">
        <v>20181009</v>
      </c>
      <c r="B748" t="str">
        <f>"126288"</f>
        <v>126288</v>
      </c>
      <c r="C748" t="s">
        <v>531</v>
      </c>
      <c r="D748" s="3">
        <v>702.81</v>
      </c>
      <c r="E748" t="s">
        <v>534</v>
      </c>
      <c r="F748" t="s">
        <v>192</v>
      </c>
    </row>
    <row r="749" spans="1:6" x14ac:dyDescent="0.25">
      <c r="A749">
        <v>20181009</v>
      </c>
      <c r="B749" t="str">
        <f>"126288"</f>
        <v>126288</v>
      </c>
      <c r="C749" t="s">
        <v>531</v>
      </c>
      <c r="D749" s="3">
        <v>228.57</v>
      </c>
      <c r="E749" t="s">
        <v>534</v>
      </c>
      <c r="F749" t="s">
        <v>192</v>
      </c>
    </row>
    <row r="750" spans="1:6" x14ac:dyDescent="0.25">
      <c r="A750">
        <v>20181015</v>
      </c>
      <c r="B750" t="str">
        <f>"126308"</f>
        <v>126308</v>
      </c>
      <c r="C750" t="s">
        <v>535</v>
      </c>
      <c r="D750" s="3">
        <v>5650</v>
      </c>
      <c r="E750" t="s">
        <v>536</v>
      </c>
      <c r="F750" t="s">
        <v>192</v>
      </c>
    </row>
    <row r="751" spans="1:6" x14ac:dyDescent="0.25">
      <c r="A751">
        <v>20181015</v>
      </c>
      <c r="B751" t="str">
        <f>"126309"</f>
        <v>126309</v>
      </c>
      <c r="C751" t="s">
        <v>537</v>
      </c>
      <c r="D751" s="3">
        <v>1637.23</v>
      </c>
      <c r="E751" t="s">
        <v>334</v>
      </c>
      <c r="F751" t="s">
        <v>192</v>
      </c>
    </row>
    <row r="752" spans="1:6" x14ac:dyDescent="0.25">
      <c r="A752">
        <v>20181015</v>
      </c>
      <c r="B752" t="str">
        <f>"126309"</f>
        <v>126309</v>
      </c>
      <c r="C752" t="s">
        <v>537</v>
      </c>
      <c r="D752" s="3">
        <v>579.59</v>
      </c>
      <c r="E752" t="s">
        <v>334</v>
      </c>
      <c r="F752" t="s">
        <v>192</v>
      </c>
    </row>
    <row r="753" spans="1:6" x14ac:dyDescent="0.25">
      <c r="A753">
        <v>20181015</v>
      </c>
      <c r="B753" t="str">
        <f>"126309"</f>
        <v>126309</v>
      </c>
      <c r="C753" t="s">
        <v>537</v>
      </c>
      <c r="D753" s="3">
        <v>365</v>
      </c>
      <c r="E753" t="s">
        <v>538</v>
      </c>
      <c r="F753" t="s">
        <v>192</v>
      </c>
    </row>
    <row r="754" spans="1:6" x14ac:dyDescent="0.25">
      <c r="A754">
        <v>20181015</v>
      </c>
      <c r="B754" t="str">
        <f>"126310"</f>
        <v>126310</v>
      </c>
      <c r="C754" t="s">
        <v>539</v>
      </c>
      <c r="D754" s="3">
        <v>40</v>
      </c>
      <c r="E754" t="s">
        <v>540</v>
      </c>
      <c r="F754" t="s">
        <v>192</v>
      </c>
    </row>
    <row r="755" spans="1:6" x14ac:dyDescent="0.25">
      <c r="A755">
        <v>20181015</v>
      </c>
      <c r="B755" t="str">
        <f>"126311"</f>
        <v>126311</v>
      </c>
      <c r="C755" t="s">
        <v>541</v>
      </c>
      <c r="D755" s="3">
        <v>709.2</v>
      </c>
      <c r="E755" t="s">
        <v>114</v>
      </c>
      <c r="F755" t="s">
        <v>192</v>
      </c>
    </row>
    <row r="756" spans="1:6" x14ac:dyDescent="0.25">
      <c r="A756">
        <v>20181015</v>
      </c>
      <c r="B756" t="str">
        <f>"126312"</f>
        <v>126312</v>
      </c>
      <c r="C756" t="s">
        <v>542</v>
      </c>
      <c r="D756" s="3">
        <v>43.1</v>
      </c>
      <c r="E756" t="s">
        <v>543</v>
      </c>
      <c r="F756" t="s">
        <v>544</v>
      </c>
    </row>
    <row r="757" spans="1:6" x14ac:dyDescent="0.25">
      <c r="A757">
        <v>20181015</v>
      </c>
      <c r="B757" t="str">
        <f>"126314"</f>
        <v>126314</v>
      </c>
      <c r="C757" t="s">
        <v>545</v>
      </c>
      <c r="D757" s="3">
        <v>2970</v>
      </c>
      <c r="E757" t="s">
        <v>547</v>
      </c>
      <c r="F757" t="s">
        <v>192</v>
      </c>
    </row>
    <row r="758" spans="1:6" x14ac:dyDescent="0.25">
      <c r="A758">
        <v>20181015</v>
      </c>
      <c r="B758" t="str">
        <f>"126314"</f>
        <v>126314</v>
      </c>
      <c r="C758" t="s">
        <v>545</v>
      </c>
      <c r="D758" s="3">
        <v>800</v>
      </c>
      <c r="E758" t="s">
        <v>546</v>
      </c>
      <c r="F758" t="s">
        <v>192</v>
      </c>
    </row>
    <row r="759" spans="1:6" x14ac:dyDescent="0.25">
      <c r="A759">
        <v>20181015</v>
      </c>
      <c r="B759" t="str">
        <f>"126314"</f>
        <v>126314</v>
      </c>
      <c r="C759" t="s">
        <v>545</v>
      </c>
      <c r="D759" s="3">
        <v>1200</v>
      </c>
      <c r="E759" t="s">
        <v>546</v>
      </c>
      <c r="F759" t="s">
        <v>192</v>
      </c>
    </row>
    <row r="760" spans="1:6" x14ac:dyDescent="0.25">
      <c r="A760">
        <v>20181015</v>
      </c>
      <c r="B760" t="str">
        <f>"126314"</f>
        <v>126314</v>
      </c>
      <c r="C760" t="s">
        <v>545</v>
      </c>
      <c r="D760" s="3">
        <v>1225</v>
      </c>
      <c r="E760" t="s">
        <v>337</v>
      </c>
      <c r="F760" t="s">
        <v>192</v>
      </c>
    </row>
    <row r="761" spans="1:6" x14ac:dyDescent="0.25">
      <c r="A761">
        <v>20181015</v>
      </c>
      <c r="B761" t="str">
        <f>"126314"</f>
        <v>126314</v>
      </c>
      <c r="C761" t="s">
        <v>545</v>
      </c>
      <c r="D761" s="3">
        <v>380</v>
      </c>
      <c r="E761" t="s">
        <v>337</v>
      </c>
      <c r="F761" t="s">
        <v>192</v>
      </c>
    </row>
    <row r="762" spans="1:6" x14ac:dyDescent="0.25">
      <c r="A762">
        <v>20181015</v>
      </c>
      <c r="B762" t="str">
        <f>"126315"</f>
        <v>126315</v>
      </c>
      <c r="C762" t="s">
        <v>548</v>
      </c>
      <c r="D762" s="3">
        <v>44</v>
      </c>
      <c r="E762" t="s">
        <v>549</v>
      </c>
      <c r="F762" t="s">
        <v>192</v>
      </c>
    </row>
    <row r="763" spans="1:6" x14ac:dyDescent="0.25">
      <c r="A763">
        <v>20181015</v>
      </c>
      <c r="B763" t="str">
        <f>"126316"</f>
        <v>126316</v>
      </c>
      <c r="C763" t="s">
        <v>550</v>
      </c>
      <c r="D763" s="3">
        <v>50.58</v>
      </c>
      <c r="E763" t="s">
        <v>228</v>
      </c>
      <c r="F763" t="s">
        <v>198</v>
      </c>
    </row>
    <row r="764" spans="1:6" x14ac:dyDescent="0.25">
      <c r="A764">
        <v>20181015</v>
      </c>
      <c r="B764" t="str">
        <f>"126317"</f>
        <v>126317</v>
      </c>
      <c r="C764" t="s">
        <v>551</v>
      </c>
      <c r="D764" s="3">
        <v>295</v>
      </c>
      <c r="E764" t="s">
        <v>73</v>
      </c>
      <c r="F764" t="s">
        <v>192</v>
      </c>
    </row>
    <row r="765" spans="1:6" x14ac:dyDescent="0.25">
      <c r="A765">
        <v>20181015</v>
      </c>
      <c r="B765" t="str">
        <f>"126318"</f>
        <v>126318</v>
      </c>
      <c r="C765" t="s">
        <v>6</v>
      </c>
      <c r="D765" s="3">
        <v>1430</v>
      </c>
      <c r="E765" t="s">
        <v>552</v>
      </c>
      <c r="F765" t="s">
        <v>192</v>
      </c>
    </row>
    <row r="766" spans="1:6" x14ac:dyDescent="0.25">
      <c r="A766">
        <v>20181015</v>
      </c>
      <c r="B766" t="str">
        <f>"126318"</f>
        <v>126318</v>
      </c>
      <c r="C766" t="s">
        <v>6</v>
      </c>
      <c r="D766" s="3">
        <v>128</v>
      </c>
      <c r="E766" t="s">
        <v>552</v>
      </c>
      <c r="F766" t="s">
        <v>192</v>
      </c>
    </row>
    <row r="767" spans="1:6" x14ac:dyDescent="0.25">
      <c r="A767">
        <v>20181015</v>
      </c>
      <c r="B767" t="str">
        <f>"126318"</f>
        <v>126318</v>
      </c>
      <c r="C767" t="s">
        <v>6</v>
      </c>
      <c r="D767" s="3">
        <v>55</v>
      </c>
      <c r="E767" t="s">
        <v>346</v>
      </c>
      <c r="F767" t="s">
        <v>192</v>
      </c>
    </row>
    <row r="768" spans="1:6" x14ac:dyDescent="0.25">
      <c r="A768">
        <v>20181015</v>
      </c>
      <c r="B768" t="str">
        <f>"126318"</f>
        <v>126318</v>
      </c>
      <c r="C768" t="s">
        <v>6</v>
      </c>
      <c r="D768" s="3">
        <v>9.99</v>
      </c>
      <c r="E768" t="s">
        <v>346</v>
      </c>
      <c r="F768" t="s">
        <v>192</v>
      </c>
    </row>
    <row r="769" spans="1:6" x14ac:dyDescent="0.25">
      <c r="A769">
        <v>20181015</v>
      </c>
      <c r="B769" t="str">
        <f>"126318"</f>
        <v>126318</v>
      </c>
      <c r="C769" t="s">
        <v>6</v>
      </c>
      <c r="D769" s="3">
        <v>1376</v>
      </c>
      <c r="E769" t="s">
        <v>28</v>
      </c>
      <c r="F769" t="s">
        <v>192</v>
      </c>
    </row>
    <row r="770" spans="1:6" x14ac:dyDescent="0.25">
      <c r="A770">
        <v>20181015</v>
      </c>
      <c r="B770" t="str">
        <f>"126318"</f>
        <v>126318</v>
      </c>
      <c r="C770" t="s">
        <v>6</v>
      </c>
      <c r="D770" s="3">
        <v>299</v>
      </c>
      <c r="E770" t="s">
        <v>28</v>
      </c>
      <c r="F770" t="s">
        <v>192</v>
      </c>
    </row>
    <row r="771" spans="1:6" x14ac:dyDescent="0.25">
      <c r="A771">
        <v>20181015</v>
      </c>
      <c r="B771" t="str">
        <f>"126318"</f>
        <v>126318</v>
      </c>
      <c r="C771" t="s">
        <v>6</v>
      </c>
      <c r="D771" s="3">
        <v>90</v>
      </c>
      <c r="E771" t="s">
        <v>553</v>
      </c>
      <c r="F771" t="s">
        <v>192</v>
      </c>
    </row>
    <row r="772" spans="1:6" x14ac:dyDescent="0.25">
      <c r="A772">
        <v>20181015</v>
      </c>
      <c r="B772" t="str">
        <f>"126319"</f>
        <v>126319</v>
      </c>
      <c r="C772" t="s">
        <v>554</v>
      </c>
      <c r="D772" s="3">
        <v>10</v>
      </c>
      <c r="E772" t="s">
        <v>555</v>
      </c>
      <c r="F772" t="s">
        <v>215</v>
      </c>
    </row>
    <row r="773" spans="1:6" x14ac:dyDescent="0.25">
      <c r="A773">
        <v>20181015</v>
      </c>
      <c r="B773" t="str">
        <f>"126320"</f>
        <v>126320</v>
      </c>
      <c r="C773" t="s">
        <v>212</v>
      </c>
      <c r="D773" s="3">
        <v>52.44</v>
      </c>
      <c r="E773" t="s">
        <v>213</v>
      </c>
      <c r="F773" t="s">
        <v>192</v>
      </c>
    </row>
    <row r="774" spans="1:6" x14ac:dyDescent="0.25">
      <c r="A774">
        <v>20181015</v>
      </c>
      <c r="B774" t="str">
        <f>"126320"</f>
        <v>126320</v>
      </c>
      <c r="C774" t="s">
        <v>212</v>
      </c>
      <c r="D774" s="3">
        <v>2254.92</v>
      </c>
      <c r="E774" t="s">
        <v>213</v>
      </c>
      <c r="F774" t="s">
        <v>192</v>
      </c>
    </row>
    <row r="775" spans="1:6" x14ac:dyDescent="0.25">
      <c r="A775">
        <v>20181015</v>
      </c>
      <c r="B775" t="str">
        <f>"126321"</f>
        <v>126321</v>
      </c>
      <c r="C775" t="s">
        <v>503</v>
      </c>
      <c r="D775" s="3">
        <v>1200.1199999999999</v>
      </c>
      <c r="E775" t="s">
        <v>241</v>
      </c>
      <c r="F775" t="s">
        <v>192</v>
      </c>
    </row>
    <row r="776" spans="1:6" x14ac:dyDescent="0.25">
      <c r="A776">
        <v>20181015</v>
      </c>
      <c r="B776" t="str">
        <f>"126321"</f>
        <v>126321</v>
      </c>
      <c r="C776" t="s">
        <v>503</v>
      </c>
      <c r="D776" s="3">
        <v>883.28</v>
      </c>
      <c r="E776" t="s">
        <v>241</v>
      </c>
      <c r="F776" t="s">
        <v>192</v>
      </c>
    </row>
    <row r="777" spans="1:6" x14ac:dyDescent="0.25">
      <c r="A777">
        <v>20181015</v>
      </c>
      <c r="B777" t="str">
        <f>"126321"</f>
        <v>126321</v>
      </c>
      <c r="C777" t="s">
        <v>503</v>
      </c>
      <c r="D777" s="3">
        <v>1236.94</v>
      </c>
      <c r="E777" t="s">
        <v>241</v>
      </c>
      <c r="F777" t="s">
        <v>192</v>
      </c>
    </row>
    <row r="778" spans="1:6" x14ac:dyDescent="0.25">
      <c r="A778">
        <v>20181015</v>
      </c>
      <c r="B778" t="str">
        <f>"126322"</f>
        <v>126322</v>
      </c>
      <c r="C778" t="s">
        <v>556</v>
      </c>
      <c r="D778" s="3">
        <v>60</v>
      </c>
      <c r="E778" t="s">
        <v>557</v>
      </c>
      <c r="F778" t="s">
        <v>192</v>
      </c>
    </row>
    <row r="779" spans="1:6" x14ac:dyDescent="0.25">
      <c r="A779">
        <v>20181015</v>
      </c>
      <c r="B779" t="str">
        <f>"126323"</f>
        <v>126323</v>
      </c>
      <c r="C779" t="s">
        <v>558</v>
      </c>
      <c r="D779" s="3">
        <v>3186.75</v>
      </c>
      <c r="E779" t="s">
        <v>114</v>
      </c>
      <c r="F779" t="s">
        <v>192</v>
      </c>
    </row>
    <row r="780" spans="1:6" x14ac:dyDescent="0.25">
      <c r="A780">
        <v>20181015</v>
      </c>
      <c r="B780" t="str">
        <f>"126323"</f>
        <v>126323</v>
      </c>
      <c r="C780" t="s">
        <v>558</v>
      </c>
      <c r="D780" s="3">
        <v>167.7</v>
      </c>
      <c r="E780" t="s">
        <v>28</v>
      </c>
      <c r="F780" t="s">
        <v>307</v>
      </c>
    </row>
    <row r="781" spans="1:6" x14ac:dyDescent="0.25">
      <c r="A781">
        <v>20181015</v>
      </c>
      <c r="B781" t="str">
        <f>"126323"</f>
        <v>126323</v>
      </c>
      <c r="C781" t="s">
        <v>558</v>
      </c>
      <c r="D781" s="3">
        <v>898.2</v>
      </c>
      <c r="E781" t="s">
        <v>28</v>
      </c>
      <c r="F781" t="s">
        <v>192</v>
      </c>
    </row>
    <row r="782" spans="1:6" x14ac:dyDescent="0.25">
      <c r="A782">
        <v>20181015</v>
      </c>
      <c r="B782" t="str">
        <f>"126323"</f>
        <v>126323</v>
      </c>
      <c r="C782" t="s">
        <v>558</v>
      </c>
      <c r="D782" s="3">
        <v>60</v>
      </c>
      <c r="E782" t="s">
        <v>28</v>
      </c>
      <c r="F782" t="s">
        <v>192</v>
      </c>
    </row>
    <row r="783" spans="1:6" x14ac:dyDescent="0.25">
      <c r="A783">
        <v>20181015</v>
      </c>
      <c r="B783" t="str">
        <f>"126324"</f>
        <v>126324</v>
      </c>
      <c r="C783" t="s">
        <v>297</v>
      </c>
      <c r="D783" s="3">
        <v>-515.82000000000005</v>
      </c>
      <c r="E783" t="s">
        <v>128</v>
      </c>
      <c r="F783" t="s">
        <v>192</v>
      </c>
    </row>
    <row r="784" spans="1:6" x14ac:dyDescent="0.25">
      <c r="A784">
        <v>20181015</v>
      </c>
      <c r="B784" t="str">
        <f>"126324"</f>
        <v>126324</v>
      </c>
      <c r="C784" t="s">
        <v>297</v>
      </c>
      <c r="D784" s="3">
        <v>2099.3200000000002</v>
      </c>
      <c r="E784" t="s">
        <v>351</v>
      </c>
      <c r="F784" t="s">
        <v>192</v>
      </c>
    </row>
    <row r="785" spans="1:6" x14ac:dyDescent="0.25">
      <c r="A785">
        <v>20181015</v>
      </c>
      <c r="B785" t="str">
        <f>"126325"</f>
        <v>126325</v>
      </c>
      <c r="C785" t="s">
        <v>214</v>
      </c>
      <c r="D785" s="3">
        <v>136.84</v>
      </c>
      <c r="E785" t="s">
        <v>28</v>
      </c>
      <c r="F785" t="s">
        <v>192</v>
      </c>
    </row>
    <row r="786" spans="1:6" x14ac:dyDescent="0.25">
      <c r="A786">
        <v>20181015</v>
      </c>
      <c r="B786" t="str">
        <f>"126326"</f>
        <v>126326</v>
      </c>
      <c r="C786" t="s">
        <v>559</v>
      </c>
      <c r="D786" s="3">
        <v>25</v>
      </c>
      <c r="E786" t="s">
        <v>560</v>
      </c>
      <c r="F786" t="s">
        <v>198</v>
      </c>
    </row>
    <row r="787" spans="1:6" x14ac:dyDescent="0.25">
      <c r="A787">
        <v>20181015</v>
      </c>
      <c r="B787" t="str">
        <f>"126326"</f>
        <v>126326</v>
      </c>
      <c r="C787" t="s">
        <v>559</v>
      </c>
      <c r="D787" s="3">
        <v>25</v>
      </c>
      <c r="E787" t="s">
        <v>560</v>
      </c>
      <c r="F787" t="s">
        <v>198</v>
      </c>
    </row>
    <row r="788" spans="1:6" x14ac:dyDescent="0.25">
      <c r="A788">
        <v>20181015</v>
      </c>
      <c r="B788" t="str">
        <f>"126326"</f>
        <v>126326</v>
      </c>
      <c r="C788" t="s">
        <v>559</v>
      </c>
      <c r="D788" s="3">
        <v>25</v>
      </c>
      <c r="E788" t="s">
        <v>560</v>
      </c>
      <c r="F788" t="s">
        <v>198</v>
      </c>
    </row>
    <row r="789" spans="1:6" x14ac:dyDescent="0.25">
      <c r="A789">
        <v>20181015</v>
      </c>
      <c r="B789" t="str">
        <f>"126326"</f>
        <v>126326</v>
      </c>
      <c r="C789" t="s">
        <v>559</v>
      </c>
      <c r="D789" s="3">
        <v>25</v>
      </c>
      <c r="E789" t="s">
        <v>560</v>
      </c>
      <c r="F789" t="s">
        <v>198</v>
      </c>
    </row>
    <row r="790" spans="1:6" x14ac:dyDescent="0.25">
      <c r="A790">
        <v>20181015</v>
      </c>
      <c r="B790" t="str">
        <f>"126326"</f>
        <v>126326</v>
      </c>
      <c r="C790" t="s">
        <v>559</v>
      </c>
      <c r="D790" s="3">
        <v>60</v>
      </c>
      <c r="E790" t="s">
        <v>560</v>
      </c>
      <c r="F790" t="s">
        <v>198</v>
      </c>
    </row>
    <row r="791" spans="1:6" x14ac:dyDescent="0.25">
      <c r="A791">
        <v>20181015</v>
      </c>
      <c r="B791" t="str">
        <f>"126326"</f>
        <v>126326</v>
      </c>
      <c r="C791" t="s">
        <v>559</v>
      </c>
      <c r="D791" s="3">
        <v>25</v>
      </c>
      <c r="E791" t="s">
        <v>561</v>
      </c>
      <c r="F791" t="s">
        <v>198</v>
      </c>
    </row>
    <row r="792" spans="1:6" x14ac:dyDescent="0.25">
      <c r="A792">
        <v>20181015</v>
      </c>
      <c r="B792" t="str">
        <f>"126327"</f>
        <v>126327</v>
      </c>
      <c r="C792" t="s">
        <v>562</v>
      </c>
      <c r="D792" s="3">
        <v>300</v>
      </c>
      <c r="E792" t="s">
        <v>67</v>
      </c>
      <c r="F792" t="s">
        <v>198</v>
      </c>
    </row>
    <row r="793" spans="1:6" x14ac:dyDescent="0.25">
      <c r="A793">
        <v>20181015</v>
      </c>
      <c r="B793" t="str">
        <f>"126328"</f>
        <v>126328</v>
      </c>
      <c r="C793" t="s">
        <v>563</v>
      </c>
      <c r="D793" s="3">
        <v>128</v>
      </c>
      <c r="E793" t="s">
        <v>564</v>
      </c>
      <c r="F793" t="s">
        <v>192</v>
      </c>
    </row>
    <row r="794" spans="1:6" x14ac:dyDescent="0.25">
      <c r="A794">
        <v>20181015</v>
      </c>
      <c r="B794" t="str">
        <f>"126329"</f>
        <v>126329</v>
      </c>
      <c r="C794" t="s">
        <v>218</v>
      </c>
      <c r="D794" s="3">
        <v>-16.95</v>
      </c>
      <c r="E794" t="s">
        <v>220</v>
      </c>
      <c r="F794" t="s">
        <v>215</v>
      </c>
    </row>
    <row r="795" spans="1:6" x14ac:dyDescent="0.25">
      <c r="A795">
        <v>20181015</v>
      </c>
      <c r="B795" t="str">
        <f>"126329"</f>
        <v>126329</v>
      </c>
      <c r="C795" t="s">
        <v>218</v>
      </c>
      <c r="D795" s="3">
        <v>-45.6</v>
      </c>
      <c r="E795" t="s">
        <v>220</v>
      </c>
      <c r="F795" t="s">
        <v>215</v>
      </c>
    </row>
    <row r="796" spans="1:6" x14ac:dyDescent="0.25">
      <c r="A796">
        <v>20181015</v>
      </c>
      <c r="B796" t="str">
        <f>"126329"</f>
        <v>126329</v>
      </c>
      <c r="C796" t="s">
        <v>218</v>
      </c>
      <c r="D796" s="3">
        <v>67.8</v>
      </c>
      <c r="E796" t="s">
        <v>258</v>
      </c>
      <c r="F796" t="s">
        <v>215</v>
      </c>
    </row>
    <row r="797" spans="1:6" x14ac:dyDescent="0.25">
      <c r="A797">
        <v>20181015</v>
      </c>
      <c r="B797" t="str">
        <f>"126329"</f>
        <v>126329</v>
      </c>
      <c r="C797" t="s">
        <v>218</v>
      </c>
      <c r="D797" s="3">
        <v>173.3</v>
      </c>
      <c r="E797" t="s">
        <v>258</v>
      </c>
      <c r="F797" t="s">
        <v>215</v>
      </c>
    </row>
    <row r="798" spans="1:6" x14ac:dyDescent="0.25">
      <c r="A798">
        <v>20181015</v>
      </c>
      <c r="B798" t="str">
        <f>"126329"</f>
        <v>126329</v>
      </c>
      <c r="C798" t="s">
        <v>218</v>
      </c>
      <c r="D798" s="3">
        <v>101.7</v>
      </c>
      <c r="E798" t="s">
        <v>258</v>
      </c>
      <c r="F798" t="s">
        <v>215</v>
      </c>
    </row>
    <row r="799" spans="1:6" x14ac:dyDescent="0.25">
      <c r="A799">
        <v>20181015</v>
      </c>
      <c r="B799" t="str">
        <f>"126329"</f>
        <v>126329</v>
      </c>
      <c r="C799" t="s">
        <v>218</v>
      </c>
      <c r="D799" s="3">
        <v>169.5</v>
      </c>
      <c r="E799" t="s">
        <v>258</v>
      </c>
      <c r="F799" t="s">
        <v>215</v>
      </c>
    </row>
    <row r="800" spans="1:6" x14ac:dyDescent="0.25">
      <c r="A800">
        <v>20181015</v>
      </c>
      <c r="B800" t="str">
        <f>"126329"</f>
        <v>126329</v>
      </c>
      <c r="C800" t="s">
        <v>218</v>
      </c>
      <c r="D800" s="3">
        <v>84.75</v>
      </c>
      <c r="E800" t="s">
        <v>258</v>
      </c>
      <c r="F800" t="s">
        <v>215</v>
      </c>
    </row>
    <row r="801" spans="1:6" x14ac:dyDescent="0.25">
      <c r="A801">
        <v>20181015</v>
      </c>
      <c r="B801" t="str">
        <f>"126329"</f>
        <v>126329</v>
      </c>
      <c r="C801" t="s">
        <v>218</v>
      </c>
      <c r="D801" s="3">
        <v>38.1</v>
      </c>
      <c r="E801" t="s">
        <v>258</v>
      </c>
      <c r="F801" t="s">
        <v>215</v>
      </c>
    </row>
    <row r="802" spans="1:6" x14ac:dyDescent="0.25">
      <c r="A802">
        <v>20181015</v>
      </c>
      <c r="B802" t="str">
        <f>"126329"</f>
        <v>126329</v>
      </c>
      <c r="C802" t="s">
        <v>218</v>
      </c>
      <c r="D802" s="3">
        <v>50.85</v>
      </c>
      <c r="E802" t="s">
        <v>258</v>
      </c>
      <c r="F802" t="s">
        <v>215</v>
      </c>
    </row>
    <row r="803" spans="1:6" x14ac:dyDescent="0.25">
      <c r="A803">
        <v>20181015</v>
      </c>
      <c r="B803" t="str">
        <f>"126329"</f>
        <v>126329</v>
      </c>
      <c r="C803" t="s">
        <v>218</v>
      </c>
      <c r="D803" s="3">
        <v>84.75</v>
      </c>
      <c r="E803" t="s">
        <v>258</v>
      </c>
      <c r="F803" t="s">
        <v>215</v>
      </c>
    </row>
    <row r="804" spans="1:6" x14ac:dyDescent="0.25">
      <c r="A804">
        <v>20181015</v>
      </c>
      <c r="B804" t="str">
        <f>"126329"</f>
        <v>126329</v>
      </c>
      <c r="C804" t="s">
        <v>218</v>
      </c>
      <c r="D804" s="3">
        <v>135.6</v>
      </c>
      <c r="E804" t="s">
        <v>258</v>
      </c>
      <c r="F804" t="s">
        <v>215</v>
      </c>
    </row>
    <row r="805" spans="1:6" x14ac:dyDescent="0.25">
      <c r="A805">
        <v>20181015</v>
      </c>
      <c r="B805" t="str">
        <f>"126329"</f>
        <v>126329</v>
      </c>
      <c r="C805" t="s">
        <v>218</v>
      </c>
      <c r="D805" s="3">
        <v>135.6</v>
      </c>
      <c r="E805" t="s">
        <v>258</v>
      </c>
      <c r="F805" t="s">
        <v>215</v>
      </c>
    </row>
    <row r="806" spans="1:6" x14ac:dyDescent="0.25">
      <c r="A806">
        <v>20181015</v>
      </c>
      <c r="B806" t="str">
        <f>"126329"</f>
        <v>126329</v>
      </c>
      <c r="C806" t="s">
        <v>218</v>
      </c>
      <c r="D806" s="3">
        <v>101.7</v>
      </c>
      <c r="E806" t="s">
        <v>258</v>
      </c>
      <c r="F806" t="s">
        <v>215</v>
      </c>
    </row>
    <row r="807" spans="1:6" x14ac:dyDescent="0.25">
      <c r="A807">
        <v>20181015</v>
      </c>
      <c r="B807" t="str">
        <f>"126329"</f>
        <v>126329</v>
      </c>
      <c r="C807" t="s">
        <v>218</v>
      </c>
      <c r="D807" s="3">
        <v>186.45</v>
      </c>
      <c r="E807" t="s">
        <v>258</v>
      </c>
      <c r="F807" t="s">
        <v>215</v>
      </c>
    </row>
    <row r="808" spans="1:6" x14ac:dyDescent="0.25">
      <c r="A808">
        <v>20181015</v>
      </c>
      <c r="B808" t="str">
        <f>"126329"</f>
        <v>126329</v>
      </c>
      <c r="C808" t="s">
        <v>218</v>
      </c>
      <c r="D808" s="3">
        <v>152</v>
      </c>
      <c r="E808" t="s">
        <v>258</v>
      </c>
      <c r="F808" t="s">
        <v>215</v>
      </c>
    </row>
    <row r="809" spans="1:6" x14ac:dyDescent="0.25">
      <c r="A809">
        <v>20181015</v>
      </c>
      <c r="B809" t="str">
        <f>"126329"</f>
        <v>126329</v>
      </c>
      <c r="C809" t="s">
        <v>218</v>
      </c>
      <c r="D809" s="3">
        <v>231</v>
      </c>
      <c r="E809" t="s">
        <v>258</v>
      </c>
      <c r="F809" t="s">
        <v>215</v>
      </c>
    </row>
    <row r="810" spans="1:6" x14ac:dyDescent="0.25">
      <c r="A810">
        <v>20181015</v>
      </c>
      <c r="B810" t="str">
        <f>"126329"</f>
        <v>126329</v>
      </c>
      <c r="C810" t="s">
        <v>218</v>
      </c>
      <c r="D810" s="3">
        <v>273.60000000000002</v>
      </c>
      <c r="E810" t="s">
        <v>258</v>
      </c>
      <c r="F810" t="s">
        <v>215</v>
      </c>
    </row>
    <row r="811" spans="1:6" x14ac:dyDescent="0.25">
      <c r="A811">
        <v>20181015</v>
      </c>
      <c r="B811" t="str">
        <f>"126329"</f>
        <v>126329</v>
      </c>
      <c r="C811" t="s">
        <v>218</v>
      </c>
      <c r="D811" s="3">
        <v>182.4</v>
      </c>
      <c r="E811" t="s">
        <v>258</v>
      </c>
      <c r="F811" t="s">
        <v>215</v>
      </c>
    </row>
    <row r="812" spans="1:6" x14ac:dyDescent="0.25">
      <c r="A812">
        <v>20181015</v>
      </c>
      <c r="B812" t="str">
        <f>"126329"</f>
        <v>126329</v>
      </c>
      <c r="C812" t="s">
        <v>218</v>
      </c>
      <c r="D812" s="3">
        <v>121.6</v>
      </c>
      <c r="E812" t="s">
        <v>258</v>
      </c>
      <c r="F812" t="s">
        <v>215</v>
      </c>
    </row>
    <row r="813" spans="1:6" x14ac:dyDescent="0.25">
      <c r="A813">
        <v>20181015</v>
      </c>
      <c r="B813" t="str">
        <f>"126329"</f>
        <v>126329</v>
      </c>
      <c r="C813" t="s">
        <v>218</v>
      </c>
      <c r="D813" s="3">
        <v>288.14999999999998</v>
      </c>
      <c r="E813" t="s">
        <v>258</v>
      </c>
      <c r="F813" t="s">
        <v>215</v>
      </c>
    </row>
    <row r="814" spans="1:6" x14ac:dyDescent="0.25">
      <c r="A814">
        <v>20181015</v>
      </c>
      <c r="B814" t="str">
        <f>"126329"</f>
        <v>126329</v>
      </c>
      <c r="C814" t="s">
        <v>218</v>
      </c>
      <c r="D814" s="3">
        <v>197.6</v>
      </c>
      <c r="E814" t="s">
        <v>258</v>
      </c>
      <c r="F814" t="s">
        <v>215</v>
      </c>
    </row>
    <row r="815" spans="1:6" x14ac:dyDescent="0.25">
      <c r="A815">
        <v>20181015</v>
      </c>
      <c r="B815" t="str">
        <f>"126329"</f>
        <v>126329</v>
      </c>
      <c r="C815" t="s">
        <v>218</v>
      </c>
      <c r="D815" s="3">
        <v>91.2</v>
      </c>
      <c r="E815" t="s">
        <v>258</v>
      </c>
      <c r="F815" t="s">
        <v>215</v>
      </c>
    </row>
    <row r="816" spans="1:6" x14ac:dyDescent="0.25">
      <c r="A816">
        <v>20181015</v>
      </c>
      <c r="B816" t="str">
        <f>"126329"</f>
        <v>126329</v>
      </c>
      <c r="C816" t="s">
        <v>218</v>
      </c>
      <c r="D816" s="3">
        <v>425.6</v>
      </c>
      <c r="E816" t="s">
        <v>258</v>
      </c>
      <c r="F816" t="s">
        <v>215</v>
      </c>
    </row>
    <row r="817" spans="1:6" x14ac:dyDescent="0.25">
      <c r="A817">
        <v>20181015</v>
      </c>
      <c r="B817" t="str">
        <f>"126329"</f>
        <v>126329</v>
      </c>
      <c r="C817" t="s">
        <v>218</v>
      </c>
      <c r="D817" s="3">
        <v>243.2</v>
      </c>
      <c r="E817" t="s">
        <v>258</v>
      </c>
      <c r="F817" t="s">
        <v>215</v>
      </c>
    </row>
    <row r="818" spans="1:6" x14ac:dyDescent="0.25">
      <c r="A818">
        <v>20181015</v>
      </c>
      <c r="B818" t="str">
        <f>"126329"</f>
        <v>126329</v>
      </c>
      <c r="C818" t="s">
        <v>218</v>
      </c>
      <c r="D818" s="3">
        <v>60.8</v>
      </c>
      <c r="E818" t="s">
        <v>258</v>
      </c>
      <c r="F818" t="s">
        <v>215</v>
      </c>
    </row>
    <row r="819" spans="1:6" x14ac:dyDescent="0.25">
      <c r="A819">
        <v>20181015</v>
      </c>
      <c r="B819" t="str">
        <f>"126329"</f>
        <v>126329</v>
      </c>
      <c r="C819" t="s">
        <v>218</v>
      </c>
      <c r="D819" s="3">
        <v>281.2</v>
      </c>
      <c r="E819" t="s">
        <v>258</v>
      </c>
      <c r="F819" t="s">
        <v>215</v>
      </c>
    </row>
    <row r="820" spans="1:6" x14ac:dyDescent="0.25">
      <c r="A820">
        <v>20181015</v>
      </c>
      <c r="B820" t="str">
        <f>"126329"</f>
        <v>126329</v>
      </c>
      <c r="C820" t="s">
        <v>218</v>
      </c>
      <c r="D820" s="3">
        <v>76</v>
      </c>
      <c r="E820" t="s">
        <v>258</v>
      </c>
      <c r="F820" t="s">
        <v>215</v>
      </c>
    </row>
    <row r="821" spans="1:6" x14ac:dyDescent="0.25">
      <c r="A821">
        <v>20181015</v>
      </c>
      <c r="B821" t="str">
        <f>"126329"</f>
        <v>126329</v>
      </c>
      <c r="C821" t="s">
        <v>218</v>
      </c>
      <c r="D821" s="3">
        <v>243.2</v>
      </c>
      <c r="E821" t="s">
        <v>258</v>
      </c>
      <c r="F821" t="s">
        <v>215</v>
      </c>
    </row>
    <row r="822" spans="1:6" x14ac:dyDescent="0.25">
      <c r="A822">
        <v>20181015</v>
      </c>
      <c r="B822" t="str">
        <f>"126329"</f>
        <v>126329</v>
      </c>
      <c r="C822" t="s">
        <v>218</v>
      </c>
      <c r="D822" s="3">
        <v>197.6</v>
      </c>
      <c r="E822" t="s">
        <v>258</v>
      </c>
      <c r="F822" t="s">
        <v>215</v>
      </c>
    </row>
    <row r="823" spans="1:6" x14ac:dyDescent="0.25">
      <c r="A823">
        <v>20181015</v>
      </c>
      <c r="B823" t="str">
        <f>"126329"</f>
        <v>126329</v>
      </c>
      <c r="C823" t="s">
        <v>218</v>
      </c>
      <c r="D823" s="3">
        <v>220.4</v>
      </c>
      <c r="E823" t="s">
        <v>258</v>
      </c>
      <c r="F823" t="s">
        <v>215</v>
      </c>
    </row>
    <row r="824" spans="1:6" x14ac:dyDescent="0.25">
      <c r="A824">
        <v>20181015</v>
      </c>
      <c r="B824" t="str">
        <f>"126329"</f>
        <v>126329</v>
      </c>
      <c r="C824" t="s">
        <v>218</v>
      </c>
      <c r="D824" s="3">
        <v>243.2</v>
      </c>
      <c r="E824" t="s">
        <v>258</v>
      </c>
      <c r="F824" t="s">
        <v>215</v>
      </c>
    </row>
    <row r="825" spans="1:6" x14ac:dyDescent="0.25">
      <c r="A825">
        <v>20181015</v>
      </c>
      <c r="B825" t="str">
        <f>"126329"</f>
        <v>126329</v>
      </c>
      <c r="C825" t="s">
        <v>218</v>
      </c>
      <c r="D825" s="3">
        <v>136.80000000000001</v>
      </c>
      <c r="E825" t="s">
        <v>258</v>
      </c>
      <c r="F825" t="s">
        <v>215</v>
      </c>
    </row>
    <row r="826" spans="1:6" x14ac:dyDescent="0.25">
      <c r="A826">
        <v>20181015</v>
      </c>
      <c r="B826" t="str">
        <f>"126329"</f>
        <v>126329</v>
      </c>
      <c r="C826" t="s">
        <v>218</v>
      </c>
      <c r="D826" s="3">
        <v>228</v>
      </c>
      <c r="E826" t="s">
        <v>258</v>
      </c>
      <c r="F826" t="s">
        <v>215</v>
      </c>
    </row>
    <row r="827" spans="1:6" x14ac:dyDescent="0.25">
      <c r="A827">
        <v>20181015</v>
      </c>
      <c r="B827" t="str">
        <f>"126329"</f>
        <v>126329</v>
      </c>
      <c r="C827" t="s">
        <v>218</v>
      </c>
      <c r="D827" s="3">
        <v>79.8</v>
      </c>
      <c r="E827" t="s">
        <v>258</v>
      </c>
      <c r="F827" t="s">
        <v>215</v>
      </c>
    </row>
    <row r="828" spans="1:6" x14ac:dyDescent="0.25">
      <c r="A828">
        <v>20181015</v>
      </c>
      <c r="B828" t="str">
        <f>"126329"</f>
        <v>126329</v>
      </c>
      <c r="C828" t="s">
        <v>218</v>
      </c>
      <c r="D828" s="3">
        <v>182.4</v>
      </c>
      <c r="E828" t="s">
        <v>258</v>
      </c>
      <c r="F828" t="s">
        <v>215</v>
      </c>
    </row>
    <row r="829" spans="1:6" x14ac:dyDescent="0.25">
      <c r="A829">
        <v>20181015</v>
      </c>
      <c r="B829" t="str">
        <f>"126329"</f>
        <v>126329</v>
      </c>
      <c r="C829" t="s">
        <v>218</v>
      </c>
      <c r="D829" s="3">
        <v>106.4</v>
      </c>
      <c r="E829" t="s">
        <v>258</v>
      </c>
      <c r="F829" t="s">
        <v>215</v>
      </c>
    </row>
    <row r="830" spans="1:6" x14ac:dyDescent="0.25">
      <c r="A830">
        <v>20181015</v>
      </c>
      <c r="B830" t="str">
        <f>"126329"</f>
        <v>126329</v>
      </c>
      <c r="C830" t="s">
        <v>218</v>
      </c>
      <c r="D830" s="3">
        <v>106.4</v>
      </c>
      <c r="E830" t="s">
        <v>258</v>
      </c>
      <c r="F830" t="s">
        <v>215</v>
      </c>
    </row>
    <row r="831" spans="1:6" x14ac:dyDescent="0.25">
      <c r="A831">
        <v>20181015</v>
      </c>
      <c r="B831" t="str">
        <f>"126329"</f>
        <v>126329</v>
      </c>
      <c r="C831" t="s">
        <v>218</v>
      </c>
      <c r="D831" s="3">
        <v>106.4</v>
      </c>
      <c r="E831" t="s">
        <v>258</v>
      </c>
      <c r="F831" t="s">
        <v>215</v>
      </c>
    </row>
    <row r="832" spans="1:6" x14ac:dyDescent="0.25">
      <c r="A832">
        <v>20181015</v>
      </c>
      <c r="B832" t="str">
        <f>"126329"</f>
        <v>126329</v>
      </c>
      <c r="C832" t="s">
        <v>218</v>
      </c>
      <c r="D832" s="3">
        <v>106.4</v>
      </c>
      <c r="E832" t="s">
        <v>258</v>
      </c>
      <c r="F832" t="s">
        <v>215</v>
      </c>
    </row>
    <row r="833" spans="1:6" x14ac:dyDescent="0.25">
      <c r="A833">
        <v>20181015</v>
      </c>
      <c r="B833" t="str">
        <f>"126330"</f>
        <v>126330</v>
      </c>
      <c r="C833" t="s">
        <v>565</v>
      </c>
      <c r="D833" s="3">
        <v>325</v>
      </c>
      <c r="E833" t="s">
        <v>67</v>
      </c>
      <c r="F833" t="s">
        <v>198</v>
      </c>
    </row>
    <row r="834" spans="1:6" x14ac:dyDescent="0.25">
      <c r="A834">
        <v>20181015</v>
      </c>
      <c r="B834" t="str">
        <f>"126331"</f>
        <v>126331</v>
      </c>
      <c r="C834" t="s">
        <v>566</v>
      </c>
      <c r="D834" s="3">
        <v>272.35000000000002</v>
      </c>
      <c r="E834" t="s">
        <v>351</v>
      </c>
      <c r="F834" t="s">
        <v>192</v>
      </c>
    </row>
    <row r="835" spans="1:6" x14ac:dyDescent="0.25">
      <c r="A835">
        <v>20181015</v>
      </c>
      <c r="B835" t="str">
        <f>"126332"</f>
        <v>126332</v>
      </c>
      <c r="C835" t="s">
        <v>567</v>
      </c>
      <c r="D835" s="3">
        <v>3026</v>
      </c>
      <c r="E835" t="s">
        <v>568</v>
      </c>
      <c r="F835" t="s">
        <v>198</v>
      </c>
    </row>
    <row r="836" spans="1:6" x14ac:dyDescent="0.25">
      <c r="A836">
        <v>20181015</v>
      </c>
      <c r="B836" t="str">
        <f>"126333"</f>
        <v>126333</v>
      </c>
      <c r="C836" t="s">
        <v>569</v>
      </c>
      <c r="D836" s="3">
        <v>3375</v>
      </c>
      <c r="E836" t="s">
        <v>570</v>
      </c>
      <c r="F836" t="s">
        <v>192</v>
      </c>
    </row>
    <row r="837" spans="1:6" x14ac:dyDescent="0.25">
      <c r="A837">
        <v>20181015</v>
      </c>
      <c r="B837" t="str">
        <f>"126333"</f>
        <v>126333</v>
      </c>
      <c r="C837" t="s">
        <v>569</v>
      </c>
      <c r="D837" s="3">
        <v>2570</v>
      </c>
      <c r="E837" t="s">
        <v>217</v>
      </c>
      <c r="F837" t="s">
        <v>192</v>
      </c>
    </row>
    <row r="838" spans="1:6" x14ac:dyDescent="0.25">
      <c r="A838">
        <v>20181015</v>
      </c>
      <c r="B838" t="str">
        <f>"126334"</f>
        <v>126334</v>
      </c>
      <c r="C838" t="s">
        <v>74</v>
      </c>
      <c r="D838" s="3">
        <v>3609.4</v>
      </c>
      <c r="E838" t="s">
        <v>571</v>
      </c>
      <c r="F838" t="s">
        <v>198</v>
      </c>
    </row>
    <row r="839" spans="1:6" x14ac:dyDescent="0.25">
      <c r="A839">
        <v>20181015</v>
      </c>
      <c r="B839" t="str">
        <f>"126334"</f>
        <v>126334</v>
      </c>
      <c r="C839" t="s">
        <v>74</v>
      </c>
      <c r="D839" s="3">
        <v>907.8</v>
      </c>
      <c r="E839" t="s">
        <v>572</v>
      </c>
      <c r="F839" t="s">
        <v>198</v>
      </c>
    </row>
    <row r="840" spans="1:6" x14ac:dyDescent="0.25">
      <c r="A840">
        <v>20181015</v>
      </c>
      <c r="B840" t="str">
        <f>"126334"</f>
        <v>126334</v>
      </c>
      <c r="C840" t="s">
        <v>74</v>
      </c>
      <c r="D840" s="3">
        <v>1194</v>
      </c>
      <c r="E840" t="s">
        <v>572</v>
      </c>
      <c r="F840" t="s">
        <v>198</v>
      </c>
    </row>
    <row r="841" spans="1:6" x14ac:dyDescent="0.25">
      <c r="A841">
        <v>20181015</v>
      </c>
      <c r="B841" t="str">
        <f>"126334"</f>
        <v>126334</v>
      </c>
      <c r="C841" t="s">
        <v>74</v>
      </c>
      <c r="D841" s="3">
        <v>3375.9</v>
      </c>
      <c r="E841" t="s">
        <v>572</v>
      </c>
      <c r="F841" t="s">
        <v>198</v>
      </c>
    </row>
    <row r="842" spans="1:6" x14ac:dyDescent="0.25">
      <c r="A842">
        <v>20181015</v>
      </c>
      <c r="B842" t="str">
        <f>"126335"</f>
        <v>126335</v>
      </c>
      <c r="C842" t="s">
        <v>573</v>
      </c>
      <c r="D842" s="3">
        <v>239.88</v>
      </c>
      <c r="E842" t="s">
        <v>450</v>
      </c>
      <c r="F842" t="s">
        <v>192</v>
      </c>
    </row>
    <row r="843" spans="1:6" x14ac:dyDescent="0.25">
      <c r="A843">
        <v>20181015</v>
      </c>
      <c r="B843" t="str">
        <f>"126335"</f>
        <v>126335</v>
      </c>
      <c r="C843" t="s">
        <v>573</v>
      </c>
      <c r="D843" s="3">
        <v>220.12</v>
      </c>
      <c r="E843" t="s">
        <v>450</v>
      </c>
      <c r="F843" t="s">
        <v>192</v>
      </c>
    </row>
    <row r="844" spans="1:6" x14ac:dyDescent="0.25">
      <c r="A844">
        <v>20181015</v>
      </c>
      <c r="B844" t="str">
        <f>"126336"</f>
        <v>126336</v>
      </c>
      <c r="C844" t="s">
        <v>574</v>
      </c>
      <c r="D844" s="3">
        <v>7</v>
      </c>
      <c r="E844" t="s">
        <v>555</v>
      </c>
      <c r="F844" t="s">
        <v>215</v>
      </c>
    </row>
    <row r="845" spans="1:6" x14ac:dyDescent="0.25">
      <c r="A845">
        <v>20181015</v>
      </c>
      <c r="B845" t="str">
        <f>"126337"</f>
        <v>126337</v>
      </c>
      <c r="C845" t="s">
        <v>575</v>
      </c>
      <c r="D845" s="3">
        <v>103.29</v>
      </c>
      <c r="E845" t="s">
        <v>576</v>
      </c>
      <c r="F845" t="s">
        <v>192</v>
      </c>
    </row>
    <row r="846" spans="1:6" x14ac:dyDescent="0.25">
      <c r="A846">
        <v>20181015</v>
      </c>
      <c r="B846" t="str">
        <f>"126338"</f>
        <v>126338</v>
      </c>
      <c r="C846" t="s">
        <v>236</v>
      </c>
      <c r="D846" s="3">
        <v>1725</v>
      </c>
      <c r="E846" t="s">
        <v>243</v>
      </c>
      <c r="F846" t="s">
        <v>192</v>
      </c>
    </row>
    <row r="847" spans="1:6" x14ac:dyDescent="0.25">
      <c r="A847">
        <v>20181015</v>
      </c>
      <c r="B847" t="str">
        <f>"126338"</f>
        <v>126338</v>
      </c>
      <c r="C847" t="s">
        <v>236</v>
      </c>
      <c r="D847" s="3">
        <v>115.92</v>
      </c>
      <c r="E847" t="s">
        <v>276</v>
      </c>
      <c r="F847" t="s">
        <v>198</v>
      </c>
    </row>
    <row r="848" spans="1:6" x14ac:dyDescent="0.25">
      <c r="A848">
        <v>20181015</v>
      </c>
      <c r="B848" t="str">
        <f>"126338"</f>
        <v>126338</v>
      </c>
      <c r="C848" t="s">
        <v>236</v>
      </c>
      <c r="D848" s="3">
        <v>28.98</v>
      </c>
      <c r="E848" t="s">
        <v>276</v>
      </c>
      <c r="F848" t="s">
        <v>198</v>
      </c>
    </row>
    <row r="849" spans="1:6" x14ac:dyDescent="0.25">
      <c r="A849">
        <v>20181015</v>
      </c>
      <c r="B849" t="str">
        <f>"126338"</f>
        <v>126338</v>
      </c>
      <c r="C849" t="s">
        <v>236</v>
      </c>
      <c r="D849" s="3">
        <v>488.34</v>
      </c>
      <c r="E849" t="s">
        <v>577</v>
      </c>
      <c r="F849" t="s">
        <v>192</v>
      </c>
    </row>
    <row r="850" spans="1:6" x14ac:dyDescent="0.25">
      <c r="A850">
        <v>20181015</v>
      </c>
      <c r="B850" t="str">
        <f>"126339"</f>
        <v>126339</v>
      </c>
      <c r="C850" t="s">
        <v>578</v>
      </c>
      <c r="D850" s="3">
        <v>60</v>
      </c>
      <c r="E850" t="s">
        <v>560</v>
      </c>
      <c r="F850" t="s">
        <v>198</v>
      </c>
    </row>
    <row r="851" spans="1:6" x14ac:dyDescent="0.25">
      <c r="A851">
        <v>20181015</v>
      </c>
      <c r="B851" t="str">
        <f>"126340"</f>
        <v>126340</v>
      </c>
      <c r="C851" t="s">
        <v>579</v>
      </c>
      <c r="D851" s="3">
        <v>25</v>
      </c>
      <c r="E851" t="s">
        <v>560</v>
      </c>
      <c r="F851" t="s">
        <v>198</v>
      </c>
    </row>
    <row r="852" spans="1:6" x14ac:dyDescent="0.25">
      <c r="A852">
        <v>20181015</v>
      </c>
      <c r="B852" t="str">
        <f>"126340"</f>
        <v>126340</v>
      </c>
      <c r="C852" t="s">
        <v>579</v>
      </c>
      <c r="D852" s="3">
        <v>25</v>
      </c>
      <c r="E852" t="s">
        <v>560</v>
      </c>
      <c r="F852" t="s">
        <v>198</v>
      </c>
    </row>
    <row r="853" spans="1:6" x14ac:dyDescent="0.25">
      <c r="A853">
        <v>20181015</v>
      </c>
      <c r="B853" t="str">
        <f>"126340"</f>
        <v>126340</v>
      </c>
      <c r="C853" t="s">
        <v>579</v>
      </c>
      <c r="D853" s="3">
        <v>25</v>
      </c>
      <c r="E853" t="s">
        <v>560</v>
      </c>
      <c r="F853" t="s">
        <v>198</v>
      </c>
    </row>
    <row r="854" spans="1:6" x14ac:dyDescent="0.25">
      <c r="A854">
        <v>20181015</v>
      </c>
      <c r="B854" t="str">
        <f>"126340"</f>
        <v>126340</v>
      </c>
      <c r="C854" t="s">
        <v>579</v>
      </c>
      <c r="D854" s="3">
        <v>25</v>
      </c>
      <c r="E854" t="s">
        <v>560</v>
      </c>
      <c r="F854" t="s">
        <v>198</v>
      </c>
    </row>
    <row r="855" spans="1:6" x14ac:dyDescent="0.25">
      <c r="A855">
        <v>20181015</v>
      </c>
      <c r="B855" t="str">
        <f>"126340"</f>
        <v>126340</v>
      </c>
      <c r="C855" t="s">
        <v>579</v>
      </c>
      <c r="D855" s="3">
        <v>25</v>
      </c>
      <c r="E855" t="s">
        <v>560</v>
      </c>
      <c r="F855" t="s">
        <v>198</v>
      </c>
    </row>
    <row r="856" spans="1:6" x14ac:dyDescent="0.25">
      <c r="A856">
        <v>20181015</v>
      </c>
      <c r="B856" t="str">
        <f>"126340"</f>
        <v>126340</v>
      </c>
      <c r="C856" t="s">
        <v>579</v>
      </c>
      <c r="D856" s="3">
        <v>60</v>
      </c>
      <c r="E856" t="s">
        <v>560</v>
      </c>
      <c r="F856" t="s">
        <v>198</v>
      </c>
    </row>
    <row r="857" spans="1:6" x14ac:dyDescent="0.25">
      <c r="A857">
        <v>20181015</v>
      </c>
      <c r="B857" t="str">
        <f>"126341"</f>
        <v>126341</v>
      </c>
      <c r="C857" t="s">
        <v>580</v>
      </c>
      <c r="D857" s="3">
        <v>450</v>
      </c>
      <c r="E857" t="s">
        <v>581</v>
      </c>
      <c r="F857" t="s">
        <v>192</v>
      </c>
    </row>
    <row r="858" spans="1:6" x14ac:dyDescent="0.25">
      <c r="A858">
        <v>20181015</v>
      </c>
      <c r="B858" t="str">
        <f>"126343"</f>
        <v>126343</v>
      </c>
      <c r="C858" t="s">
        <v>238</v>
      </c>
      <c r="D858" s="3">
        <v>2100</v>
      </c>
      <c r="E858" t="s">
        <v>228</v>
      </c>
      <c r="F858" t="s">
        <v>198</v>
      </c>
    </row>
    <row r="859" spans="1:6" x14ac:dyDescent="0.25">
      <c r="A859">
        <v>20181015</v>
      </c>
      <c r="B859" t="str">
        <f>"126344"</f>
        <v>126344</v>
      </c>
      <c r="C859" t="s">
        <v>582</v>
      </c>
      <c r="D859" s="3">
        <v>310</v>
      </c>
      <c r="E859" t="s">
        <v>583</v>
      </c>
      <c r="F859" t="s">
        <v>192</v>
      </c>
    </row>
    <row r="860" spans="1:6" x14ac:dyDescent="0.25">
      <c r="A860">
        <v>20181015</v>
      </c>
      <c r="B860" t="str">
        <f>"126345"</f>
        <v>126345</v>
      </c>
      <c r="C860" t="s">
        <v>82</v>
      </c>
      <c r="D860" s="3">
        <v>295</v>
      </c>
      <c r="E860" t="s">
        <v>154</v>
      </c>
      <c r="F860" t="s">
        <v>192</v>
      </c>
    </row>
    <row r="861" spans="1:6" x14ac:dyDescent="0.25">
      <c r="A861">
        <v>20181015</v>
      </c>
      <c r="B861" t="str">
        <f>"126345"</f>
        <v>126345</v>
      </c>
      <c r="C861" t="s">
        <v>82</v>
      </c>
      <c r="D861" s="3">
        <v>30</v>
      </c>
      <c r="E861" t="s">
        <v>267</v>
      </c>
      <c r="F861" t="s">
        <v>413</v>
      </c>
    </row>
    <row r="862" spans="1:6" x14ac:dyDescent="0.25">
      <c r="A862">
        <v>20181015</v>
      </c>
      <c r="B862" t="str">
        <f>"126346"</f>
        <v>126346</v>
      </c>
      <c r="C862" t="s">
        <v>584</v>
      </c>
      <c r="D862" s="3">
        <v>1674</v>
      </c>
      <c r="E862" t="s">
        <v>585</v>
      </c>
      <c r="F862" t="s">
        <v>192</v>
      </c>
    </row>
    <row r="863" spans="1:6" x14ac:dyDescent="0.25">
      <c r="A863">
        <v>20181015</v>
      </c>
      <c r="B863" t="str">
        <f>"126347"</f>
        <v>126347</v>
      </c>
      <c r="C863" t="s">
        <v>244</v>
      </c>
      <c r="D863" s="3">
        <v>1275</v>
      </c>
      <c r="E863" t="s">
        <v>245</v>
      </c>
      <c r="F863" t="s">
        <v>198</v>
      </c>
    </row>
    <row r="864" spans="1:6" x14ac:dyDescent="0.25">
      <c r="A864">
        <v>20181015</v>
      </c>
      <c r="B864" t="str">
        <f>"126348"</f>
        <v>126348</v>
      </c>
      <c r="C864" t="s">
        <v>586</v>
      </c>
      <c r="D864" s="3">
        <v>4075</v>
      </c>
      <c r="E864" t="s">
        <v>145</v>
      </c>
      <c r="F864" t="s">
        <v>192</v>
      </c>
    </row>
    <row r="865" spans="1:6" x14ac:dyDescent="0.25">
      <c r="A865">
        <v>20181015</v>
      </c>
      <c r="B865" t="str">
        <f>"126349"</f>
        <v>126349</v>
      </c>
      <c r="C865" t="s">
        <v>587</v>
      </c>
      <c r="D865" s="3">
        <v>50</v>
      </c>
      <c r="E865" t="s">
        <v>213</v>
      </c>
      <c r="F865" t="s">
        <v>192</v>
      </c>
    </row>
    <row r="866" spans="1:6" x14ac:dyDescent="0.25">
      <c r="A866">
        <v>20181015</v>
      </c>
      <c r="B866" t="str">
        <f>"126350"</f>
        <v>126350</v>
      </c>
      <c r="C866" t="s">
        <v>588</v>
      </c>
      <c r="D866" s="3">
        <v>180</v>
      </c>
      <c r="E866" t="s">
        <v>589</v>
      </c>
      <c r="F866" t="s">
        <v>192</v>
      </c>
    </row>
    <row r="867" spans="1:6" x14ac:dyDescent="0.25">
      <c r="A867">
        <v>20181015</v>
      </c>
      <c r="B867" t="str">
        <f>"126351"</f>
        <v>126351</v>
      </c>
      <c r="C867" t="s">
        <v>590</v>
      </c>
      <c r="D867" s="3">
        <v>685.75</v>
      </c>
      <c r="E867" t="s">
        <v>591</v>
      </c>
      <c r="F867" t="s">
        <v>192</v>
      </c>
    </row>
    <row r="868" spans="1:6" x14ac:dyDescent="0.25">
      <c r="A868">
        <v>20181015</v>
      </c>
      <c r="B868" t="str">
        <f>"126352"</f>
        <v>126352</v>
      </c>
      <c r="C868" t="s">
        <v>592</v>
      </c>
      <c r="D868" s="3">
        <v>9.99</v>
      </c>
      <c r="E868" t="s">
        <v>555</v>
      </c>
      <c r="F868" t="s">
        <v>215</v>
      </c>
    </row>
    <row r="869" spans="1:6" x14ac:dyDescent="0.25">
      <c r="A869">
        <v>20181015</v>
      </c>
      <c r="B869" t="str">
        <f>"126353"</f>
        <v>126353</v>
      </c>
      <c r="C869" t="s">
        <v>250</v>
      </c>
      <c r="D869" s="3">
        <v>300</v>
      </c>
      <c r="E869" t="s">
        <v>167</v>
      </c>
      <c r="F869" t="s">
        <v>192</v>
      </c>
    </row>
    <row r="870" spans="1:6" x14ac:dyDescent="0.25">
      <c r="A870">
        <v>20181015</v>
      </c>
      <c r="B870" t="str">
        <f>"126353"</f>
        <v>126353</v>
      </c>
      <c r="C870" t="s">
        <v>250</v>
      </c>
      <c r="D870" s="3">
        <v>749.75</v>
      </c>
      <c r="E870" t="s">
        <v>145</v>
      </c>
      <c r="F870" t="s">
        <v>192</v>
      </c>
    </row>
    <row r="871" spans="1:6" x14ac:dyDescent="0.25">
      <c r="A871">
        <v>20181015</v>
      </c>
      <c r="B871" t="str">
        <f>"126353"</f>
        <v>126353</v>
      </c>
      <c r="C871" t="s">
        <v>250</v>
      </c>
      <c r="D871" s="3">
        <v>1300</v>
      </c>
      <c r="E871" t="s">
        <v>145</v>
      </c>
      <c r="F871" t="s">
        <v>192</v>
      </c>
    </row>
    <row r="872" spans="1:6" x14ac:dyDescent="0.25">
      <c r="A872">
        <v>20181015</v>
      </c>
      <c r="B872" t="str">
        <f>"126353"</f>
        <v>126353</v>
      </c>
      <c r="C872" t="s">
        <v>250</v>
      </c>
      <c r="D872" s="3">
        <v>2531.6799999999998</v>
      </c>
      <c r="E872" t="s">
        <v>145</v>
      </c>
      <c r="F872" t="s">
        <v>192</v>
      </c>
    </row>
    <row r="873" spans="1:6" x14ac:dyDescent="0.25">
      <c r="A873">
        <v>20181015</v>
      </c>
      <c r="B873" t="str">
        <f>"126353"</f>
        <v>126353</v>
      </c>
      <c r="C873" t="s">
        <v>250</v>
      </c>
      <c r="D873" s="3">
        <v>36.99</v>
      </c>
      <c r="E873" t="s">
        <v>450</v>
      </c>
      <c r="F873" t="s">
        <v>192</v>
      </c>
    </row>
    <row r="874" spans="1:6" x14ac:dyDescent="0.25">
      <c r="A874">
        <v>20181015</v>
      </c>
      <c r="B874" t="str">
        <f>"126353"</f>
        <v>126353</v>
      </c>
      <c r="C874" t="s">
        <v>250</v>
      </c>
      <c r="D874" s="3">
        <v>300</v>
      </c>
      <c r="E874" t="s">
        <v>28</v>
      </c>
      <c r="F874" t="s">
        <v>192</v>
      </c>
    </row>
    <row r="875" spans="1:6" x14ac:dyDescent="0.25">
      <c r="A875">
        <v>20181015</v>
      </c>
      <c r="B875" t="str">
        <f>"126353"</f>
        <v>126353</v>
      </c>
      <c r="C875" t="s">
        <v>250</v>
      </c>
      <c r="D875" s="3">
        <v>119</v>
      </c>
      <c r="E875" t="s">
        <v>593</v>
      </c>
      <c r="F875" t="s">
        <v>192</v>
      </c>
    </row>
    <row r="876" spans="1:6" x14ac:dyDescent="0.25">
      <c r="A876">
        <v>20181015</v>
      </c>
      <c r="B876" t="str">
        <f>"126353"</f>
        <v>126353</v>
      </c>
      <c r="C876" t="s">
        <v>250</v>
      </c>
      <c r="D876" s="3">
        <v>339</v>
      </c>
      <c r="E876" t="s">
        <v>594</v>
      </c>
      <c r="F876" t="s">
        <v>192</v>
      </c>
    </row>
    <row r="877" spans="1:6" x14ac:dyDescent="0.25">
      <c r="A877">
        <v>20181015</v>
      </c>
      <c r="B877" t="str">
        <f>"126354"</f>
        <v>126354</v>
      </c>
      <c r="C877" t="s">
        <v>25</v>
      </c>
      <c r="D877" s="3">
        <v>268.24</v>
      </c>
      <c r="E877" t="s">
        <v>165</v>
      </c>
      <c r="F877" t="s">
        <v>192</v>
      </c>
    </row>
    <row r="878" spans="1:6" x14ac:dyDescent="0.25">
      <c r="A878">
        <v>20181015</v>
      </c>
      <c r="B878" t="str">
        <f>"126354"</f>
        <v>126354</v>
      </c>
      <c r="C878" t="s">
        <v>25</v>
      </c>
      <c r="D878" s="3">
        <v>66.19</v>
      </c>
      <c r="E878" t="s">
        <v>165</v>
      </c>
      <c r="F878" t="s">
        <v>192</v>
      </c>
    </row>
    <row r="879" spans="1:6" x14ac:dyDescent="0.25">
      <c r="A879">
        <v>20181015</v>
      </c>
      <c r="B879" t="str">
        <f>"126354"</f>
        <v>126354</v>
      </c>
      <c r="C879" t="s">
        <v>25</v>
      </c>
      <c r="D879" s="3">
        <v>155.84</v>
      </c>
      <c r="E879" t="s">
        <v>595</v>
      </c>
      <c r="F879" t="s">
        <v>192</v>
      </c>
    </row>
    <row r="880" spans="1:6" x14ac:dyDescent="0.25">
      <c r="A880">
        <v>20181015</v>
      </c>
      <c r="B880" t="str">
        <f>"126355"</f>
        <v>126355</v>
      </c>
      <c r="C880" t="s">
        <v>596</v>
      </c>
      <c r="D880" s="3">
        <v>95</v>
      </c>
      <c r="E880" t="s">
        <v>197</v>
      </c>
      <c r="F880" t="s">
        <v>198</v>
      </c>
    </row>
    <row r="881" spans="1:6" x14ac:dyDescent="0.25">
      <c r="A881">
        <v>20181015</v>
      </c>
      <c r="B881" t="str">
        <f>"126355"</f>
        <v>126355</v>
      </c>
      <c r="C881" t="s">
        <v>596</v>
      </c>
      <c r="D881" s="3">
        <v>55</v>
      </c>
      <c r="E881" t="s">
        <v>197</v>
      </c>
      <c r="F881" t="s">
        <v>198</v>
      </c>
    </row>
    <row r="882" spans="1:6" x14ac:dyDescent="0.25">
      <c r="A882">
        <v>20181015</v>
      </c>
      <c r="B882" t="str">
        <f>"126356"</f>
        <v>126356</v>
      </c>
      <c r="C882" t="s">
        <v>597</v>
      </c>
      <c r="D882" s="3">
        <v>154.38</v>
      </c>
      <c r="E882" t="s">
        <v>213</v>
      </c>
      <c r="F882" t="s">
        <v>192</v>
      </c>
    </row>
    <row r="883" spans="1:6" x14ac:dyDescent="0.25">
      <c r="A883">
        <v>20181015</v>
      </c>
      <c r="B883" t="str">
        <f>"126356"</f>
        <v>126356</v>
      </c>
      <c r="C883" t="s">
        <v>597</v>
      </c>
      <c r="D883" s="3">
        <v>668.98</v>
      </c>
      <c r="E883" t="s">
        <v>213</v>
      </c>
      <c r="F883" t="s">
        <v>192</v>
      </c>
    </row>
    <row r="884" spans="1:6" x14ac:dyDescent="0.25">
      <c r="A884">
        <v>20181015</v>
      </c>
      <c r="B884" t="str">
        <f>"126357"</f>
        <v>126357</v>
      </c>
      <c r="C884" t="s">
        <v>598</v>
      </c>
      <c r="D884" s="3">
        <v>200</v>
      </c>
      <c r="E884" t="s">
        <v>599</v>
      </c>
      <c r="F884" t="s">
        <v>192</v>
      </c>
    </row>
    <row r="885" spans="1:6" x14ac:dyDescent="0.25">
      <c r="A885">
        <v>20181015</v>
      </c>
      <c r="B885" t="str">
        <f>"126358"</f>
        <v>126358</v>
      </c>
      <c r="C885" t="s">
        <v>600</v>
      </c>
      <c r="D885" s="3">
        <v>40.85</v>
      </c>
      <c r="E885" t="s">
        <v>601</v>
      </c>
      <c r="F885" t="s">
        <v>192</v>
      </c>
    </row>
    <row r="886" spans="1:6" x14ac:dyDescent="0.25">
      <c r="A886">
        <v>20181015</v>
      </c>
      <c r="B886" t="str">
        <f>"126359"</f>
        <v>126359</v>
      </c>
      <c r="C886" t="s">
        <v>257</v>
      </c>
      <c r="D886" s="3">
        <v>96</v>
      </c>
      <c r="E886" t="s">
        <v>258</v>
      </c>
      <c r="F886" t="s">
        <v>215</v>
      </c>
    </row>
    <row r="887" spans="1:6" x14ac:dyDescent="0.25">
      <c r="A887">
        <v>20181015</v>
      </c>
      <c r="B887" t="str">
        <f>"126359"</f>
        <v>126359</v>
      </c>
      <c r="C887" t="s">
        <v>257</v>
      </c>
      <c r="D887" s="3">
        <v>144</v>
      </c>
      <c r="E887" t="s">
        <v>258</v>
      </c>
      <c r="F887" t="s">
        <v>215</v>
      </c>
    </row>
    <row r="888" spans="1:6" x14ac:dyDescent="0.25">
      <c r="A888">
        <v>20181015</v>
      </c>
      <c r="B888" t="str">
        <f>"126359"</f>
        <v>126359</v>
      </c>
      <c r="C888" t="s">
        <v>257</v>
      </c>
      <c r="D888" s="3">
        <v>139.19999999999999</v>
      </c>
      <c r="E888" t="s">
        <v>258</v>
      </c>
      <c r="F888" t="s">
        <v>215</v>
      </c>
    </row>
    <row r="889" spans="1:6" x14ac:dyDescent="0.25">
      <c r="A889">
        <v>20181015</v>
      </c>
      <c r="B889" t="str">
        <f>"126360"</f>
        <v>126360</v>
      </c>
      <c r="C889" t="s">
        <v>602</v>
      </c>
      <c r="D889" s="3">
        <v>411.01</v>
      </c>
      <c r="E889" t="s">
        <v>603</v>
      </c>
      <c r="F889" t="s">
        <v>192</v>
      </c>
    </row>
    <row r="890" spans="1:6" x14ac:dyDescent="0.25">
      <c r="A890">
        <v>20181015</v>
      </c>
      <c r="B890" t="str">
        <f>"126361"</f>
        <v>126361</v>
      </c>
      <c r="C890" t="s">
        <v>259</v>
      </c>
      <c r="D890" s="3">
        <v>296.57</v>
      </c>
      <c r="E890" t="s">
        <v>604</v>
      </c>
      <c r="F890" t="s">
        <v>215</v>
      </c>
    </row>
    <row r="891" spans="1:6" x14ac:dyDescent="0.25">
      <c r="A891">
        <v>20181015</v>
      </c>
      <c r="B891" t="str">
        <f>"126361"</f>
        <v>126361</v>
      </c>
      <c r="C891" t="s">
        <v>259</v>
      </c>
      <c r="D891" s="3">
        <v>873.56</v>
      </c>
      <c r="E891" t="s">
        <v>28</v>
      </c>
      <c r="F891" t="s">
        <v>215</v>
      </c>
    </row>
    <row r="892" spans="1:6" x14ac:dyDescent="0.25">
      <c r="A892">
        <v>20181015</v>
      </c>
      <c r="B892" t="str">
        <f>"126361"</f>
        <v>126361</v>
      </c>
      <c r="C892" t="s">
        <v>259</v>
      </c>
      <c r="D892" s="3">
        <v>417.11</v>
      </c>
      <c r="E892" t="s">
        <v>28</v>
      </c>
      <c r="F892" t="s">
        <v>215</v>
      </c>
    </row>
    <row r="893" spans="1:6" x14ac:dyDescent="0.25">
      <c r="A893">
        <v>20181015</v>
      </c>
      <c r="B893" t="str">
        <f>"126361"</f>
        <v>126361</v>
      </c>
      <c r="C893" t="s">
        <v>259</v>
      </c>
      <c r="D893" s="3">
        <v>217.44</v>
      </c>
      <c r="E893" t="s">
        <v>28</v>
      </c>
      <c r="F893" t="s">
        <v>215</v>
      </c>
    </row>
    <row r="894" spans="1:6" x14ac:dyDescent="0.25">
      <c r="A894">
        <v>20181015</v>
      </c>
      <c r="B894" t="str">
        <f>"126361"</f>
        <v>126361</v>
      </c>
      <c r="C894" t="s">
        <v>259</v>
      </c>
      <c r="D894" s="3">
        <v>1092.69</v>
      </c>
      <c r="E894" t="s">
        <v>28</v>
      </c>
      <c r="F894" t="s">
        <v>215</v>
      </c>
    </row>
    <row r="895" spans="1:6" x14ac:dyDescent="0.25">
      <c r="A895">
        <v>20181015</v>
      </c>
      <c r="B895" t="str">
        <f>"126361"</f>
        <v>126361</v>
      </c>
      <c r="C895" t="s">
        <v>259</v>
      </c>
      <c r="D895" s="3">
        <v>840.56</v>
      </c>
      <c r="E895" t="s">
        <v>28</v>
      </c>
      <c r="F895" t="s">
        <v>215</v>
      </c>
    </row>
    <row r="896" spans="1:6" x14ac:dyDescent="0.25">
      <c r="A896">
        <v>20181015</v>
      </c>
      <c r="B896" t="str">
        <f>"126361"</f>
        <v>126361</v>
      </c>
      <c r="C896" t="s">
        <v>259</v>
      </c>
      <c r="D896" s="3">
        <v>430.7</v>
      </c>
      <c r="E896" t="s">
        <v>28</v>
      </c>
      <c r="F896" t="s">
        <v>215</v>
      </c>
    </row>
    <row r="897" spans="1:6" x14ac:dyDescent="0.25">
      <c r="A897">
        <v>20181015</v>
      </c>
      <c r="B897" t="str">
        <f>"126361"</f>
        <v>126361</v>
      </c>
      <c r="C897" t="s">
        <v>259</v>
      </c>
      <c r="D897" s="3">
        <v>498.79</v>
      </c>
      <c r="E897" t="s">
        <v>28</v>
      </c>
      <c r="F897" t="s">
        <v>215</v>
      </c>
    </row>
    <row r="898" spans="1:6" x14ac:dyDescent="0.25">
      <c r="A898">
        <v>20181015</v>
      </c>
      <c r="B898" t="str">
        <f>"126361"</f>
        <v>126361</v>
      </c>
      <c r="C898" t="s">
        <v>259</v>
      </c>
      <c r="D898" s="3">
        <v>456.55</v>
      </c>
      <c r="E898" t="s">
        <v>28</v>
      </c>
      <c r="F898" t="s">
        <v>215</v>
      </c>
    </row>
    <row r="899" spans="1:6" x14ac:dyDescent="0.25">
      <c r="A899">
        <v>20181015</v>
      </c>
      <c r="B899" t="str">
        <f>"126361"</f>
        <v>126361</v>
      </c>
      <c r="C899" t="s">
        <v>259</v>
      </c>
      <c r="D899" s="3">
        <v>767.81</v>
      </c>
      <c r="E899" t="s">
        <v>28</v>
      </c>
      <c r="F899" t="s">
        <v>215</v>
      </c>
    </row>
    <row r="900" spans="1:6" x14ac:dyDescent="0.25">
      <c r="A900">
        <v>20181015</v>
      </c>
      <c r="B900" t="str">
        <f>"126362"</f>
        <v>126362</v>
      </c>
      <c r="C900" t="s">
        <v>605</v>
      </c>
      <c r="D900" s="3">
        <v>1425</v>
      </c>
      <c r="E900" t="s">
        <v>606</v>
      </c>
      <c r="F900" t="s">
        <v>192</v>
      </c>
    </row>
    <row r="901" spans="1:6" x14ac:dyDescent="0.25">
      <c r="A901">
        <v>20181015</v>
      </c>
      <c r="B901" t="str">
        <f>"126362"</f>
        <v>126362</v>
      </c>
      <c r="C901" t="s">
        <v>605</v>
      </c>
      <c r="D901" s="3">
        <v>1500</v>
      </c>
      <c r="E901" t="s">
        <v>607</v>
      </c>
      <c r="F901" t="s">
        <v>192</v>
      </c>
    </row>
    <row r="902" spans="1:6" x14ac:dyDescent="0.25">
      <c r="A902">
        <v>20181015</v>
      </c>
      <c r="B902" t="str">
        <f>"126362"</f>
        <v>126362</v>
      </c>
      <c r="C902" t="s">
        <v>605</v>
      </c>
      <c r="D902" s="3">
        <v>750</v>
      </c>
      <c r="E902" t="s">
        <v>608</v>
      </c>
      <c r="F902" t="s">
        <v>192</v>
      </c>
    </row>
    <row r="903" spans="1:6" x14ac:dyDescent="0.25">
      <c r="A903">
        <v>20181015</v>
      </c>
      <c r="B903" t="str">
        <f>"126363"</f>
        <v>126363</v>
      </c>
      <c r="C903" t="s">
        <v>605</v>
      </c>
      <c r="D903" s="3">
        <v>48350</v>
      </c>
      <c r="E903" t="s">
        <v>609</v>
      </c>
      <c r="F903" t="s">
        <v>192</v>
      </c>
    </row>
    <row r="904" spans="1:6" x14ac:dyDescent="0.25">
      <c r="A904">
        <v>20181015</v>
      </c>
      <c r="B904" t="str">
        <f>"126363"</f>
        <v>126363</v>
      </c>
      <c r="C904" t="s">
        <v>605</v>
      </c>
      <c r="D904" s="3">
        <v>21200</v>
      </c>
      <c r="E904" t="s">
        <v>609</v>
      </c>
      <c r="F904" t="s">
        <v>192</v>
      </c>
    </row>
    <row r="905" spans="1:6" x14ac:dyDescent="0.25">
      <c r="A905">
        <v>20181015</v>
      </c>
      <c r="B905" t="str">
        <f>"126363"</f>
        <v>126363</v>
      </c>
      <c r="C905" t="s">
        <v>605</v>
      </c>
      <c r="D905" s="3">
        <v>2750</v>
      </c>
      <c r="E905" t="s">
        <v>609</v>
      </c>
      <c r="F905" t="s">
        <v>192</v>
      </c>
    </row>
    <row r="906" spans="1:6" x14ac:dyDescent="0.25">
      <c r="A906">
        <v>20181015</v>
      </c>
      <c r="B906" t="str">
        <f>"126363"</f>
        <v>126363</v>
      </c>
      <c r="C906" t="s">
        <v>605</v>
      </c>
      <c r="D906" s="3">
        <v>2750</v>
      </c>
      <c r="E906" t="s">
        <v>609</v>
      </c>
      <c r="F906" t="s">
        <v>192</v>
      </c>
    </row>
    <row r="907" spans="1:6" x14ac:dyDescent="0.25">
      <c r="A907">
        <v>20181015</v>
      </c>
      <c r="B907" t="str">
        <f>"126363"</f>
        <v>126363</v>
      </c>
      <c r="C907" t="s">
        <v>605</v>
      </c>
      <c r="D907" s="3">
        <v>2750</v>
      </c>
      <c r="E907" t="s">
        <v>609</v>
      </c>
      <c r="F907" t="s">
        <v>192</v>
      </c>
    </row>
    <row r="908" spans="1:6" x14ac:dyDescent="0.25">
      <c r="A908">
        <v>20181015</v>
      </c>
      <c r="B908" t="str">
        <f>"126363"</f>
        <v>126363</v>
      </c>
      <c r="C908" t="s">
        <v>605</v>
      </c>
      <c r="D908" s="3">
        <v>2750</v>
      </c>
      <c r="E908" t="s">
        <v>609</v>
      </c>
      <c r="F908" t="s">
        <v>192</v>
      </c>
    </row>
    <row r="909" spans="1:6" x14ac:dyDescent="0.25">
      <c r="A909">
        <v>20181015</v>
      </c>
      <c r="B909" t="str">
        <f>"126363"</f>
        <v>126363</v>
      </c>
      <c r="C909" t="s">
        <v>605</v>
      </c>
      <c r="D909" s="3">
        <v>2750</v>
      </c>
      <c r="E909" t="s">
        <v>609</v>
      </c>
      <c r="F909" t="s">
        <v>192</v>
      </c>
    </row>
    <row r="910" spans="1:6" x14ac:dyDescent="0.25">
      <c r="A910">
        <v>20181015</v>
      </c>
      <c r="B910" t="str">
        <f>"126363"</f>
        <v>126363</v>
      </c>
      <c r="C910" t="s">
        <v>605</v>
      </c>
      <c r="D910" s="3">
        <v>2750</v>
      </c>
      <c r="E910" t="s">
        <v>609</v>
      </c>
      <c r="F910" t="s">
        <v>192</v>
      </c>
    </row>
    <row r="911" spans="1:6" x14ac:dyDescent="0.25">
      <c r="A911">
        <v>20181015</v>
      </c>
      <c r="B911" t="str">
        <f>"126363"</f>
        <v>126363</v>
      </c>
      <c r="C911" t="s">
        <v>605</v>
      </c>
      <c r="D911" s="3">
        <v>2750</v>
      </c>
      <c r="E911" t="s">
        <v>609</v>
      </c>
      <c r="F911" t="s">
        <v>192</v>
      </c>
    </row>
    <row r="912" spans="1:6" x14ac:dyDescent="0.25">
      <c r="A912">
        <v>20181015</v>
      </c>
      <c r="B912" t="str">
        <f>"126363"</f>
        <v>126363</v>
      </c>
      <c r="C912" t="s">
        <v>605</v>
      </c>
      <c r="D912" s="3">
        <v>2750</v>
      </c>
      <c r="E912" t="s">
        <v>609</v>
      </c>
      <c r="F912" t="s">
        <v>192</v>
      </c>
    </row>
    <row r="913" spans="1:6" x14ac:dyDescent="0.25">
      <c r="A913">
        <v>20181015</v>
      </c>
      <c r="B913" t="str">
        <f>"126363"</f>
        <v>126363</v>
      </c>
      <c r="C913" t="s">
        <v>605</v>
      </c>
      <c r="D913" s="3">
        <v>2750</v>
      </c>
      <c r="E913" t="s">
        <v>609</v>
      </c>
      <c r="F913" t="s">
        <v>192</v>
      </c>
    </row>
    <row r="914" spans="1:6" x14ac:dyDescent="0.25">
      <c r="A914">
        <v>20181015</v>
      </c>
      <c r="B914" t="str">
        <f>"126363"</f>
        <v>126363</v>
      </c>
      <c r="C914" t="s">
        <v>605</v>
      </c>
      <c r="D914" s="3">
        <v>800</v>
      </c>
      <c r="E914" t="s">
        <v>609</v>
      </c>
      <c r="F914" t="s">
        <v>192</v>
      </c>
    </row>
    <row r="915" spans="1:6" x14ac:dyDescent="0.25">
      <c r="A915">
        <v>20181015</v>
      </c>
      <c r="B915" t="str">
        <f>"126363"</f>
        <v>126363</v>
      </c>
      <c r="C915" t="s">
        <v>605</v>
      </c>
      <c r="D915" s="3">
        <v>3429</v>
      </c>
      <c r="E915" t="s">
        <v>609</v>
      </c>
      <c r="F915" t="s">
        <v>192</v>
      </c>
    </row>
    <row r="916" spans="1:6" x14ac:dyDescent="0.25">
      <c r="A916">
        <v>20181015</v>
      </c>
      <c r="B916" t="str">
        <f>"126363"</f>
        <v>126363</v>
      </c>
      <c r="C916" t="s">
        <v>605</v>
      </c>
      <c r="D916" s="3">
        <v>6200</v>
      </c>
      <c r="E916" t="s">
        <v>609</v>
      </c>
      <c r="F916" t="s">
        <v>192</v>
      </c>
    </row>
    <row r="917" spans="1:6" x14ac:dyDescent="0.25">
      <c r="A917">
        <v>20181015</v>
      </c>
      <c r="B917" t="str">
        <f>"126363"</f>
        <v>126363</v>
      </c>
      <c r="C917" t="s">
        <v>605</v>
      </c>
      <c r="D917" s="3">
        <v>6165</v>
      </c>
      <c r="E917" t="s">
        <v>609</v>
      </c>
      <c r="F917" t="s">
        <v>192</v>
      </c>
    </row>
    <row r="918" spans="1:6" x14ac:dyDescent="0.25">
      <c r="A918">
        <v>20181015</v>
      </c>
      <c r="B918" t="str">
        <f>"126363"</f>
        <v>126363</v>
      </c>
      <c r="C918" t="s">
        <v>605</v>
      </c>
      <c r="D918" s="3">
        <v>2500</v>
      </c>
      <c r="E918" t="s">
        <v>609</v>
      </c>
      <c r="F918" t="s">
        <v>192</v>
      </c>
    </row>
    <row r="919" spans="1:6" x14ac:dyDescent="0.25">
      <c r="A919">
        <v>20181015</v>
      </c>
      <c r="B919" t="str">
        <f>"126363"</f>
        <v>126363</v>
      </c>
      <c r="C919" t="s">
        <v>605</v>
      </c>
      <c r="D919" s="3">
        <v>6000</v>
      </c>
      <c r="E919" t="s">
        <v>609</v>
      </c>
      <c r="F919" t="s">
        <v>192</v>
      </c>
    </row>
    <row r="920" spans="1:6" x14ac:dyDescent="0.25">
      <c r="A920">
        <v>20181015</v>
      </c>
      <c r="B920" t="str">
        <f>"126363"</f>
        <v>126363</v>
      </c>
      <c r="C920" t="s">
        <v>605</v>
      </c>
      <c r="D920" s="3">
        <v>6000</v>
      </c>
      <c r="E920" t="s">
        <v>609</v>
      </c>
      <c r="F920" t="s">
        <v>192</v>
      </c>
    </row>
    <row r="921" spans="1:6" x14ac:dyDescent="0.25">
      <c r="A921">
        <v>20181015</v>
      </c>
      <c r="B921" t="str">
        <f>"126363"</f>
        <v>126363</v>
      </c>
      <c r="C921" t="s">
        <v>605</v>
      </c>
      <c r="D921" s="3">
        <v>6000</v>
      </c>
      <c r="E921" t="s">
        <v>609</v>
      </c>
      <c r="F921" t="s">
        <v>192</v>
      </c>
    </row>
    <row r="922" spans="1:6" x14ac:dyDescent="0.25">
      <c r="A922">
        <v>20181015</v>
      </c>
      <c r="B922" t="str">
        <f>"126363"</f>
        <v>126363</v>
      </c>
      <c r="C922" t="s">
        <v>605</v>
      </c>
      <c r="D922" s="3">
        <v>6000</v>
      </c>
      <c r="E922" t="s">
        <v>609</v>
      </c>
      <c r="F922" t="s">
        <v>192</v>
      </c>
    </row>
    <row r="923" spans="1:6" x14ac:dyDescent="0.25">
      <c r="A923">
        <v>20181015</v>
      </c>
      <c r="B923" t="str">
        <f>"126363"</f>
        <v>126363</v>
      </c>
      <c r="C923" t="s">
        <v>605</v>
      </c>
      <c r="D923" s="3">
        <v>6000</v>
      </c>
      <c r="E923" t="s">
        <v>609</v>
      </c>
      <c r="F923" t="s">
        <v>192</v>
      </c>
    </row>
    <row r="924" spans="1:6" x14ac:dyDescent="0.25">
      <c r="A924">
        <v>20181015</v>
      </c>
      <c r="B924" t="str">
        <f>"126363"</f>
        <v>126363</v>
      </c>
      <c r="C924" t="s">
        <v>605</v>
      </c>
      <c r="D924" s="3">
        <v>6000</v>
      </c>
      <c r="E924" t="s">
        <v>609</v>
      </c>
      <c r="F924" t="s">
        <v>192</v>
      </c>
    </row>
    <row r="925" spans="1:6" x14ac:dyDescent="0.25">
      <c r="A925">
        <v>20181015</v>
      </c>
      <c r="B925" t="str">
        <f>"126363"</f>
        <v>126363</v>
      </c>
      <c r="C925" t="s">
        <v>605</v>
      </c>
      <c r="D925" s="3">
        <v>6000</v>
      </c>
      <c r="E925" t="s">
        <v>609</v>
      </c>
      <c r="F925" t="s">
        <v>192</v>
      </c>
    </row>
    <row r="926" spans="1:6" x14ac:dyDescent="0.25">
      <c r="A926">
        <v>20181015</v>
      </c>
      <c r="B926" t="str">
        <f>"126363"</f>
        <v>126363</v>
      </c>
      <c r="C926" t="s">
        <v>605</v>
      </c>
      <c r="D926" s="3">
        <v>6000</v>
      </c>
      <c r="E926" t="s">
        <v>609</v>
      </c>
      <c r="F926" t="s">
        <v>192</v>
      </c>
    </row>
    <row r="927" spans="1:6" x14ac:dyDescent="0.25">
      <c r="A927">
        <v>20181015</v>
      </c>
      <c r="B927" t="str">
        <f>"126363"</f>
        <v>126363</v>
      </c>
      <c r="C927" t="s">
        <v>605</v>
      </c>
      <c r="D927" s="3">
        <v>10650</v>
      </c>
      <c r="E927" t="s">
        <v>609</v>
      </c>
      <c r="F927" t="s">
        <v>192</v>
      </c>
    </row>
    <row r="928" spans="1:6" x14ac:dyDescent="0.25">
      <c r="A928">
        <v>20181015</v>
      </c>
      <c r="B928" t="str">
        <f>"126363"</f>
        <v>126363</v>
      </c>
      <c r="C928" t="s">
        <v>605</v>
      </c>
      <c r="D928" s="3">
        <v>6600</v>
      </c>
      <c r="E928" t="s">
        <v>609</v>
      </c>
      <c r="F928" t="s">
        <v>192</v>
      </c>
    </row>
    <row r="929" spans="1:6" x14ac:dyDescent="0.25">
      <c r="A929">
        <v>20181015</v>
      </c>
      <c r="B929" t="str">
        <f>"126364"</f>
        <v>126364</v>
      </c>
      <c r="C929" t="s">
        <v>610</v>
      </c>
      <c r="D929" s="3">
        <v>120</v>
      </c>
      <c r="E929" t="s">
        <v>611</v>
      </c>
      <c r="F929" t="s">
        <v>192</v>
      </c>
    </row>
    <row r="930" spans="1:6" x14ac:dyDescent="0.25">
      <c r="A930">
        <v>20181015</v>
      </c>
      <c r="B930" t="str">
        <f>"126365"</f>
        <v>126365</v>
      </c>
      <c r="C930" t="s">
        <v>260</v>
      </c>
      <c r="D930" s="3">
        <v>100</v>
      </c>
      <c r="E930" t="s">
        <v>612</v>
      </c>
      <c r="F930" t="s">
        <v>192</v>
      </c>
    </row>
    <row r="931" spans="1:6" x14ac:dyDescent="0.25">
      <c r="A931">
        <v>20181015</v>
      </c>
      <c r="B931" t="str">
        <f>"126365"</f>
        <v>126365</v>
      </c>
      <c r="C931" t="s">
        <v>260</v>
      </c>
      <c r="D931" s="3">
        <v>49</v>
      </c>
      <c r="E931" t="s">
        <v>612</v>
      </c>
      <c r="F931" t="s">
        <v>192</v>
      </c>
    </row>
    <row r="932" spans="1:6" x14ac:dyDescent="0.25">
      <c r="A932">
        <v>20181015</v>
      </c>
      <c r="B932" t="str">
        <f>"126366"</f>
        <v>126366</v>
      </c>
      <c r="C932" t="s">
        <v>613</v>
      </c>
      <c r="D932" s="3">
        <v>735</v>
      </c>
      <c r="E932" t="s">
        <v>614</v>
      </c>
      <c r="F932" t="s">
        <v>192</v>
      </c>
    </row>
    <row r="933" spans="1:6" x14ac:dyDescent="0.25">
      <c r="A933">
        <v>20181015</v>
      </c>
      <c r="B933" t="str">
        <f>"126367"</f>
        <v>126367</v>
      </c>
      <c r="C933" t="s">
        <v>615</v>
      </c>
      <c r="D933" s="3">
        <v>543</v>
      </c>
      <c r="E933" t="s">
        <v>116</v>
      </c>
      <c r="F933" t="s">
        <v>192</v>
      </c>
    </row>
    <row r="934" spans="1:6" x14ac:dyDescent="0.25">
      <c r="A934">
        <v>20181015</v>
      </c>
      <c r="B934" t="str">
        <f>"126369"</f>
        <v>126369</v>
      </c>
      <c r="C934" t="s">
        <v>616</v>
      </c>
      <c r="D934" s="3">
        <v>1247.7</v>
      </c>
      <c r="E934" t="s">
        <v>543</v>
      </c>
      <c r="F934" t="s">
        <v>544</v>
      </c>
    </row>
    <row r="935" spans="1:6" x14ac:dyDescent="0.25">
      <c r="A935">
        <v>20181015</v>
      </c>
      <c r="B935" t="str">
        <f>"126370"</f>
        <v>126370</v>
      </c>
      <c r="C935" t="s">
        <v>617</v>
      </c>
      <c r="D935" s="3">
        <v>888.69</v>
      </c>
      <c r="E935" t="s">
        <v>450</v>
      </c>
      <c r="F935" t="s">
        <v>192</v>
      </c>
    </row>
    <row r="936" spans="1:6" x14ac:dyDescent="0.25">
      <c r="A936">
        <v>20181015</v>
      </c>
      <c r="B936" t="str">
        <f>"126371"</f>
        <v>126371</v>
      </c>
      <c r="C936" t="s">
        <v>618</v>
      </c>
      <c r="D936" s="3">
        <v>1100</v>
      </c>
      <c r="E936" t="s">
        <v>267</v>
      </c>
      <c r="F936" t="s">
        <v>619</v>
      </c>
    </row>
    <row r="937" spans="1:6" x14ac:dyDescent="0.25">
      <c r="A937">
        <v>20181015</v>
      </c>
      <c r="B937" t="str">
        <f>"126372"</f>
        <v>126372</v>
      </c>
      <c r="C937" t="s">
        <v>36</v>
      </c>
      <c r="D937" s="3">
        <v>132.88</v>
      </c>
      <c r="E937" t="s">
        <v>114</v>
      </c>
      <c r="F937" t="s">
        <v>192</v>
      </c>
    </row>
    <row r="938" spans="1:6" x14ac:dyDescent="0.25">
      <c r="A938">
        <v>20181015</v>
      </c>
      <c r="B938" t="str">
        <f>"126372"</f>
        <v>126372</v>
      </c>
      <c r="C938" t="s">
        <v>36</v>
      </c>
      <c r="D938" s="3">
        <v>14.45</v>
      </c>
      <c r="E938" t="s">
        <v>268</v>
      </c>
      <c r="F938" t="s">
        <v>192</v>
      </c>
    </row>
    <row r="939" spans="1:6" x14ac:dyDescent="0.25">
      <c r="A939">
        <v>20181015</v>
      </c>
      <c r="B939" t="str">
        <f>"126372"</f>
        <v>126372</v>
      </c>
      <c r="C939" t="s">
        <v>36</v>
      </c>
      <c r="D939" s="3">
        <v>2467.98</v>
      </c>
      <c r="E939" t="s">
        <v>268</v>
      </c>
      <c r="F939" t="s">
        <v>192</v>
      </c>
    </row>
    <row r="940" spans="1:6" x14ac:dyDescent="0.25">
      <c r="A940">
        <v>20181015</v>
      </c>
      <c r="B940" t="str">
        <f>"126372"</f>
        <v>126372</v>
      </c>
      <c r="C940" t="s">
        <v>36</v>
      </c>
      <c r="D940" s="3">
        <v>424.42</v>
      </c>
      <c r="E940" t="s">
        <v>268</v>
      </c>
      <c r="F940" t="s">
        <v>192</v>
      </c>
    </row>
    <row r="941" spans="1:6" x14ac:dyDescent="0.25">
      <c r="A941">
        <v>20181015</v>
      </c>
      <c r="B941" t="str">
        <f>"126373"</f>
        <v>126373</v>
      </c>
      <c r="C941" t="s">
        <v>620</v>
      </c>
      <c r="D941" s="3">
        <v>125</v>
      </c>
      <c r="E941" t="s">
        <v>621</v>
      </c>
      <c r="F941" t="s">
        <v>192</v>
      </c>
    </row>
    <row r="942" spans="1:6" x14ac:dyDescent="0.25">
      <c r="A942">
        <v>20181015</v>
      </c>
      <c r="B942" t="str">
        <f>"126374"</f>
        <v>126374</v>
      </c>
      <c r="C942" t="s">
        <v>622</v>
      </c>
      <c r="D942" s="3">
        <v>3000</v>
      </c>
      <c r="E942" t="s">
        <v>623</v>
      </c>
      <c r="F942" t="s">
        <v>192</v>
      </c>
    </row>
    <row r="943" spans="1:6" x14ac:dyDescent="0.25">
      <c r="A943">
        <v>20181015</v>
      </c>
      <c r="B943" t="str">
        <f>"126375"</f>
        <v>126375</v>
      </c>
      <c r="C943" t="s">
        <v>624</v>
      </c>
      <c r="D943" s="3">
        <v>750</v>
      </c>
      <c r="E943" t="s">
        <v>625</v>
      </c>
      <c r="F943" t="s">
        <v>192</v>
      </c>
    </row>
    <row r="944" spans="1:6" x14ac:dyDescent="0.25">
      <c r="A944">
        <v>20181015</v>
      </c>
      <c r="B944" t="str">
        <f>"126376"</f>
        <v>126376</v>
      </c>
      <c r="C944" t="s">
        <v>146</v>
      </c>
      <c r="D944" s="3">
        <v>108.75</v>
      </c>
      <c r="E944" t="s">
        <v>274</v>
      </c>
      <c r="F944" t="s">
        <v>192</v>
      </c>
    </row>
    <row r="945" spans="1:6" x14ac:dyDescent="0.25">
      <c r="A945">
        <v>20181015</v>
      </c>
      <c r="B945" t="str">
        <f>"126377"</f>
        <v>126377</v>
      </c>
      <c r="C945" t="s">
        <v>84</v>
      </c>
      <c r="D945" s="3">
        <v>3543</v>
      </c>
      <c r="E945" t="s">
        <v>626</v>
      </c>
      <c r="F945" t="s">
        <v>195</v>
      </c>
    </row>
    <row r="946" spans="1:6" x14ac:dyDescent="0.25">
      <c r="A946">
        <v>20181015</v>
      </c>
      <c r="B946" t="str">
        <f>"126377"</f>
        <v>126377</v>
      </c>
      <c r="C946" t="s">
        <v>84</v>
      </c>
      <c r="D946" s="3">
        <v>1116</v>
      </c>
      <c r="E946" t="s">
        <v>626</v>
      </c>
      <c r="F946" t="s">
        <v>195</v>
      </c>
    </row>
    <row r="947" spans="1:6" x14ac:dyDescent="0.25">
      <c r="A947">
        <v>20181015</v>
      </c>
      <c r="B947" t="str">
        <f>"126377"</f>
        <v>126377</v>
      </c>
      <c r="C947" t="s">
        <v>84</v>
      </c>
      <c r="D947" s="3">
        <v>360</v>
      </c>
      <c r="E947" t="s">
        <v>626</v>
      </c>
      <c r="F947" t="s">
        <v>195</v>
      </c>
    </row>
    <row r="948" spans="1:6" x14ac:dyDescent="0.25">
      <c r="A948">
        <v>20181015</v>
      </c>
      <c r="B948" t="str">
        <f>"126378"</f>
        <v>126378</v>
      </c>
      <c r="C948" t="s">
        <v>278</v>
      </c>
      <c r="D948" s="3">
        <v>289.08</v>
      </c>
      <c r="E948" t="s">
        <v>467</v>
      </c>
      <c r="F948" t="s">
        <v>192</v>
      </c>
    </row>
    <row r="949" spans="1:6" x14ac:dyDescent="0.25">
      <c r="A949">
        <v>20181015</v>
      </c>
      <c r="B949" t="str">
        <f>"126378"</f>
        <v>126378</v>
      </c>
      <c r="C949" t="s">
        <v>278</v>
      </c>
      <c r="D949" s="3">
        <v>18.62</v>
      </c>
      <c r="E949" t="s">
        <v>627</v>
      </c>
      <c r="F949" t="s">
        <v>192</v>
      </c>
    </row>
    <row r="950" spans="1:6" x14ac:dyDescent="0.25">
      <c r="A950">
        <v>20181015</v>
      </c>
      <c r="B950" t="str">
        <f>"126379"</f>
        <v>126379</v>
      </c>
      <c r="C950" t="s">
        <v>39</v>
      </c>
      <c r="D950" s="3">
        <v>50</v>
      </c>
      <c r="E950" t="s">
        <v>628</v>
      </c>
      <c r="F950" t="s">
        <v>192</v>
      </c>
    </row>
    <row r="951" spans="1:6" x14ac:dyDescent="0.25">
      <c r="A951">
        <v>20181015</v>
      </c>
      <c r="B951" t="str">
        <f>"126380"</f>
        <v>126380</v>
      </c>
      <c r="C951" t="s">
        <v>629</v>
      </c>
      <c r="D951" s="3">
        <v>322.89999999999998</v>
      </c>
      <c r="E951" t="s">
        <v>393</v>
      </c>
      <c r="F951" t="s">
        <v>192</v>
      </c>
    </row>
    <row r="952" spans="1:6" x14ac:dyDescent="0.25">
      <c r="A952">
        <v>20181015</v>
      </c>
      <c r="B952" t="str">
        <f>"126381"</f>
        <v>126381</v>
      </c>
      <c r="C952" t="s">
        <v>286</v>
      </c>
      <c r="D952" s="3">
        <v>13081.91</v>
      </c>
      <c r="E952" t="s">
        <v>630</v>
      </c>
      <c r="F952" t="s">
        <v>192</v>
      </c>
    </row>
    <row r="953" spans="1:6" x14ac:dyDescent="0.25">
      <c r="A953">
        <v>20181015</v>
      </c>
      <c r="B953" t="str">
        <f>"126381"</f>
        <v>126381</v>
      </c>
      <c r="C953" t="s">
        <v>286</v>
      </c>
      <c r="D953" s="3">
        <v>4363.97</v>
      </c>
      <c r="E953" t="s">
        <v>630</v>
      </c>
      <c r="F953" t="s">
        <v>192</v>
      </c>
    </row>
    <row r="954" spans="1:6" x14ac:dyDescent="0.25">
      <c r="A954">
        <v>20181015</v>
      </c>
      <c r="B954" t="str">
        <f>"126381"</f>
        <v>126381</v>
      </c>
      <c r="C954" t="s">
        <v>286</v>
      </c>
      <c r="D954" s="3">
        <v>3305.69</v>
      </c>
      <c r="E954" t="s">
        <v>630</v>
      </c>
      <c r="F954" t="s">
        <v>192</v>
      </c>
    </row>
    <row r="955" spans="1:6" x14ac:dyDescent="0.25">
      <c r="A955">
        <v>20181015</v>
      </c>
      <c r="B955" t="str">
        <f>"126381"</f>
        <v>126381</v>
      </c>
      <c r="C955" t="s">
        <v>286</v>
      </c>
      <c r="D955" s="3">
        <v>133.68</v>
      </c>
      <c r="E955" t="s">
        <v>630</v>
      </c>
      <c r="F955" t="s">
        <v>192</v>
      </c>
    </row>
    <row r="956" spans="1:6" x14ac:dyDescent="0.25">
      <c r="A956">
        <v>20181015</v>
      </c>
      <c r="B956" t="str">
        <f>"126381"</f>
        <v>126381</v>
      </c>
      <c r="C956" t="s">
        <v>286</v>
      </c>
      <c r="D956" s="3">
        <v>784.24</v>
      </c>
      <c r="E956" t="s">
        <v>630</v>
      </c>
      <c r="F956" t="s">
        <v>192</v>
      </c>
    </row>
    <row r="957" spans="1:6" x14ac:dyDescent="0.25">
      <c r="A957">
        <v>20181015</v>
      </c>
      <c r="B957" t="str">
        <f>"126382"</f>
        <v>126382</v>
      </c>
      <c r="C957" t="s">
        <v>148</v>
      </c>
      <c r="D957" s="3">
        <v>36</v>
      </c>
      <c r="E957" t="s">
        <v>346</v>
      </c>
      <c r="F957" t="s">
        <v>192</v>
      </c>
    </row>
    <row r="958" spans="1:6" x14ac:dyDescent="0.25">
      <c r="A958">
        <v>20181015</v>
      </c>
      <c r="B958" t="str">
        <f>"126382"</f>
        <v>126382</v>
      </c>
      <c r="C958" t="s">
        <v>148</v>
      </c>
      <c r="D958" s="3">
        <v>94.5</v>
      </c>
      <c r="E958" t="s">
        <v>631</v>
      </c>
      <c r="F958" t="s">
        <v>192</v>
      </c>
    </row>
    <row r="959" spans="1:6" x14ac:dyDescent="0.25">
      <c r="A959">
        <v>20181015</v>
      </c>
      <c r="B959" t="str">
        <f>"126382"</f>
        <v>126382</v>
      </c>
      <c r="C959" t="s">
        <v>148</v>
      </c>
      <c r="D959" s="3">
        <v>197.85</v>
      </c>
      <c r="E959" t="s">
        <v>632</v>
      </c>
      <c r="F959" t="s">
        <v>192</v>
      </c>
    </row>
    <row r="960" spans="1:6" x14ac:dyDescent="0.25">
      <c r="A960">
        <v>20181015</v>
      </c>
      <c r="B960" t="str">
        <f>"126383"</f>
        <v>126383</v>
      </c>
      <c r="C960" t="s">
        <v>293</v>
      </c>
      <c r="D960" s="3">
        <v>215.82</v>
      </c>
      <c r="E960" t="s">
        <v>633</v>
      </c>
      <c r="F960" t="s">
        <v>192</v>
      </c>
    </row>
    <row r="961" spans="1:6" x14ac:dyDescent="0.25">
      <c r="A961">
        <v>20181015</v>
      </c>
      <c r="B961" t="str">
        <f>"126384"</f>
        <v>126384</v>
      </c>
      <c r="C961" t="s">
        <v>634</v>
      </c>
      <c r="D961" s="3">
        <v>196.62</v>
      </c>
      <c r="E961" t="s">
        <v>635</v>
      </c>
      <c r="F961" t="s">
        <v>192</v>
      </c>
    </row>
    <row r="962" spans="1:6" x14ac:dyDescent="0.25">
      <c r="A962">
        <v>20181015</v>
      </c>
      <c r="B962" t="str">
        <f>"126385"</f>
        <v>126385</v>
      </c>
      <c r="C962" t="s">
        <v>636</v>
      </c>
      <c r="D962" s="3">
        <v>253.25</v>
      </c>
      <c r="E962" t="s">
        <v>637</v>
      </c>
      <c r="F962" t="s">
        <v>192</v>
      </c>
    </row>
    <row r="963" spans="1:6" x14ac:dyDescent="0.25">
      <c r="A963">
        <v>20181015</v>
      </c>
      <c r="B963" t="str">
        <f>"126386"</f>
        <v>126386</v>
      </c>
      <c r="C963" t="s">
        <v>638</v>
      </c>
      <c r="D963" s="3">
        <v>2712.96</v>
      </c>
      <c r="E963" t="s">
        <v>639</v>
      </c>
      <c r="F963" t="s">
        <v>192</v>
      </c>
    </row>
    <row r="964" spans="1:6" x14ac:dyDescent="0.25">
      <c r="A964">
        <v>20181015</v>
      </c>
      <c r="B964" t="str">
        <f>"126387"</f>
        <v>126387</v>
      </c>
      <c r="C964" t="s">
        <v>640</v>
      </c>
      <c r="D964" s="3">
        <v>2740</v>
      </c>
      <c r="E964" t="s">
        <v>641</v>
      </c>
      <c r="F964" t="s">
        <v>192</v>
      </c>
    </row>
    <row r="965" spans="1:6" x14ac:dyDescent="0.25">
      <c r="A965">
        <v>20181015</v>
      </c>
      <c r="B965" t="str">
        <f>"126388"</f>
        <v>126388</v>
      </c>
      <c r="C965" t="s">
        <v>642</v>
      </c>
      <c r="D965" s="3">
        <v>399</v>
      </c>
      <c r="E965" t="s">
        <v>643</v>
      </c>
      <c r="F965" t="s">
        <v>192</v>
      </c>
    </row>
    <row r="966" spans="1:6" x14ac:dyDescent="0.25">
      <c r="A966">
        <v>20181015</v>
      </c>
      <c r="B966" t="str">
        <f>"126389"</f>
        <v>126389</v>
      </c>
      <c r="C966" t="s">
        <v>644</v>
      </c>
      <c r="D966" s="3">
        <v>969.8</v>
      </c>
      <c r="E966" t="s">
        <v>627</v>
      </c>
      <c r="F966" t="s">
        <v>192</v>
      </c>
    </row>
    <row r="967" spans="1:6" x14ac:dyDescent="0.25">
      <c r="A967">
        <v>20181015</v>
      </c>
      <c r="B967" t="str">
        <f>"126390"</f>
        <v>126390</v>
      </c>
      <c r="C967" t="s">
        <v>645</v>
      </c>
      <c r="D967" s="3">
        <v>96</v>
      </c>
      <c r="E967" t="s">
        <v>646</v>
      </c>
      <c r="F967" t="s">
        <v>192</v>
      </c>
    </row>
    <row r="968" spans="1:6" x14ac:dyDescent="0.25">
      <c r="A968">
        <v>20181015</v>
      </c>
      <c r="B968" t="str">
        <f>"126391"</f>
        <v>126391</v>
      </c>
      <c r="C968" t="s">
        <v>647</v>
      </c>
      <c r="D968" s="3">
        <v>9.99</v>
      </c>
      <c r="E968" t="s">
        <v>555</v>
      </c>
      <c r="F968" t="s">
        <v>215</v>
      </c>
    </row>
    <row r="969" spans="1:6" x14ac:dyDescent="0.25">
      <c r="A969">
        <v>20181015</v>
      </c>
      <c r="B969" t="str">
        <f>"126392"</f>
        <v>126392</v>
      </c>
      <c r="C969" t="s">
        <v>648</v>
      </c>
      <c r="D969" s="3">
        <v>1300</v>
      </c>
      <c r="E969" t="s">
        <v>273</v>
      </c>
      <c r="F969" t="s">
        <v>192</v>
      </c>
    </row>
    <row r="970" spans="1:6" x14ac:dyDescent="0.25">
      <c r="A970">
        <v>20181015</v>
      </c>
      <c r="B970" t="str">
        <f>"126393"</f>
        <v>126393</v>
      </c>
      <c r="C970" t="s">
        <v>649</v>
      </c>
      <c r="D970" s="3">
        <v>120</v>
      </c>
      <c r="E970" t="s">
        <v>540</v>
      </c>
      <c r="F970" t="s">
        <v>192</v>
      </c>
    </row>
    <row r="971" spans="1:6" x14ac:dyDescent="0.25">
      <c r="A971">
        <v>20181015</v>
      </c>
      <c r="B971" t="str">
        <f>"126394"</f>
        <v>126394</v>
      </c>
      <c r="C971" t="s">
        <v>650</v>
      </c>
      <c r="D971" s="3">
        <v>550</v>
      </c>
      <c r="E971" t="s">
        <v>589</v>
      </c>
      <c r="F971" t="s">
        <v>192</v>
      </c>
    </row>
    <row r="972" spans="1:6" x14ac:dyDescent="0.25">
      <c r="A972">
        <v>20181015</v>
      </c>
      <c r="B972" t="str">
        <f>"126395"</f>
        <v>126395</v>
      </c>
      <c r="C972" t="s">
        <v>651</v>
      </c>
      <c r="D972" s="3">
        <v>240</v>
      </c>
      <c r="E972" t="s">
        <v>652</v>
      </c>
      <c r="F972" t="s">
        <v>192</v>
      </c>
    </row>
    <row r="973" spans="1:6" x14ac:dyDescent="0.25">
      <c r="A973">
        <v>20181015</v>
      </c>
      <c r="B973" t="str">
        <f>"126396"</f>
        <v>126396</v>
      </c>
      <c r="C973" t="s">
        <v>653</v>
      </c>
      <c r="D973" s="3">
        <v>75</v>
      </c>
      <c r="E973" t="s">
        <v>197</v>
      </c>
      <c r="F973" t="s">
        <v>198</v>
      </c>
    </row>
    <row r="974" spans="1:6" x14ac:dyDescent="0.25">
      <c r="A974">
        <v>20181015</v>
      </c>
      <c r="B974" t="str">
        <f>"126397"</f>
        <v>126397</v>
      </c>
      <c r="C974" t="s">
        <v>308</v>
      </c>
      <c r="D974" s="3">
        <v>146.38999999999999</v>
      </c>
      <c r="E974" t="s">
        <v>137</v>
      </c>
      <c r="F974" t="s">
        <v>192</v>
      </c>
    </row>
    <row r="975" spans="1:6" x14ac:dyDescent="0.25">
      <c r="A975">
        <v>20181015</v>
      </c>
      <c r="B975" t="str">
        <f>"126397"</f>
        <v>126397</v>
      </c>
      <c r="C975" t="s">
        <v>308</v>
      </c>
      <c r="D975" s="3">
        <v>47.3</v>
      </c>
      <c r="E975" t="s">
        <v>137</v>
      </c>
      <c r="F975" t="s">
        <v>192</v>
      </c>
    </row>
    <row r="976" spans="1:6" x14ac:dyDescent="0.25">
      <c r="A976">
        <v>20181015</v>
      </c>
      <c r="B976" t="str">
        <f>"126397"</f>
        <v>126397</v>
      </c>
      <c r="C976" t="s">
        <v>308</v>
      </c>
      <c r="D976" s="3">
        <v>505.7</v>
      </c>
      <c r="E976" t="s">
        <v>28</v>
      </c>
      <c r="F976" t="s">
        <v>192</v>
      </c>
    </row>
    <row r="977" spans="1:6" x14ac:dyDescent="0.25">
      <c r="A977">
        <v>20181015</v>
      </c>
      <c r="B977" t="str">
        <f>"126397"</f>
        <v>126397</v>
      </c>
      <c r="C977" t="s">
        <v>308</v>
      </c>
      <c r="D977" s="3">
        <v>2.1</v>
      </c>
      <c r="E977" t="s">
        <v>28</v>
      </c>
      <c r="F977" t="s">
        <v>192</v>
      </c>
    </row>
    <row r="978" spans="1:6" x14ac:dyDescent="0.25">
      <c r="A978">
        <v>20181015</v>
      </c>
      <c r="B978" t="str">
        <f>"126397"</f>
        <v>126397</v>
      </c>
      <c r="C978" t="s">
        <v>308</v>
      </c>
      <c r="D978" s="3">
        <v>3.7</v>
      </c>
      <c r="E978" t="s">
        <v>28</v>
      </c>
      <c r="F978" t="s">
        <v>192</v>
      </c>
    </row>
    <row r="979" spans="1:6" x14ac:dyDescent="0.25">
      <c r="A979">
        <v>20181015</v>
      </c>
      <c r="B979" t="str">
        <f>"126397"</f>
        <v>126397</v>
      </c>
      <c r="C979" t="s">
        <v>308</v>
      </c>
      <c r="D979" s="3">
        <v>2.15</v>
      </c>
      <c r="E979" t="s">
        <v>28</v>
      </c>
      <c r="F979" t="s">
        <v>192</v>
      </c>
    </row>
    <row r="980" spans="1:6" x14ac:dyDescent="0.25">
      <c r="A980">
        <v>20181015</v>
      </c>
      <c r="B980" t="str">
        <f>"126397"</f>
        <v>126397</v>
      </c>
      <c r="C980" t="s">
        <v>308</v>
      </c>
      <c r="D980" s="3">
        <v>90.93</v>
      </c>
      <c r="E980" t="s">
        <v>28</v>
      </c>
      <c r="F980" t="s">
        <v>192</v>
      </c>
    </row>
    <row r="981" spans="1:6" x14ac:dyDescent="0.25">
      <c r="A981">
        <v>20181015</v>
      </c>
      <c r="B981" t="str">
        <f>"126397"</f>
        <v>126397</v>
      </c>
      <c r="C981" t="s">
        <v>308</v>
      </c>
      <c r="D981" s="3">
        <v>2.75</v>
      </c>
      <c r="E981" t="s">
        <v>28</v>
      </c>
      <c r="F981" t="s">
        <v>192</v>
      </c>
    </row>
    <row r="982" spans="1:6" x14ac:dyDescent="0.25">
      <c r="A982">
        <v>20181015</v>
      </c>
      <c r="B982" t="str">
        <f>"126397"</f>
        <v>126397</v>
      </c>
      <c r="C982" t="s">
        <v>308</v>
      </c>
      <c r="D982" s="3">
        <v>20.94</v>
      </c>
      <c r="E982" t="s">
        <v>654</v>
      </c>
      <c r="F982" t="s">
        <v>192</v>
      </c>
    </row>
    <row r="983" spans="1:6" x14ac:dyDescent="0.25">
      <c r="A983">
        <v>20181015</v>
      </c>
      <c r="B983" t="str">
        <f>"126398"</f>
        <v>126398</v>
      </c>
      <c r="C983" t="s">
        <v>655</v>
      </c>
      <c r="D983" s="3">
        <v>9.99</v>
      </c>
      <c r="E983" t="s">
        <v>555</v>
      </c>
      <c r="F983" t="s">
        <v>215</v>
      </c>
    </row>
    <row r="984" spans="1:6" x14ac:dyDescent="0.25">
      <c r="A984">
        <v>20181015</v>
      </c>
      <c r="B984" t="str">
        <f>"126399"</f>
        <v>126399</v>
      </c>
      <c r="C984" t="s">
        <v>656</v>
      </c>
      <c r="D984" s="3">
        <v>96</v>
      </c>
      <c r="E984" t="s">
        <v>342</v>
      </c>
      <c r="F984" t="s">
        <v>215</v>
      </c>
    </row>
    <row r="985" spans="1:6" x14ac:dyDescent="0.25">
      <c r="A985">
        <v>20181015</v>
      </c>
      <c r="B985" t="str">
        <f>"126400"</f>
        <v>126400</v>
      </c>
      <c r="C985" t="s">
        <v>657</v>
      </c>
      <c r="D985" s="3">
        <v>250</v>
      </c>
      <c r="E985" t="s">
        <v>67</v>
      </c>
      <c r="F985" t="s">
        <v>198</v>
      </c>
    </row>
    <row r="986" spans="1:6" x14ac:dyDescent="0.25">
      <c r="A986">
        <v>20181015</v>
      </c>
      <c r="B986" t="str">
        <f>"126401"</f>
        <v>126401</v>
      </c>
      <c r="C986" t="s">
        <v>658</v>
      </c>
      <c r="D986" s="3">
        <v>60</v>
      </c>
      <c r="E986" t="s">
        <v>659</v>
      </c>
      <c r="F986" t="s">
        <v>198</v>
      </c>
    </row>
    <row r="987" spans="1:6" x14ac:dyDescent="0.25">
      <c r="A987">
        <v>20181015</v>
      </c>
      <c r="B987" t="str">
        <f>"126402"</f>
        <v>126402</v>
      </c>
      <c r="C987" t="s">
        <v>660</v>
      </c>
      <c r="D987" s="3">
        <v>75</v>
      </c>
      <c r="E987" t="s">
        <v>197</v>
      </c>
      <c r="F987" t="s">
        <v>198</v>
      </c>
    </row>
    <row r="988" spans="1:6" x14ac:dyDescent="0.25">
      <c r="A988">
        <v>20181015</v>
      </c>
      <c r="B988" t="str">
        <f>"126403"</f>
        <v>126403</v>
      </c>
      <c r="C988" t="s">
        <v>312</v>
      </c>
      <c r="D988" s="3">
        <v>265.32</v>
      </c>
      <c r="E988" t="s">
        <v>258</v>
      </c>
      <c r="F988" t="s">
        <v>215</v>
      </c>
    </row>
    <row r="989" spans="1:6" x14ac:dyDescent="0.25">
      <c r="A989">
        <v>20181015</v>
      </c>
      <c r="B989" t="str">
        <f>"126403"</f>
        <v>126403</v>
      </c>
      <c r="C989" t="s">
        <v>312</v>
      </c>
      <c r="D989" s="3">
        <v>322.36</v>
      </c>
      <c r="E989" t="s">
        <v>258</v>
      </c>
      <c r="F989" t="s">
        <v>215</v>
      </c>
    </row>
    <row r="990" spans="1:6" x14ac:dyDescent="0.25">
      <c r="A990">
        <v>20181015</v>
      </c>
      <c r="B990" t="str">
        <f>"126403"</f>
        <v>126403</v>
      </c>
      <c r="C990" t="s">
        <v>312</v>
      </c>
      <c r="D990" s="3">
        <v>417.03</v>
      </c>
      <c r="E990" t="s">
        <v>258</v>
      </c>
      <c r="F990" t="s">
        <v>215</v>
      </c>
    </row>
    <row r="991" spans="1:6" x14ac:dyDescent="0.25">
      <c r="A991">
        <v>20181015</v>
      </c>
      <c r="B991" t="str">
        <f>"126403"</f>
        <v>126403</v>
      </c>
      <c r="C991" t="s">
        <v>312</v>
      </c>
      <c r="D991" s="3">
        <v>224.21</v>
      </c>
      <c r="E991" t="s">
        <v>258</v>
      </c>
      <c r="F991" t="s">
        <v>215</v>
      </c>
    </row>
    <row r="992" spans="1:6" x14ac:dyDescent="0.25">
      <c r="A992">
        <v>20181015</v>
      </c>
      <c r="B992" t="str">
        <f>"126403"</f>
        <v>126403</v>
      </c>
      <c r="C992" t="s">
        <v>312</v>
      </c>
      <c r="D992" s="3">
        <v>301.83999999999997</v>
      </c>
      <c r="E992" t="s">
        <v>258</v>
      </c>
      <c r="F992" t="s">
        <v>215</v>
      </c>
    </row>
    <row r="993" spans="1:6" x14ac:dyDescent="0.25">
      <c r="A993">
        <v>20181015</v>
      </c>
      <c r="B993" t="str">
        <f>"126404"</f>
        <v>126404</v>
      </c>
      <c r="C993" t="s">
        <v>661</v>
      </c>
      <c r="D993" s="3">
        <v>89.79</v>
      </c>
      <c r="E993" t="s">
        <v>258</v>
      </c>
      <c r="F993" t="s">
        <v>215</v>
      </c>
    </row>
    <row r="994" spans="1:6" x14ac:dyDescent="0.25">
      <c r="A994">
        <v>20181015</v>
      </c>
      <c r="B994" t="str">
        <f>"126404"</f>
        <v>126404</v>
      </c>
      <c r="C994" t="s">
        <v>661</v>
      </c>
      <c r="D994" s="3">
        <v>47.45</v>
      </c>
      <c r="E994" t="s">
        <v>258</v>
      </c>
      <c r="F994" t="s">
        <v>215</v>
      </c>
    </row>
    <row r="995" spans="1:6" x14ac:dyDescent="0.25">
      <c r="A995">
        <v>20181015</v>
      </c>
      <c r="B995" t="str">
        <f>"126404"</f>
        <v>126404</v>
      </c>
      <c r="C995" t="s">
        <v>661</v>
      </c>
      <c r="D995" s="3">
        <v>74.08</v>
      </c>
      <c r="E995" t="s">
        <v>258</v>
      </c>
      <c r="F995" t="s">
        <v>215</v>
      </c>
    </row>
    <row r="996" spans="1:6" x14ac:dyDescent="0.25">
      <c r="A996">
        <v>20181015</v>
      </c>
      <c r="B996" t="str">
        <f>"126404"</f>
        <v>126404</v>
      </c>
      <c r="C996" t="s">
        <v>661</v>
      </c>
      <c r="D996" s="3">
        <v>61.35</v>
      </c>
      <c r="E996" t="s">
        <v>258</v>
      </c>
      <c r="F996" t="s">
        <v>215</v>
      </c>
    </row>
    <row r="997" spans="1:6" x14ac:dyDescent="0.25">
      <c r="A997">
        <v>20181015</v>
      </c>
      <c r="B997" t="str">
        <f>"126404"</f>
        <v>126404</v>
      </c>
      <c r="C997" t="s">
        <v>661</v>
      </c>
      <c r="D997" s="3">
        <v>95.92</v>
      </c>
      <c r="E997" t="s">
        <v>258</v>
      </c>
      <c r="F997" t="s">
        <v>215</v>
      </c>
    </row>
    <row r="998" spans="1:6" x14ac:dyDescent="0.25">
      <c r="A998">
        <v>20181015</v>
      </c>
      <c r="B998" t="str">
        <f>"126404"</f>
        <v>126404</v>
      </c>
      <c r="C998" t="s">
        <v>661</v>
      </c>
      <c r="D998" s="3">
        <v>134.85</v>
      </c>
      <c r="E998" t="s">
        <v>258</v>
      </c>
      <c r="F998" t="s">
        <v>215</v>
      </c>
    </row>
    <row r="999" spans="1:6" x14ac:dyDescent="0.25">
      <c r="A999">
        <v>20181015</v>
      </c>
      <c r="B999" t="str">
        <f>"126404"</f>
        <v>126404</v>
      </c>
      <c r="C999" t="s">
        <v>661</v>
      </c>
      <c r="D999" s="3">
        <v>96.1</v>
      </c>
      <c r="E999" t="s">
        <v>258</v>
      </c>
      <c r="F999" t="s">
        <v>215</v>
      </c>
    </row>
    <row r="1000" spans="1:6" x14ac:dyDescent="0.25">
      <c r="A1000">
        <v>20181015</v>
      </c>
      <c r="B1000" t="str">
        <f>"126404"</f>
        <v>126404</v>
      </c>
      <c r="C1000" t="s">
        <v>661</v>
      </c>
      <c r="D1000" s="3">
        <v>83.4</v>
      </c>
      <c r="E1000" t="s">
        <v>258</v>
      </c>
      <c r="F1000" t="s">
        <v>215</v>
      </c>
    </row>
    <row r="1001" spans="1:6" x14ac:dyDescent="0.25">
      <c r="A1001">
        <v>20181015</v>
      </c>
      <c r="B1001" t="str">
        <f>"126404"</f>
        <v>126404</v>
      </c>
      <c r="C1001" t="s">
        <v>661</v>
      </c>
      <c r="D1001" s="3">
        <v>55.6</v>
      </c>
      <c r="E1001" t="s">
        <v>258</v>
      </c>
      <c r="F1001" t="s">
        <v>215</v>
      </c>
    </row>
    <row r="1002" spans="1:6" x14ac:dyDescent="0.25">
      <c r="A1002">
        <v>20181015</v>
      </c>
      <c r="B1002" t="str">
        <f>"126404"</f>
        <v>126404</v>
      </c>
      <c r="C1002" t="s">
        <v>661</v>
      </c>
      <c r="D1002" s="3">
        <v>55.6</v>
      </c>
      <c r="E1002" t="s">
        <v>258</v>
      </c>
      <c r="F1002" t="s">
        <v>215</v>
      </c>
    </row>
    <row r="1003" spans="1:6" x14ac:dyDescent="0.25">
      <c r="A1003">
        <v>20181015</v>
      </c>
      <c r="B1003" t="str">
        <f>"126404"</f>
        <v>126404</v>
      </c>
      <c r="C1003" t="s">
        <v>661</v>
      </c>
      <c r="D1003" s="3">
        <v>20.85</v>
      </c>
      <c r="E1003" t="s">
        <v>258</v>
      </c>
      <c r="F1003" t="s">
        <v>215</v>
      </c>
    </row>
    <row r="1004" spans="1:6" x14ac:dyDescent="0.25">
      <c r="A1004">
        <v>20181015</v>
      </c>
      <c r="B1004" t="str">
        <f>"126404"</f>
        <v>126404</v>
      </c>
      <c r="C1004" t="s">
        <v>661</v>
      </c>
      <c r="D1004" s="3">
        <v>76.45</v>
      </c>
      <c r="E1004" t="s">
        <v>258</v>
      </c>
      <c r="F1004" t="s">
        <v>215</v>
      </c>
    </row>
    <row r="1005" spans="1:6" x14ac:dyDescent="0.25">
      <c r="A1005">
        <v>20181015</v>
      </c>
      <c r="B1005" t="str">
        <f>"126405"</f>
        <v>126405</v>
      </c>
      <c r="C1005" t="s">
        <v>662</v>
      </c>
      <c r="D1005" s="3">
        <v>115</v>
      </c>
      <c r="E1005" t="s">
        <v>197</v>
      </c>
      <c r="F1005" t="s">
        <v>198</v>
      </c>
    </row>
    <row r="1006" spans="1:6" x14ac:dyDescent="0.25">
      <c r="A1006">
        <v>20181015</v>
      </c>
      <c r="B1006" t="str">
        <f>"126406"</f>
        <v>126406</v>
      </c>
      <c r="C1006" t="s">
        <v>317</v>
      </c>
      <c r="D1006" s="3">
        <v>2363.7199999999998</v>
      </c>
      <c r="E1006" t="s">
        <v>228</v>
      </c>
      <c r="F1006" t="s">
        <v>198</v>
      </c>
    </row>
    <row r="1007" spans="1:6" x14ac:dyDescent="0.25">
      <c r="A1007">
        <v>20181015</v>
      </c>
      <c r="B1007" t="str">
        <f>"126406"</f>
        <v>126406</v>
      </c>
      <c r="C1007" t="s">
        <v>317</v>
      </c>
      <c r="D1007" s="3">
        <v>626.37</v>
      </c>
      <c r="E1007" t="s">
        <v>228</v>
      </c>
      <c r="F1007" t="s">
        <v>198</v>
      </c>
    </row>
    <row r="1008" spans="1:6" x14ac:dyDescent="0.25">
      <c r="A1008">
        <v>20181015</v>
      </c>
      <c r="B1008" t="str">
        <f>"126406"</f>
        <v>126406</v>
      </c>
      <c r="C1008" t="s">
        <v>317</v>
      </c>
      <c r="D1008" s="3">
        <v>1432.88</v>
      </c>
      <c r="E1008" t="s">
        <v>258</v>
      </c>
      <c r="F1008" t="s">
        <v>215</v>
      </c>
    </row>
    <row r="1009" spans="1:6" x14ac:dyDescent="0.25">
      <c r="A1009">
        <v>20181015</v>
      </c>
      <c r="B1009" t="str">
        <f>"126406"</f>
        <v>126406</v>
      </c>
      <c r="C1009" t="s">
        <v>317</v>
      </c>
      <c r="D1009" s="3">
        <v>1388.96</v>
      </c>
      <c r="E1009" t="s">
        <v>258</v>
      </c>
      <c r="F1009" t="s">
        <v>215</v>
      </c>
    </row>
    <row r="1010" spans="1:6" x14ac:dyDescent="0.25">
      <c r="A1010">
        <v>20181015</v>
      </c>
      <c r="B1010" t="str">
        <f>"126406"</f>
        <v>126406</v>
      </c>
      <c r="C1010" t="s">
        <v>317</v>
      </c>
      <c r="D1010" s="3">
        <v>65.209999999999994</v>
      </c>
      <c r="E1010" t="s">
        <v>258</v>
      </c>
      <c r="F1010" t="s">
        <v>215</v>
      </c>
    </row>
    <row r="1011" spans="1:6" x14ac:dyDescent="0.25">
      <c r="A1011">
        <v>20181015</v>
      </c>
      <c r="B1011" t="str">
        <f>"126406"</f>
        <v>126406</v>
      </c>
      <c r="C1011" t="s">
        <v>317</v>
      </c>
      <c r="D1011" s="3">
        <v>1966.47</v>
      </c>
      <c r="E1011" t="s">
        <v>326</v>
      </c>
      <c r="F1011" t="s">
        <v>215</v>
      </c>
    </row>
    <row r="1012" spans="1:6" x14ac:dyDescent="0.25">
      <c r="A1012">
        <v>20181015</v>
      </c>
      <c r="B1012" t="str">
        <f>"126406"</f>
        <v>126406</v>
      </c>
      <c r="C1012" t="s">
        <v>317</v>
      </c>
      <c r="D1012" s="3">
        <v>16.940000000000001</v>
      </c>
      <c r="E1012" t="s">
        <v>326</v>
      </c>
      <c r="F1012" t="s">
        <v>215</v>
      </c>
    </row>
    <row r="1013" spans="1:6" x14ac:dyDescent="0.25">
      <c r="A1013">
        <v>20181015</v>
      </c>
      <c r="B1013" t="str">
        <f>"126406"</f>
        <v>126406</v>
      </c>
      <c r="C1013" t="s">
        <v>317</v>
      </c>
      <c r="D1013" s="3">
        <v>195.12</v>
      </c>
      <c r="E1013" t="s">
        <v>326</v>
      </c>
      <c r="F1013" t="s">
        <v>215</v>
      </c>
    </row>
    <row r="1014" spans="1:6" x14ac:dyDescent="0.25">
      <c r="A1014">
        <v>20181015</v>
      </c>
      <c r="B1014" t="str">
        <f>"126406"</f>
        <v>126406</v>
      </c>
      <c r="C1014" t="s">
        <v>317</v>
      </c>
      <c r="D1014" s="3">
        <v>6118.39</v>
      </c>
      <c r="E1014" t="s">
        <v>322</v>
      </c>
      <c r="F1014" t="s">
        <v>215</v>
      </c>
    </row>
    <row r="1015" spans="1:6" x14ac:dyDescent="0.25">
      <c r="A1015">
        <v>20181015</v>
      </c>
      <c r="B1015" t="str">
        <f>"126406"</f>
        <v>126406</v>
      </c>
      <c r="C1015" t="s">
        <v>317</v>
      </c>
      <c r="D1015" s="3">
        <v>2629.93</v>
      </c>
      <c r="E1015" t="s">
        <v>322</v>
      </c>
      <c r="F1015" t="s">
        <v>215</v>
      </c>
    </row>
    <row r="1016" spans="1:6" x14ac:dyDescent="0.25">
      <c r="A1016">
        <v>20181015</v>
      </c>
      <c r="B1016" t="str">
        <f>"126406"</f>
        <v>126406</v>
      </c>
      <c r="C1016" t="s">
        <v>317</v>
      </c>
      <c r="D1016" s="3">
        <v>1925.07</v>
      </c>
      <c r="E1016" t="s">
        <v>322</v>
      </c>
      <c r="F1016" t="s">
        <v>215</v>
      </c>
    </row>
    <row r="1017" spans="1:6" x14ac:dyDescent="0.25">
      <c r="A1017">
        <v>20181015</v>
      </c>
      <c r="B1017" t="str">
        <f>"126406"</f>
        <v>126406</v>
      </c>
      <c r="C1017" t="s">
        <v>317</v>
      </c>
      <c r="D1017" s="3">
        <v>1148.46</v>
      </c>
      <c r="E1017" t="s">
        <v>322</v>
      </c>
      <c r="F1017" t="s">
        <v>215</v>
      </c>
    </row>
    <row r="1018" spans="1:6" x14ac:dyDescent="0.25">
      <c r="A1018">
        <v>20181015</v>
      </c>
      <c r="B1018" t="str">
        <f>"126406"</f>
        <v>126406</v>
      </c>
      <c r="C1018" t="s">
        <v>317</v>
      </c>
      <c r="D1018" s="3">
        <v>1557.01</v>
      </c>
      <c r="E1018" t="s">
        <v>322</v>
      </c>
      <c r="F1018" t="s">
        <v>215</v>
      </c>
    </row>
    <row r="1019" spans="1:6" x14ac:dyDescent="0.25">
      <c r="A1019">
        <v>20181015</v>
      </c>
      <c r="B1019" t="str">
        <f>"126406"</f>
        <v>126406</v>
      </c>
      <c r="C1019" t="s">
        <v>317</v>
      </c>
      <c r="D1019" s="3">
        <v>870.19</v>
      </c>
      <c r="E1019" t="s">
        <v>322</v>
      </c>
      <c r="F1019" t="s">
        <v>215</v>
      </c>
    </row>
    <row r="1020" spans="1:6" x14ac:dyDescent="0.25">
      <c r="A1020">
        <v>20181015</v>
      </c>
      <c r="B1020" t="str">
        <f>"126406"</f>
        <v>126406</v>
      </c>
      <c r="C1020" t="s">
        <v>317</v>
      </c>
      <c r="D1020" s="3">
        <v>2033.63</v>
      </c>
      <c r="E1020" t="s">
        <v>322</v>
      </c>
      <c r="F1020" t="s">
        <v>215</v>
      </c>
    </row>
    <row r="1021" spans="1:6" x14ac:dyDescent="0.25">
      <c r="A1021">
        <v>20181015</v>
      </c>
      <c r="B1021" t="str">
        <f>"126406"</f>
        <v>126406</v>
      </c>
      <c r="C1021" t="s">
        <v>317</v>
      </c>
      <c r="D1021" s="3">
        <v>1364.85</v>
      </c>
      <c r="E1021" t="s">
        <v>322</v>
      </c>
      <c r="F1021" t="s">
        <v>215</v>
      </c>
    </row>
    <row r="1022" spans="1:6" x14ac:dyDescent="0.25">
      <c r="A1022">
        <v>20181015</v>
      </c>
      <c r="B1022" t="str">
        <f>"126406"</f>
        <v>126406</v>
      </c>
      <c r="C1022" t="s">
        <v>317</v>
      </c>
      <c r="D1022" s="3">
        <v>284.02</v>
      </c>
      <c r="E1022" t="s">
        <v>322</v>
      </c>
      <c r="F1022" t="s">
        <v>215</v>
      </c>
    </row>
    <row r="1023" spans="1:6" x14ac:dyDescent="0.25">
      <c r="A1023">
        <v>20181015</v>
      </c>
      <c r="B1023" t="str">
        <f>"126406"</f>
        <v>126406</v>
      </c>
      <c r="C1023" t="s">
        <v>317</v>
      </c>
      <c r="D1023" s="3">
        <v>284.47000000000003</v>
      </c>
      <c r="E1023" t="s">
        <v>322</v>
      </c>
      <c r="F1023" t="s">
        <v>215</v>
      </c>
    </row>
    <row r="1024" spans="1:6" x14ac:dyDescent="0.25">
      <c r="A1024">
        <v>20181015</v>
      </c>
      <c r="B1024" t="str">
        <f>"126406"</f>
        <v>126406</v>
      </c>
      <c r="C1024" t="s">
        <v>317</v>
      </c>
      <c r="D1024" s="3">
        <v>175.82</v>
      </c>
      <c r="E1024" t="s">
        <v>322</v>
      </c>
      <c r="F1024" t="s">
        <v>215</v>
      </c>
    </row>
    <row r="1025" spans="1:6" x14ac:dyDescent="0.25">
      <c r="A1025">
        <v>20181015</v>
      </c>
      <c r="B1025" t="str">
        <f>"126406"</f>
        <v>126406</v>
      </c>
      <c r="C1025" t="s">
        <v>317</v>
      </c>
      <c r="D1025" s="3">
        <v>128</v>
      </c>
      <c r="E1025" t="s">
        <v>322</v>
      </c>
      <c r="F1025" t="s">
        <v>215</v>
      </c>
    </row>
    <row r="1026" spans="1:6" x14ac:dyDescent="0.25">
      <c r="A1026">
        <v>20181015</v>
      </c>
      <c r="B1026" t="str">
        <f>"126406"</f>
        <v>126406</v>
      </c>
      <c r="C1026" t="s">
        <v>317</v>
      </c>
      <c r="D1026" s="3">
        <v>160.85</v>
      </c>
      <c r="E1026" t="s">
        <v>322</v>
      </c>
      <c r="F1026" t="s">
        <v>215</v>
      </c>
    </row>
    <row r="1027" spans="1:6" x14ac:dyDescent="0.25">
      <c r="A1027">
        <v>20181015</v>
      </c>
      <c r="B1027" t="str">
        <f>"126406"</f>
        <v>126406</v>
      </c>
      <c r="C1027" t="s">
        <v>317</v>
      </c>
      <c r="D1027" s="3">
        <v>299.43</v>
      </c>
      <c r="E1027" t="s">
        <v>322</v>
      </c>
      <c r="F1027" t="s">
        <v>215</v>
      </c>
    </row>
    <row r="1028" spans="1:6" x14ac:dyDescent="0.25">
      <c r="A1028">
        <v>20181015</v>
      </c>
      <c r="B1028" t="str">
        <f>"126406"</f>
        <v>126406</v>
      </c>
      <c r="C1028" t="s">
        <v>317</v>
      </c>
      <c r="D1028" s="3">
        <v>331.26</v>
      </c>
      <c r="E1028" t="s">
        <v>322</v>
      </c>
      <c r="F1028" t="s">
        <v>215</v>
      </c>
    </row>
    <row r="1029" spans="1:6" x14ac:dyDescent="0.25">
      <c r="A1029">
        <v>20181015</v>
      </c>
      <c r="B1029" t="str">
        <f>"126406"</f>
        <v>126406</v>
      </c>
      <c r="C1029" t="s">
        <v>317</v>
      </c>
      <c r="D1029" s="3">
        <v>271.44</v>
      </c>
      <c r="E1029" t="s">
        <v>322</v>
      </c>
      <c r="F1029" t="s">
        <v>215</v>
      </c>
    </row>
    <row r="1030" spans="1:6" x14ac:dyDescent="0.25">
      <c r="A1030">
        <v>20181015</v>
      </c>
      <c r="B1030" t="str">
        <f>"126406"</f>
        <v>126406</v>
      </c>
      <c r="C1030" t="s">
        <v>317</v>
      </c>
      <c r="D1030" s="3">
        <v>5012.26</v>
      </c>
      <c r="E1030" t="s">
        <v>323</v>
      </c>
      <c r="F1030" t="s">
        <v>215</v>
      </c>
    </row>
    <row r="1031" spans="1:6" x14ac:dyDescent="0.25">
      <c r="A1031">
        <v>20181015</v>
      </c>
      <c r="B1031" t="str">
        <f>"126406"</f>
        <v>126406</v>
      </c>
      <c r="C1031" t="s">
        <v>317</v>
      </c>
      <c r="D1031" s="3">
        <v>1906.35</v>
      </c>
      <c r="E1031" t="s">
        <v>323</v>
      </c>
      <c r="F1031" t="s">
        <v>215</v>
      </c>
    </row>
    <row r="1032" spans="1:6" x14ac:dyDescent="0.25">
      <c r="A1032">
        <v>20181015</v>
      </c>
      <c r="B1032" t="str">
        <f>"126406"</f>
        <v>126406</v>
      </c>
      <c r="C1032" t="s">
        <v>317</v>
      </c>
      <c r="D1032" s="3">
        <v>554.20000000000005</v>
      </c>
      <c r="E1032" t="s">
        <v>323</v>
      </c>
      <c r="F1032" t="s">
        <v>215</v>
      </c>
    </row>
    <row r="1033" spans="1:6" x14ac:dyDescent="0.25">
      <c r="A1033">
        <v>20181015</v>
      </c>
      <c r="B1033" t="str">
        <f>"126406"</f>
        <v>126406</v>
      </c>
      <c r="C1033" t="s">
        <v>317</v>
      </c>
      <c r="D1033" s="3">
        <v>211.34</v>
      </c>
      <c r="E1033" t="s">
        <v>323</v>
      </c>
      <c r="F1033" t="s">
        <v>215</v>
      </c>
    </row>
    <row r="1034" spans="1:6" x14ac:dyDescent="0.25">
      <c r="A1034">
        <v>20181015</v>
      </c>
      <c r="B1034" t="str">
        <f>"126406"</f>
        <v>126406</v>
      </c>
      <c r="C1034" t="s">
        <v>317</v>
      </c>
      <c r="D1034" s="3">
        <v>2608.9899999999998</v>
      </c>
      <c r="E1034" t="s">
        <v>663</v>
      </c>
      <c r="F1034" t="s">
        <v>215</v>
      </c>
    </row>
    <row r="1035" spans="1:6" x14ac:dyDescent="0.25">
      <c r="A1035">
        <v>20181015</v>
      </c>
      <c r="B1035" t="str">
        <f>"126406"</f>
        <v>126406</v>
      </c>
      <c r="C1035" t="s">
        <v>317</v>
      </c>
      <c r="D1035" s="3">
        <v>941.08</v>
      </c>
      <c r="E1035" t="s">
        <v>663</v>
      </c>
      <c r="F1035" t="s">
        <v>215</v>
      </c>
    </row>
    <row r="1036" spans="1:6" x14ac:dyDescent="0.25">
      <c r="A1036">
        <v>20181015</v>
      </c>
      <c r="B1036" t="str">
        <f>"126406"</f>
        <v>126406</v>
      </c>
      <c r="C1036" t="s">
        <v>317</v>
      </c>
      <c r="D1036" s="3">
        <v>1558.75</v>
      </c>
      <c r="E1036" t="s">
        <v>663</v>
      </c>
      <c r="F1036" t="s">
        <v>215</v>
      </c>
    </row>
    <row r="1037" spans="1:6" x14ac:dyDescent="0.25">
      <c r="A1037">
        <v>20181015</v>
      </c>
      <c r="B1037" t="str">
        <f>"126406"</f>
        <v>126406</v>
      </c>
      <c r="C1037" t="s">
        <v>317</v>
      </c>
      <c r="D1037" s="3">
        <v>1418.06</v>
      </c>
      <c r="E1037" t="s">
        <v>663</v>
      </c>
      <c r="F1037" t="s">
        <v>215</v>
      </c>
    </row>
    <row r="1038" spans="1:6" x14ac:dyDescent="0.25">
      <c r="A1038">
        <v>20181015</v>
      </c>
      <c r="B1038" t="str">
        <f>"126406"</f>
        <v>126406</v>
      </c>
      <c r="C1038" t="s">
        <v>317</v>
      </c>
      <c r="D1038" s="3">
        <v>115.67</v>
      </c>
      <c r="E1038" t="s">
        <v>663</v>
      </c>
      <c r="F1038" t="s">
        <v>215</v>
      </c>
    </row>
    <row r="1039" spans="1:6" x14ac:dyDescent="0.25">
      <c r="A1039">
        <v>20181015</v>
      </c>
      <c r="B1039" t="str">
        <f>"126406"</f>
        <v>126406</v>
      </c>
      <c r="C1039" t="s">
        <v>317</v>
      </c>
      <c r="D1039" s="3">
        <v>158.06</v>
      </c>
      <c r="E1039" t="s">
        <v>663</v>
      </c>
      <c r="F1039" t="s">
        <v>215</v>
      </c>
    </row>
    <row r="1040" spans="1:6" x14ac:dyDescent="0.25">
      <c r="A1040">
        <v>20181015</v>
      </c>
      <c r="B1040" t="str">
        <f>"126406"</f>
        <v>126406</v>
      </c>
      <c r="C1040" t="s">
        <v>317</v>
      </c>
      <c r="D1040" s="3">
        <v>285.44</v>
      </c>
      <c r="E1040" t="s">
        <v>663</v>
      </c>
      <c r="F1040" t="s">
        <v>215</v>
      </c>
    </row>
    <row r="1041" spans="1:6" x14ac:dyDescent="0.25">
      <c r="A1041">
        <v>20181015</v>
      </c>
      <c r="B1041" t="str">
        <f>"126406"</f>
        <v>126406</v>
      </c>
      <c r="C1041" t="s">
        <v>317</v>
      </c>
      <c r="D1041" s="3">
        <v>174.66</v>
      </c>
      <c r="E1041" t="s">
        <v>663</v>
      </c>
      <c r="F1041" t="s">
        <v>215</v>
      </c>
    </row>
    <row r="1042" spans="1:6" x14ac:dyDescent="0.25">
      <c r="A1042">
        <v>20181015</v>
      </c>
      <c r="B1042" t="str">
        <f>"126407"</f>
        <v>126407</v>
      </c>
      <c r="C1042" t="s">
        <v>42</v>
      </c>
      <c r="D1042" s="3">
        <v>99.99</v>
      </c>
      <c r="E1042" t="s">
        <v>543</v>
      </c>
      <c r="F1042" t="s">
        <v>544</v>
      </c>
    </row>
    <row r="1043" spans="1:6" x14ac:dyDescent="0.25">
      <c r="A1043">
        <v>20181015</v>
      </c>
      <c r="B1043" t="str">
        <f>"126407"</f>
        <v>126407</v>
      </c>
      <c r="C1043" t="s">
        <v>42</v>
      </c>
      <c r="D1043" s="3">
        <v>1034.7</v>
      </c>
      <c r="E1043" t="s">
        <v>209</v>
      </c>
      <c r="F1043" t="s">
        <v>192</v>
      </c>
    </row>
    <row r="1044" spans="1:6" x14ac:dyDescent="0.25">
      <c r="A1044">
        <v>20181015</v>
      </c>
      <c r="B1044" t="str">
        <f>"126407"</f>
        <v>126407</v>
      </c>
      <c r="C1044" t="s">
        <v>42</v>
      </c>
      <c r="D1044" s="3">
        <v>107.57</v>
      </c>
      <c r="E1044" t="s">
        <v>114</v>
      </c>
      <c r="F1044" t="s">
        <v>192</v>
      </c>
    </row>
    <row r="1045" spans="1:6" x14ac:dyDescent="0.25">
      <c r="A1045">
        <v>20181015</v>
      </c>
      <c r="B1045" t="str">
        <f>"126408"</f>
        <v>126408</v>
      </c>
      <c r="C1045" t="s">
        <v>664</v>
      </c>
      <c r="D1045" s="3">
        <v>9.99</v>
      </c>
      <c r="E1045" t="s">
        <v>555</v>
      </c>
      <c r="F1045" t="s">
        <v>215</v>
      </c>
    </row>
    <row r="1046" spans="1:6" x14ac:dyDescent="0.25">
      <c r="A1046">
        <v>20181015</v>
      </c>
      <c r="B1046" t="str">
        <f>"126409"</f>
        <v>126409</v>
      </c>
      <c r="C1046" t="s">
        <v>327</v>
      </c>
      <c r="D1046" s="3">
        <v>1279.45</v>
      </c>
      <c r="E1046" t="s">
        <v>450</v>
      </c>
      <c r="F1046" t="s">
        <v>307</v>
      </c>
    </row>
    <row r="1047" spans="1:6" x14ac:dyDescent="0.25">
      <c r="A1047">
        <v>20181015</v>
      </c>
      <c r="B1047" t="str">
        <f>"126410"</f>
        <v>126410</v>
      </c>
      <c r="C1047" t="s">
        <v>329</v>
      </c>
      <c r="D1047" s="3">
        <v>231</v>
      </c>
      <c r="E1047" t="s">
        <v>665</v>
      </c>
      <c r="F1047" t="s">
        <v>192</v>
      </c>
    </row>
    <row r="1048" spans="1:6" x14ac:dyDescent="0.25">
      <c r="A1048">
        <v>20181015</v>
      </c>
      <c r="B1048" t="str">
        <f>"126411"</f>
        <v>126411</v>
      </c>
      <c r="C1048" t="s">
        <v>666</v>
      </c>
      <c r="D1048" s="3">
        <v>28</v>
      </c>
      <c r="E1048" t="s">
        <v>167</v>
      </c>
      <c r="F1048" t="s">
        <v>192</v>
      </c>
    </row>
    <row r="1049" spans="1:6" x14ac:dyDescent="0.25">
      <c r="A1049">
        <v>20181015</v>
      </c>
      <c r="B1049" t="str">
        <f>"126412"</f>
        <v>126412</v>
      </c>
      <c r="C1049" t="s">
        <v>27</v>
      </c>
      <c r="D1049" s="3">
        <v>152.75</v>
      </c>
      <c r="E1049" t="s">
        <v>228</v>
      </c>
      <c r="F1049" t="s">
        <v>198</v>
      </c>
    </row>
    <row r="1050" spans="1:6" x14ac:dyDescent="0.25">
      <c r="A1050">
        <v>20181015</v>
      </c>
      <c r="B1050" t="str">
        <f>"126413"</f>
        <v>126413</v>
      </c>
      <c r="C1050" t="s">
        <v>667</v>
      </c>
      <c r="D1050" s="3">
        <v>95</v>
      </c>
      <c r="E1050" t="s">
        <v>197</v>
      </c>
      <c r="F1050" t="s">
        <v>198</v>
      </c>
    </row>
    <row r="1051" spans="1:6" x14ac:dyDescent="0.25">
      <c r="A1051">
        <v>20181015</v>
      </c>
      <c r="B1051" t="str">
        <f>"126414"</f>
        <v>126414</v>
      </c>
      <c r="C1051" t="s">
        <v>345</v>
      </c>
      <c r="D1051" s="3">
        <v>364.15</v>
      </c>
      <c r="E1051" t="s">
        <v>114</v>
      </c>
      <c r="F1051" t="s">
        <v>192</v>
      </c>
    </row>
    <row r="1052" spans="1:6" x14ac:dyDescent="0.25">
      <c r="A1052">
        <v>20181015</v>
      </c>
      <c r="B1052" t="str">
        <f>"126414"</f>
        <v>126414</v>
      </c>
      <c r="C1052" t="s">
        <v>345</v>
      </c>
      <c r="D1052" s="3">
        <v>397.5</v>
      </c>
      <c r="E1052" t="s">
        <v>114</v>
      </c>
      <c r="F1052" t="s">
        <v>192</v>
      </c>
    </row>
    <row r="1053" spans="1:6" x14ac:dyDescent="0.25">
      <c r="A1053">
        <v>20181015</v>
      </c>
      <c r="B1053" t="str">
        <f>"126415"</f>
        <v>126415</v>
      </c>
      <c r="C1053" t="s">
        <v>347</v>
      </c>
      <c r="D1053" s="3">
        <v>816</v>
      </c>
      <c r="E1053" t="s">
        <v>277</v>
      </c>
      <c r="F1053" t="s">
        <v>195</v>
      </c>
    </row>
    <row r="1054" spans="1:6" x14ac:dyDescent="0.25">
      <c r="A1054">
        <v>20181015</v>
      </c>
      <c r="B1054" t="str">
        <f>"126416"</f>
        <v>126416</v>
      </c>
      <c r="C1054" t="s">
        <v>668</v>
      </c>
      <c r="D1054" s="3">
        <v>735.72</v>
      </c>
      <c r="E1054" t="s">
        <v>28</v>
      </c>
      <c r="F1054" t="s">
        <v>192</v>
      </c>
    </row>
    <row r="1055" spans="1:6" x14ac:dyDescent="0.25">
      <c r="A1055">
        <v>20181015</v>
      </c>
      <c r="B1055" t="str">
        <f>"126417"</f>
        <v>126417</v>
      </c>
      <c r="C1055" t="s">
        <v>669</v>
      </c>
      <c r="D1055" s="3">
        <v>40</v>
      </c>
      <c r="E1055" t="s">
        <v>670</v>
      </c>
      <c r="F1055" t="s">
        <v>192</v>
      </c>
    </row>
    <row r="1056" spans="1:6" x14ac:dyDescent="0.25">
      <c r="A1056">
        <v>20181015</v>
      </c>
      <c r="B1056" t="str">
        <f>"126418"</f>
        <v>126418</v>
      </c>
      <c r="C1056" t="s">
        <v>671</v>
      </c>
      <c r="D1056" s="3">
        <v>131</v>
      </c>
      <c r="E1056" t="s">
        <v>75</v>
      </c>
      <c r="F1056" t="s">
        <v>198</v>
      </c>
    </row>
    <row r="1057" spans="1:6" x14ac:dyDescent="0.25">
      <c r="A1057">
        <v>20181015</v>
      </c>
      <c r="B1057" t="str">
        <f>"126418"</f>
        <v>126418</v>
      </c>
      <c r="C1057" t="s">
        <v>671</v>
      </c>
      <c r="D1057" s="3">
        <v>131.71</v>
      </c>
      <c r="E1057" t="s">
        <v>75</v>
      </c>
      <c r="F1057" t="s">
        <v>198</v>
      </c>
    </row>
    <row r="1058" spans="1:6" x14ac:dyDescent="0.25">
      <c r="A1058">
        <v>20181015</v>
      </c>
      <c r="B1058" t="str">
        <f>"126420"</f>
        <v>126420</v>
      </c>
      <c r="C1058" t="s">
        <v>672</v>
      </c>
      <c r="D1058" s="3">
        <v>240</v>
      </c>
      <c r="E1058" t="s">
        <v>673</v>
      </c>
      <c r="F1058" t="s">
        <v>192</v>
      </c>
    </row>
    <row r="1059" spans="1:6" x14ac:dyDescent="0.25">
      <c r="A1059">
        <v>20181015</v>
      </c>
      <c r="B1059" t="str">
        <f>"126421"</f>
        <v>126421</v>
      </c>
      <c r="C1059" t="s">
        <v>353</v>
      </c>
      <c r="D1059" s="3">
        <v>756.67</v>
      </c>
      <c r="E1059" t="s">
        <v>354</v>
      </c>
      <c r="F1059" t="s">
        <v>192</v>
      </c>
    </row>
    <row r="1060" spans="1:6" x14ac:dyDescent="0.25">
      <c r="A1060">
        <v>20181015</v>
      </c>
      <c r="B1060" t="str">
        <f>"126422"</f>
        <v>126422</v>
      </c>
      <c r="C1060" t="s">
        <v>674</v>
      </c>
      <c r="D1060" s="3">
        <v>36</v>
      </c>
      <c r="E1060" t="s">
        <v>675</v>
      </c>
      <c r="F1060" t="s">
        <v>192</v>
      </c>
    </row>
    <row r="1061" spans="1:6" x14ac:dyDescent="0.25">
      <c r="A1061">
        <v>20181015</v>
      </c>
      <c r="B1061" t="str">
        <f>"126423"</f>
        <v>126423</v>
      </c>
      <c r="C1061" t="s">
        <v>676</v>
      </c>
      <c r="D1061" s="3">
        <v>9.99</v>
      </c>
      <c r="E1061" t="s">
        <v>555</v>
      </c>
      <c r="F1061" t="s">
        <v>215</v>
      </c>
    </row>
    <row r="1062" spans="1:6" x14ac:dyDescent="0.25">
      <c r="A1062">
        <v>20181015</v>
      </c>
      <c r="B1062" t="str">
        <f>"126424"</f>
        <v>126424</v>
      </c>
      <c r="C1062" t="s">
        <v>677</v>
      </c>
      <c r="D1062" s="3">
        <v>1296.25</v>
      </c>
      <c r="E1062" t="s">
        <v>28</v>
      </c>
      <c r="F1062" t="s">
        <v>307</v>
      </c>
    </row>
    <row r="1063" spans="1:6" x14ac:dyDescent="0.25">
      <c r="A1063">
        <v>20181015</v>
      </c>
      <c r="B1063" t="str">
        <f>"126425"</f>
        <v>126425</v>
      </c>
      <c r="C1063" t="s">
        <v>678</v>
      </c>
      <c r="D1063" s="3">
        <v>100</v>
      </c>
      <c r="E1063" t="s">
        <v>267</v>
      </c>
      <c r="F1063" t="s">
        <v>192</v>
      </c>
    </row>
    <row r="1064" spans="1:6" x14ac:dyDescent="0.25">
      <c r="A1064">
        <v>20181015</v>
      </c>
      <c r="B1064" t="str">
        <f>"126426"</f>
        <v>126426</v>
      </c>
      <c r="C1064" t="s">
        <v>362</v>
      </c>
      <c r="D1064" s="3">
        <v>60</v>
      </c>
      <c r="E1064" t="s">
        <v>28</v>
      </c>
      <c r="F1064" t="s">
        <v>192</v>
      </c>
    </row>
    <row r="1065" spans="1:6" x14ac:dyDescent="0.25">
      <c r="A1065">
        <v>20181015</v>
      </c>
      <c r="B1065" t="str">
        <f>"126427"</f>
        <v>126427</v>
      </c>
      <c r="C1065" t="s">
        <v>679</v>
      </c>
      <c r="D1065" s="3">
        <v>100</v>
      </c>
      <c r="E1065" t="s">
        <v>680</v>
      </c>
      <c r="F1065" t="s">
        <v>192</v>
      </c>
    </row>
    <row r="1066" spans="1:6" x14ac:dyDescent="0.25">
      <c r="A1066">
        <v>20181015</v>
      </c>
      <c r="B1066" t="str">
        <f>"126428"</f>
        <v>126428</v>
      </c>
      <c r="C1066" t="s">
        <v>373</v>
      </c>
      <c r="D1066" s="3">
        <v>315.85000000000002</v>
      </c>
      <c r="E1066" t="s">
        <v>208</v>
      </c>
      <c r="F1066" t="s">
        <v>192</v>
      </c>
    </row>
    <row r="1067" spans="1:6" x14ac:dyDescent="0.25">
      <c r="A1067">
        <v>20181015</v>
      </c>
      <c r="B1067" t="str">
        <f>"126429"</f>
        <v>126429</v>
      </c>
      <c r="C1067" t="s">
        <v>370</v>
      </c>
      <c r="D1067" s="3">
        <v>100</v>
      </c>
      <c r="E1067" t="s">
        <v>681</v>
      </c>
      <c r="F1067" t="s">
        <v>192</v>
      </c>
    </row>
    <row r="1068" spans="1:6" x14ac:dyDescent="0.25">
      <c r="A1068">
        <v>20181015</v>
      </c>
      <c r="B1068" t="str">
        <f>"126429"</f>
        <v>126429</v>
      </c>
      <c r="C1068" t="s">
        <v>370</v>
      </c>
      <c r="D1068" s="3">
        <v>31.86</v>
      </c>
      <c r="E1068" t="s">
        <v>681</v>
      </c>
      <c r="F1068" t="s">
        <v>192</v>
      </c>
    </row>
    <row r="1069" spans="1:6" x14ac:dyDescent="0.25">
      <c r="A1069">
        <v>20181015</v>
      </c>
      <c r="B1069" t="str">
        <f>"126429"</f>
        <v>126429</v>
      </c>
      <c r="C1069" t="s">
        <v>370</v>
      </c>
      <c r="D1069" s="3">
        <v>21.57</v>
      </c>
      <c r="E1069" t="s">
        <v>346</v>
      </c>
      <c r="F1069" t="s">
        <v>192</v>
      </c>
    </row>
    <row r="1070" spans="1:6" x14ac:dyDescent="0.25">
      <c r="A1070">
        <v>20181015</v>
      </c>
      <c r="B1070" t="str">
        <f>"126429"</f>
        <v>126429</v>
      </c>
      <c r="C1070" t="s">
        <v>370</v>
      </c>
      <c r="D1070" s="3">
        <v>31.17</v>
      </c>
      <c r="E1070" t="s">
        <v>346</v>
      </c>
      <c r="F1070" t="s">
        <v>192</v>
      </c>
    </row>
    <row r="1071" spans="1:6" x14ac:dyDescent="0.25">
      <c r="A1071">
        <v>20181015</v>
      </c>
      <c r="B1071" t="str">
        <f>"126429"</f>
        <v>126429</v>
      </c>
      <c r="C1071" t="s">
        <v>370</v>
      </c>
      <c r="D1071" s="3">
        <v>56.22</v>
      </c>
      <c r="E1071" t="s">
        <v>28</v>
      </c>
      <c r="F1071" t="s">
        <v>307</v>
      </c>
    </row>
    <row r="1072" spans="1:6" x14ac:dyDescent="0.25">
      <c r="A1072">
        <v>20181015</v>
      </c>
      <c r="B1072" t="str">
        <f>"126429"</f>
        <v>126429</v>
      </c>
      <c r="C1072" t="s">
        <v>370</v>
      </c>
      <c r="D1072" s="3">
        <v>13.68</v>
      </c>
      <c r="E1072" t="s">
        <v>682</v>
      </c>
      <c r="F1072" t="s">
        <v>192</v>
      </c>
    </row>
    <row r="1073" spans="1:6" x14ac:dyDescent="0.25">
      <c r="A1073">
        <v>20181015</v>
      </c>
      <c r="B1073" t="str">
        <f>"126429"</f>
        <v>126429</v>
      </c>
      <c r="C1073" t="s">
        <v>370</v>
      </c>
      <c r="D1073" s="3">
        <v>3.42</v>
      </c>
      <c r="E1073" t="s">
        <v>682</v>
      </c>
      <c r="F1073" t="s">
        <v>192</v>
      </c>
    </row>
    <row r="1074" spans="1:6" x14ac:dyDescent="0.25">
      <c r="A1074">
        <v>20181015</v>
      </c>
      <c r="B1074" t="str">
        <f>"126430"</f>
        <v>126430</v>
      </c>
      <c r="C1074" t="s">
        <v>683</v>
      </c>
      <c r="D1074" s="3">
        <v>20</v>
      </c>
      <c r="E1074" t="s">
        <v>684</v>
      </c>
      <c r="F1074" t="s">
        <v>192</v>
      </c>
    </row>
    <row r="1075" spans="1:6" x14ac:dyDescent="0.25">
      <c r="A1075">
        <v>20181015</v>
      </c>
      <c r="B1075" t="str">
        <f>"126431"</f>
        <v>126431</v>
      </c>
      <c r="C1075" t="s">
        <v>378</v>
      </c>
      <c r="D1075" s="3">
        <v>25</v>
      </c>
      <c r="E1075" t="s">
        <v>685</v>
      </c>
      <c r="F1075" t="s">
        <v>192</v>
      </c>
    </row>
    <row r="1076" spans="1:6" x14ac:dyDescent="0.25">
      <c r="A1076">
        <v>20181015</v>
      </c>
      <c r="B1076" t="str">
        <f>"126432"</f>
        <v>126432</v>
      </c>
      <c r="C1076" t="s">
        <v>686</v>
      </c>
      <c r="D1076" s="3">
        <v>9.99</v>
      </c>
      <c r="E1076" t="s">
        <v>555</v>
      </c>
      <c r="F1076" t="s">
        <v>215</v>
      </c>
    </row>
    <row r="1077" spans="1:6" x14ac:dyDescent="0.25">
      <c r="A1077">
        <v>20181015</v>
      </c>
      <c r="B1077" t="str">
        <f>"126433"</f>
        <v>126433</v>
      </c>
      <c r="C1077" t="s">
        <v>385</v>
      </c>
      <c r="D1077" s="3">
        <v>53000</v>
      </c>
      <c r="E1077" t="s">
        <v>687</v>
      </c>
      <c r="F1077" t="s">
        <v>192</v>
      </c>
    </row>
    <row r="1078" spans="1:6" x14ac:dyDescent="0.25">
      <c r="A1078">
        <v>20181015</v>
      </c>
      <c r="B1078" t="str">
        <f>"126434"</f>
        <v>126434</v>
      </c>
      <c r="C1078" t="s">
        <v>688</v>
      </c>
      <c r="D1078" s="3">
        <v>150</v>
      </c>
      <c r="E1078" t="s">
        <v>599</v>
      </c>
      <c r="F1078" t="s">
        <v>192</v>
      </c>
    </row>
    <row r="1079" spans="1:6" x14ac:dyDescent="0.25">
      <c r="A1079">
        <v>20181015</v>
      </c>
      <c r="B1079" t="str">
        <f>"126435"</f>
        <v>126435</v>
      </c>
      <c r="C1079" t="s">
        <v>387</v>
      </c>
      <c r="D1079" s="3">
        <v>1395.45</v>
      </c>
      <c r="E1079" t="s">
        <v>689</v>
      </c>
      <c r="F1079" t="s">
        <v>192</v>
      </c>
    </row>
    <row r="1080" spans="1:6" x14ac:dyDescent="0.25">
      <c r="A1080">
        <v>20181015</v>
      </c>
      <c r="B1080" t="str">
        <f>"126436"</f>
        <v>126436</v>
      </c>
      <c r="C1080" t="s">
        <v>390</v>
      </c>
      <c r="D1080" s="3">
        <v>1124</v>
      </c>
      <c r="E1080" t="s">
        <v>591</v>
      </c>
      <c r="F1080" t="s">
        <v>192</v>
      </c>
    </row>
    <row r="1081" spans="1:6" x14ac:dyDescent="0.25">
      <c r="A1081">
        <v>20181015</v>
      </c>
      <c r="B1081" t="str">
        <f>"126437"</f>
        <v>126437</v>
      </c>
      <c r="C1081" t="s">
        <v>400</v>
      </c>
      <c r="D1081" s="3">
        <v>1774.7</v>
      </c>
      <c r="E1081" t="s">
        <v>114</v>
      </c>
      <c r="F1081" t="s">
        <v>192</v>
      </c>
    </row>
    <row r="1082" spans="1:6" x14ac:dyDescent="0.25">
      <c r="A1082">
        <v>20181015</v>
      </c>
      <c r="B1082" t="str">
        <f>"126438"</f>
        <v>126438</v>
      </c>
      <c r="C1082" t="s">
        <v>690</v>
      </c>
      <c r="D1082" s="3">
        <v>1500</v>
      </c>
      <c r="E1082" t="s">
        <v>691</v>
      </c>
      <c r="F1082" t="s">
        <v>192</v>
      </c>
    </row>
    <row r="1083" spans="1:6" x14ac:dyDescent="0.25">
      <c r="A1083">
        <v>20181015</v>
      </c>
      <c r="B1083" t="str">
        <f>"126439"</f>
        <v>126439</v>
      </c>
      <c r="C1083" t="s">
        <v>126</v>
      </c>
      <c r="D1083" s="3">
        <v>63.96</v>
      </c>
      <c r="E1083" t="s">
        <v>692</v>
      </c>
      <c r="F1083" t="s">
        <v>192</v>
      </c>
    </row>
    <row r="1084" spans="1:6" x14ac:dyDescent="0.25">
      <c r="A1084">
        <v>20181015</v>
      </c>
      <c r="B1084" t="str">
        <f>"126439"</f>
        <v>126439</v>
      </c>
      <c r="C1084" t="s">
        <v>126</v>
      </c>
      <c r="D1084" s="3">
        <v>20.239999999999998</v>
      </c>
      <c r="E1084" t="s">
        <v>692</v>
      </c>
      <c r="F1084" t="s">
        <v>192</v>
      </c>
    </row>
    <row r="1085" spans="1:6" x14ac:dyDescent="0.25">
      <c r="A1085">
        <v>20181015</v>
      </c>
      <c r="B1085" t="str">
        <f>"126439"</f>
        <v>126439</v>
      </c>
      <c r="C1085" t="s">
        <v>126</v>
      </c>
      <c r="D1085" s="3">
        <v>23.76</v>
      </c>
      <c r="E1085" t="s">
        <v>692</v>
      </c>
      <c r="F1085" t="s">
        <v>192</v>
      </c>
    </row>
    <row r="1086" spans="1:6" x14ac:dyDescent="0.25">
      <c r="A1086">
        <v>20181015</v>
      </c>
      <c r="B1086" t="str">
        <f>"126439"</f>
        <v>126439</v>
      </c>
      <c r="C1086" t="s">
        <v>126</v>
      </c>
      <c r="D1086" s="3">
        <v>63.98</v>
      </c>
      <c r="E1086" t="s">
        <v>692</v>
      </c>
      <c r="F1086" t="s">
        <v>192</v>
      </c>
    </row>
    <row r="1087" spans="1:6" x14ac:dyDescent="0.25">
      <c r="A1087">
        <v>20181015</v>
      </c>
      <c r="B1087" t="str">
        <f>"126439"</f>
        <v>126439</v>
      </c>
      <c r="C1087" t="s">
        <v>126</v>
      </c>
      <c r="D1087" s="3">
        <v>12</v>
      </c>
      <c r="E1087" t="s">
        <v>543</v>
      </c>
      <c r="F1087" t="s">
        <v>544</v>
      </c>
    </row>
    <row r="1088" spans="1:6" x14ac:dyDescent="0.25">
      <c r="A1088">
        <v>20181015</v>
      </c>
      <c r="B1088" t="str">
        <f>"126439"</f>
        <v>126439</v>
      </c>
      <c r="C1088" t="s">
        <v>126</v>
      </c>
      <c r="D1088" s="3">
        <v>10</v>
      </c>
      <c r="E1088" t="s">
        <v>543</v>
      </c>
      <c r="F1088" t="s">
        <v>544</v>
      </c>
    </row>
    <row r="1089" spans="1:6" x14ac:dyDescent="0.25">
      <c r="A1089">
        <v>20181015</v>
      </c>
      <c r="B1089" t="str">
        <f>"126439"</f>
        <v>126439</v>
      </c>
      <c r="C1089" t="s">
        <v>126</v>
      </c>
      <c r="D1089" s="3">
        <v>28</v>
      </c>
      <c r="E1089" t="s">
        <v>543</v>
      </c>
      <c r="F1089" t="s">
        <v>544</v>
      </c>
    </row>
    <row r="1090" spans="1:6" x14ac:dyDescent="0.25">
      <c r="A1090">
        <v>20181015</v>
      </c>
      <c r="B1090" t="str">
        <f>"126439"</f>
        <v>126439</v>
      </c>
      <c r="C1090" t="s">
        <v>126</v>
      </c>
      <c r="D1090" s="3">
        <v>11.95</v>
      </c>
      <c r="E1090" t="s">
        <v>450</v>
      </c>
      <c r="F1090" t="s">
        <v>192</v>
      </c>
    </row>
    <row r="1091" spans="1:6" x14ac:dyDescent="0.25">
      <c r="A1091">
        <v>20181015</v>
      </c>
      <c r="B1091" t="str">
        <f>"126439"</f>
        <v>126439</v>
      </c>
      <c r="C1091" t="s">
        <v>126</v>
      </c>
      <c r="D1091" s="3">
        <v>11.95</v>
      </c>
      <c r="E1091" t="s">
        <v>450</v>
      </c>
      <c r="F1091" t="s">
        <v>192</v>
      </c>
    </row>
    <row r="1092" spans="1:6" x14ac:dyDescent="0.25">
      <c r="A1092">
        <v>20181015</v>
      </c>
      <c r="B1092" t="str">
        <f>"126439"</f>
        <v>126439</v>
      </c>
      <c r="C1092" t="s">
        <v>126</v>
      </c>
      <c r="D1092" s="3">
        <v>194</v>
      </c>
      <c r="E1092" t="s">
        <v>450</v>
      </c>
      <c r="F1092" t="s">
        <v>192</v>
      </c>
    </row>
    <row r="1093" spans="1:6" x14ac:dyDescent="0.25">
      <c r="A1093">
        <v>20181015</v>
      </c>
      <c r="B1093" t="str">
        <f>"126439"</f>
        <v>126439</v>
      </c>
      <c r="C1093" t="s">
        <v>126</v>
      </c>
      <c r="D1093" s="3">
        <v>11</v>
      </c>
      <c r="E1093" t="s">
        <v>450</v>
      </c>
      <c r="F1093" t="s">
        <v>192</v>
      </c>
    </row>
    <row r="1094" spans="1:6" x14ac:dyDescent="0.25">
      <c r="A1094">
        <v>20181015</v>
      </c>
      <c r="B1094" t="str">
        <f>"126439"</f>
        <v>126439</v>
      </c>
      <c r="C1094" t="s">
        <v>126</v>
      </c>
      <c r="D1094" s="3">
        <v>39.96</v>
      </c>
      <c r="E1094" t="s">
        <v>450</v>
      </c>
      <c r="F1094" t="s">
        <v>192</v>
      </c>
    </row>
    <row r="1095" spans="1:6" x14ac:dyDescent="0.25">
      <c r="A1095">
        <v>20181015</v>
      </c>
      <c r="B1095" t="str">
        <f>"126439"</f>
        <v>126439</v>
      </c>
      <c r="C1095" t="s">
        <v>126</v>
      </c>
      <c r="D1095" s="3">
        <v>390</v>
      </c>
      <c r="E1095" t="s">
        <v>450</v>
      </c>
      <c r="F1095" t="s">
        <v>192</v>
      </c>
    </row>
    <row r="1096" spans="1:6" x14ac:dyDescent="0.25">
      <c r="A1096">
        <v>20181015</v>
      </c>
      <c r="B1096" t="str">
        <f>"126439"</f>
        <v>126439</v>
      </c>
      <c r="C1096" t="s">
        <v>126</v>
      </c>
      <c r="D1096" s="3">
        <v>25.49</v>
      </c>
      <c r="E1096" t="s">
        <v>450</v>
      </c>
      <c r="F1096" t="s">
        <v>192</v>
      </c>
    </row>
    <row r="1097" spans="1:6" x14ac:dyDescent="0.25">
      <c r="A1097">
        <v>20181015</v>
      </c>
      <c r="B1097" t="str">
        <f>"126439"</f>
        <v>126439</v>
      </c>
      <c r="C1097" t="s">
        <v>126</v>
      </c>
      <c r="D1097" s="3">
        <v>49.8</v>
      </c>
      <c r="E1097" t="s">
        <v>114</v>
      </c>
      <c r="F1097" t="s">
        <v>192</v>
      </c>
    </row>
    <row r="1098" spans="1:6" x14ac:dyDescent="0.25">
      <c r="A1098">
        <v>20181015</v>
      </c>
      <c r="B1098" t="str">
        <f>"126439"</f>
        <v>126439</v>
      </c>
      <c r="C1098" t="s">
        <v>126</v>
      </c>
      <c r="D1098" s="3">
        <v>8.26</v>
      </c>
      <c r="E1098" t="s">
        <v>114</v>
      </c>
      <c r="F1098" t="s">
        <v>192</v>
      </c>
    </row>
    <row r="1099" spans="1:6" x14ac:dyDescent="0.25">
      <c r="A1099">
        <v>20181015</v>
      </c>
      <c r="B1099" t="str">
        <f>"126439"</f>
        <v>126439</v>
      </c>
      <c r="C1099" t="s">
        <v>126</v>
      </c>
      <c r="D1099" s="3">
        <v>80.209999999999994</v>
      </c>
      <c r="E1099" t="s">
        <v>114</v>
      </c>
      <c r="F1099" t="s">
        <v>192</v>
      </c>
    </row>
    <row r="1100" spans="1:6" x14ac:dyDescent="0.25">
      <c r="A1100">
        <v>20181015</v>
      </c>
      <c r="B1100" t="str">
        <f>"126439"</f>
        <v>126439</v>
      </c>
      <c r="C1100" t="s">
        <v>126</v>
      </c>
      <c r="D1100" s="3">
        <v>24</v>
      </c>
      <c r="E1100" t="s">
        <v>114</v>
      </c>
      <c r="F1100" t="s">
        <v>192</v>
      </c>
    </row>
    <row r="1101" spans="1:6" x14ac:dyDescent="0.25">
      <c r="A1101">
        <v>20181015</v>
      </c>
      <c r="B1101" t="str">
        <f>"126439"</f>
        <v>126439</v>
      </c>
      <c r="C1101" t="s">
        <v>126</v>
      </c>
      <c r="D1101" s="3">
        <v>71.959999999999994</v>
      </c>
      <c r="E1101" t="s">
        <v>114</v>
      </c>
      <c r="F1101" t="s">
        <v>192</v>
      </c>
    </row>
    <row r="1102" spans="1:6" x14ac:dyDescent="0.25">
      <c r="A1102">
        <v>20181015</v>
      </c>
      <c r="B1102" t="str">
        <f>"126439"</f>
        <v>126439</v>
      </c>
      <c r="C1102" t="s">
        <v>126</v>
      </c>
      <c r="D1102" s="3">
        <v>287.12</v>
      </c>
      <c r="E1102" t="s">
        <v>114</v>
      </c>
      <c r="F1102" t="s">
        <v>192</v>
      </c>
    </row>
    <row r="1103" spans="1:6" x14ac:dyDescent="0.25">
      <c r="A1103">
        <v>20181015</v>
      </c>
      <c r="B1103" t="str">
        <f>"126439"</f>
        <v>126439</v>
      </c>
      <c r="C1103" t="s">
        <v>126</v>
      </c>
      <c r="D1103" s="3">
        <v>24.03</v>
      </c>
      <c r="E1103" t="s">
        <v>213</v>
      </c>
      <c r="F1103" t="s">
        <v>192</v>
      </c>
    </row>
    <row r="1104" spans="1:6" x14ac:dyDescent="0.25">
      <c r="A1104">
        <v>20181015</v>
      </c>
      <c r="B1104" t="str">
        <f>"126439"</f>
        <v>126439</v>
      </c>
      <c r="C1104" t="s">
        <v>126</v>
      </c>
      <c r="D1104" s="3">
        <v>4.49</v>
      </c>
      <c r="E1104" t="s">
        <v>213</v>
      </c>
      <c r="F1104" t="s">
        <v>192</v>
      </c>
    </row>
    <row r="1105" spans="1:6" x14ac:dyDescent="0.25">
      <c r="A1105">
        <v>20181015</v>
      </c>
      <c r="B1105" t="str">
        <f>"126439"</f>
        <v>126439</v>
      </c>
      <c r="C1105" t="s">
        <v>126</v>
      </c>
      <c r="D1105" s="3">
        <v>298.98</v>
      </c>
      <c r="E1105" t="s">
        <v>213</v>
      </c>
      <c r="F1105" t="s">
        <v>192</v>
      </c>
    </row>
    <row r="1106" spans="1:6" x14ac:dyDescent="0.25">
      <c r="A1106">
        <v>20181015</v>
      </c>
      <c r="B1106" t="str">
        <f>"126439"</f>
        <v>126439</v>
      </c>
      <c r="C1106" t="s">
        <v>126</v>
      </c>
      <c r="D1106" s="3">
        <v>685.49</v>
      </c>
      <c r="E1106" t="s">
        <v>346</v>
      </c>
      <c r="F1106" t="s">
        <v>192</v>
      </c>
    </row>
    <row r="1107" spans="1:6" x14ac:dyDescent="0.25">
      <c r="A1107">
        <v>20181015</v>
      </c>
      <c r="B1107" t="str">
        <f>"126439"</f>
        <v>126439</v>
      </c>
      <c r="C1107" t="s">
        <v>126</v>
      </c>
      <c r="D1107" s="3">
        <v>53.55</v>
      </c>
      <c r="E1107" t="s">
        <v>346</v>
      </c>
      <c r="F1107" t="s">
        <v>192</v>
      </c>
    </row>
    <row r="1108" spans="1:6" x14ac:dyDescent="0.25">
      <c r="A1108">
        <v>20181015</v>
      </c>
      <c r="B1108" t="str">
        <f>"126439"</f>
        <v>126439</v>
      </c>
      <c r="C1108" t="s">
        <v>126</v>
      </c>
      <c r="D1108" s="3">
        <v>23.7</v>
      </c>
      <c r="E1108" t="s">
        <v>346</v>
      </c>
      <c r="F1108" t="s">
        <v>192</v>
      </c>
    </row>
    <row r="1109" spans="1:6" x14ac:dyDescent="0.25">
      <c r="A1109">
        <v>20181015</v>
      </c>
      <c r="B1109" t="str">
        <f>"126439"</f>
        <v>126439</v>
      </c>
      <c r="C1109" t="s">
        <v>126</v>
      </c>
      <c r="D1109" s="3">
        <v>2.34</v>
      </c>
      <c r="E1109" t="s">
        <v>346</v>
      </c>
      <c r="F1109" t="s">
        <v>192</v>
      </c>
    </row>
    <row r="1110" spans="1:6" x14ac:dyDescent="0.25">
      <c r="A1110">
        <v>20181015</v>
      </c>
      <c r="B1110" t="str">
        <f>"126439"</f>
        <v>126439</v>
      </c>
      <c r="C1110" t="s">
        <v>126</v>
      </c>
      <c r="D1110" s="3">
        <v>44.07</v>
      </c>
      <c r="E1110" t="s">
        <v>346</v>
      </c>
      <c r="F1110" t="s">
        <v>192</v>
      </c>
    </row>
    <row r="1111" spans="1:6" x14ac:dyDescent="0.25">
      <c r="A1111">
        <v>20181015</v>
      </c>
      <c r="B1111" t="str">
        <f>"126439"</f>
        <v>126439</v>
      </c>
      <c r="C1111" t="s">
        <v>126</v>
      </c>
      <c r="D1111" s="3">
        <v>162.5</v>
      </c>
      <c r="E1111" t="s">
        <v>346</v>
      </c>
      <c r="F1111" t="s">
        <v>192</v>
      </c>
    </row>
    <row r="1112" spans="1:6" x14ac:dyDescent="0.25">
      <c r="A1112">
        <v>20181015</v>
      </c>
      <c r="B1112" t="str">
        <f>"126439"</f>
        <v>126439</v>
      </c>
      <c r="C1112" t="s">
        <v>126</v>
      </c>
      <c r="D1112" s="3">
        <v>38.57</v>
      </c>
      <c r="E1112" t="s">
        <v>28</v>
      </c>
      <c r="F1112" t="s">
        <v>192</v>
      </c>
    </row>
    <row r="1113" spans="1:6" x14ac:dyDescent="0.25">
      <c r="A1113">
        <v>20181015</v>
      </c>
      <c r="B1113" t="str">
        <f>"126439"</f>
        <v>126439</v>
      </c>
      <c r="C1113" t="s">
        <v>126</v>
      </c>
      <c r="D1113" s="3">
        <v>14.39</v>
      </c>
      <c r="E1113" t="s">
        <v>28</v>
      </c>
      <c r="F1113" t="s">
        <v>192</v>
      </c>
    </row>
    <row r="1114" spans="1:6" x14ac:dyDescent="0.25">
      <c r="A1114">
        <v>20181015</v>
      </c>
      <c r="B1114" t="str">
        <f>"126439"</f>
        <v>126439</v>
      </c>
      <c r="C1114" t="s">
        <v>126</v>
      </c>
      <c r="D1114" s="3">
        <v>87.94</v>
      </c>
      <c r="E1114" t="s">
        <v>28</v>
      </c>
      <c r="F1114" t="s">
        <v>192</v>
      </c>
    </row>
    <row r="1115" spans="1:6" x14ac:dyDescent="0.25">
      <c r="A1115">
        <v>20181015</v>
      </c>
      <c r="B1115" t="str">
        <f>"126439"</f>
        <v>126439</v>
      </c>
      <c r="C1115" t="s">
        <v>126</v>
      </c>
      <c r="D1115" s="3">
        <v>38.99</v>
      </c>
      <c r="E1115" t="s">
        <v>28</v>
      </c>
      <c r="F1115" t="s">
        <v>215</v>
      </c>
    </row>
    <row r="1116" spans="1:6" x14ac:dyDescent="0.25">
      <c r="A1116">
        <v>20181015</v>
      </c>
      <c r="B1116" t="str">
        <f>"126439"</f>
        <v>126439</v>
      </c>
      <c r="C1116" t="s">
        <v>126</v>
      </c>
      <c r="D1116" s="3">
        <v>38.979999999999997</v>
      </c>
      <c r="E1116" t="s">
        <v>28</v>
      </c>
      <c r="F1116" t="s">
        <v>215</v>
      </c>
    </row>
    <row r="1117" spans="1:6" x14ac:dyDescent="0.25">
      <c r="A1117">
        <v>20181015</v>
      </c>
      <c r="B1117" t="str">
        <f>"126439"</f>
        <v>126439</v>
      </c>
      <c r="C1117" t="s">
        <v>126</v>
      </c>
      <c r="D1117" s="3">
        <v>30.56</v>
      </c>
      <c r="E1117" t="s">
        <v>28</v>
      </c>
      <c r="F1117" t="s">
        <v>215</v>
      </c>
    </row>
    <row r="1118" spans="1:6" x14ac:dyDescent="0.25">
      <c r="A1118">
        <v>20181015</v>
      </c>
      <c r="B1118" t="str">
        <f>"126439"</f>
        <v>126439</v>
      </c>
      <c r="C1118" t="s">
        <v>126</v>
      </c>
      <c r="D1118" s="3">
        <v>30.56</v>
      </c>
      <c r="E1118" t="s">
        <v>28</v>
      </c>
      <c r="F1118" t="s">
        <v>215</v>
      </c>
    </row>
    <row r="1119" spans="1:6" x14ac:dyDescent="0.25">
      <c r="A1119">
        <v>20181015</v>
      </c>
      <c r="B1119" t="str">
        <f>"126439"</f>
        <v>126439</v>
      </c>
      <c r="C1119" t="s">
        <v>126</v>
      </c>
      <c r="D1119" s="3">
        <v>30.56</v>
      </c>
      <c r="E1119" t="s">
        <v>28</v>
      </c>
      <c r="F1119" t="s">
        <v>215</v>
      </c>
    </row>
    <row r="1120" spans="1:6" x14ac:dyDescent="0.25">
      <c r="A1120">
        <v>20181015</v>
      </c>
      <c r="B1120" t="str">
        <f>"126439"</f>
        <v>126439</v>
      </c>
      <c r="C1120" t="s">
        <v>126</v>
      </c>
      <c r="D1120" s="3">
        <v>25.59</v>
      </c>
      <c r="E1120" t="s">
        <v>28</v>
      </c>
      <c r="F1120" t="s">
        <v>215</v>
      </c>
    </row>
    <row r="1121" spans="1:6" x14ac:dyDescent="0.25">
      <c r="A1121">
        <v>20181015</v>
      </c>
      <c r="B1121" t="str">
        <f>"126439"</f>
        <v>126439</v>
      </c>
      <c r="C1121" t="s">
        <v>126</v>
      </c>
      <c r="D1121" s="3">
        <v>54.23</v>
      </c>
      <c r="E1121" t="s">
        <v>28</v>
      </c>
      <c r="F1121" t="s">
        <v>215</v>
      </c>
    </row>
    <row r="1122" spans="1:6" x14ac:dyDescent="0.25">
      <c r="A1122">
        <v>20181015</v>
      </c>
      <c r="B1122" t="str">
        <f>"126439"</f>
        <v>126439</v>
      </c>
      <c r="C1122" t="s">
        <v>126</v>
      </c>
      <c r="D1122" s="3">
        <v>44.12</v>
      </c>
      <c r="E1122" t="s">
        <v>28</v>
      </c>
      <c r="F1122" t="s">
        <v>215</v>
      </c>
    </row>
    <row r="1123" spans="1:6" x14ac:dyDescent="0.25">
      <c r="A1123">
        <v>20181015</v>
      </c>
      <c r="B1123" t="str">
        <f>"126439"</f>
        <v>126439</v>
      </c>
      <c r="C1123" t="s">
        <v>126</v>
      </c>
      <c r="D1123" s="3">
        <v>44.12</v>
      </c>
      <c r="E1123" t="s">
        <v>28</v>
      </c>
      <c r="F1123" t="s">
        <v>215</v>
      </c>
    </row>
    <row r="1124" spans="1:6" x14ac:dyDescent="0.25">
      <c r="A1124">
        <v>20181015</v>
      </c>
      <c r="B1124" t="str">
        <f>"126439"</f>
        <v>126439</v>
      </c>
      <c r="C1124" t="s">
        <v>126</v>
      </c>
      <c r="D1124" s="3">
        <v>140.38999999999999</v>
      </c>
      <c r="E1124" t="s">
        <v>595</v>
      </c>
      <c r="F1124" t="s">
        <v>192</v>
      </c>
    </row>
    <row r="1125" spans="1:6" x14ac:dyDescent="0.25">
      <c r="A1125">
        <v>20181015</v>
      </c>
      <c r="B1125" t="str">
        <f>"126440"</f>
        <v>126440</v>
      </c>
      <c r="C1125" t="s">
        <v>406</v>
      </c>
      <c r="D1125" s="3">
        <v>600.65</v>
      </c>
      <c r="E1125" t="s">
        <v>258</v>
      </c>
      <c r="F1125" t="s">
        <v>215</v>
      </c>
    </row>
    <row r="1126" spans="1:6" x14ac:dyDescent="0.25">
      <c r="A1126">
        <v>20181015</v>
      </c>
      <c r="B1126" t="str">
        <f>"126440"</f>
        <v>126440</v>
      </c>
      <c r="C1126" t="s">
        <v>406</v>
      </c>
      <c r="D1126" s="3">
        <v>229.25</v>
      </c>
      <c r="E1126" t="s">
        <v>258</v>
      </c>
      <c r="F1126" t="s">
        <v>215</v>
      </c>
    </row>
    <row r="1127" spans="1:6" x14ac:dyDescent="0.25">
      <c r="A1127">
        <v>20181015</v>
      </c>
      <c r="B1127" t="str">
        <f>"126440"</f>
        <v>126440</v>
      </c>
      <c r="C1127" t="s">
        <v>406</v>
      </c>
      <c r="D1127" s="3">
        <v>168.75</v>
      </c>
      <c r="E1127" t="s">
        <v>258</v>
      </c>
      <c r="F1127" t="s">
        <v>215</v>
      </c>
    </row>
    <row r="1128" spans="1:6" x14ac:dyDescent="0.25">
      <c r="A1128">
        <v>20181015</v>
      </c>
      <c r="B1128" t="str">
        <f>"126440"</f>
        <v>126440</v>
      </c>
      <c r="C1128" t="s">
        <v>406</v>
      </c>
      <c r="D1128" s="3">
        <v>157.80000000000001</v>
      </c>
      <c r="E1128" t="s">
        <v>258</v>
      </c>
      <c r="F1128" t="s">
        <v>215</v>
      </c>
    </row>
    <row r="1129" spans="1:6" x14ac:dyDescent="0.25">
      <c r="A1129">
        <v>20181015</v>
      </c>
      <c r="B1129" t="str">
        <f>"126440"</f>
        <v>126440</v>
      </c>
      <c r="C1129" t="s">
        <v>406</v>
      </c>
      <c r="D1129" s="3">
        <v>380.3</v>
      </c>
      <c r="E1129" t="s">
        <v>258</v>
      </c>
      <c r="F1129" t="s">
        <v>215</v>
      </c>
    </row>
    <row r="1130" spans="1:6" x14ac:dyDescent="0.25">
      <c r="A1130">
        <v>20181015</v>
      </c>
      <c r="B1130" t="str">
        <f>"126440"</f>
        <v>126440</v>
      </c>
      <c r="C1130" t="s">
        <v>406</v>
      </c>
      <c r="D1130" s="3">
        <v>322.83</v>
      </c>
      <c r="E1130" t="s">
        <v>258</v>
      </c>
      <c r="F1130" t="s">
        <v>215</v>
      </c>
    </row>
    <row r="1131" spans="1:6" x14ac:dyDescent="0.25">
      <c r="A1131">
        <v>20181015</v>
      </c>
      <c r="B1131" t="str">
        <f>"126440"</f>
        <v>126440</v>
      </c>
      <c r="C1131" t="s">
        <v>406</v>
      </c>
      <c r="D1131" s="3">
        <v>226.85</v>
      </c>
      <c r="E1131" t="s">
        <v>258</v>
      </c>
      <c r="F1131" t="s">
        <v>215</v>
      </c>
    </row>
    <row r="1132" spans="1:6" x14ac:dyDescent="0.25">
      <c r="A1132">
        <v>20181015</v>
      </c>
      <c r="B1132" t="str">
        <f>"126440"</f>
        <v>126440</v>
      </c>
      <c r="C1132" t="s">
        <v>406</v>
      </c>
      <c r="D1132" s="3">
        <v>262.52999999999997</v>
      </c>
      <c r="E1132" t="s">
        <v>258</v>
      </c>
      <c r="F1132" t="s">
        <v>215</v>
      </c>
    </row>
    <row r="1133" spans="1:6" x14ac:dyDescent="0.25">
      <c r="A1133">
        <v>20181015</v>
      </c>
      <c r="B1133" t="str">
        <f>"126440"</f>
        <v>126440</v>
      </c>
      <c r="C1133" t="s">
        <v>406</v>
      </c>
      <c r="D1133" s="3">
        <v>406.48</v>
      </c>
      <c r="E1133" t="s">
        <v>258</v>
      </c>
      <c r="F1133" t="s">
        <v>215</v>
      </c>
    </row>
    <row r="1134" spans="1:6" x14ac:dyDescent="0.25">
      <c r="A1134">
        <v>20181015</v>
      </c>
      <c r="B1134" t="str">
        <f>"126440"</f>
        <v>126440</v>
      </c>
      <c r="C1134" t="s">
        <v>406</v>
      </c>
      <c r="D1134" s="3">
        <v>426.91</v>
      </c>
      <c r="E1134" t="s">
        <v>258</v>
      </c>
      <c r="F1134" t="s">
        <v>215</v>
      </c>
    </row>
    <row r="1135" spans="1:6" x14ac:dyDescent="0.25">
      <c r="A1135">
        <v>20181015</v>
      </c>
      <c r="B1135" t="str">
        <f>"126440"</f>
        <v>126440</v>
      </c>
      <c r="C1135" t="s">
        <v>406</v>
      </c>
      <c r="D1135" s="3">
        <v>409.35</v>
      </c>
      <c r="E1135" t="s">
        <v>258</v>
      </c>
      <c r="F1135" t="s">
        <v>215</v>
      </c>
    </row>
    <row r="1136" spans="1:6" x14ac:dyDescent="0.25">
      <c r="A1136">
        <v>20181015</v>
      </c>
      <c r="B1136" t="str">
        <f>"126440"</f>
        <v>126440</v>
      </c>
      <c r="C1136" t="s">
        <v>406</v>
      </c>
      <c r="D1136" s="3">
        <v>320.39999999999998</v>
      </c>
      <c r="E1136" t="s">
        <v>258</v>
      </c>
      <c r="F1136" t="s">
        <v>215</v>
      </c>
    </row>
    <row r="1137" spans="1:6" x14ac:dyDescent="0.25">
      <c r="A1137">
        <v>20181015</v>
      </c>
      <c r="B1137" t="str">
        <f>"126440"</f>
        <v>126440</v>
      </c>
      <c r="C1137" t="s">
        <v>406</v>
      </c>
      <c r="D1137" s="3">
        <v>383.7</v>
      </c>
      <c r="E1137" t="s">
        <v>408</v>
      </c>
      <c r="F1137" t="s">
        <v>215</v>
      </c>
    </row>
    <row r="1138" spans="1:6" x14ac:dyDescent="0.25">
      <c r="A1138">
        <v>20181015</v>
      </c>
      <c r="B1138" t="str">
        <f>"126441"</f>
        <v>126441</v>
      </c>
      <c r="C1138" t="s">
        <v>693</v>
      </c>
      <c r="D1138" s="3">
        <v>9.99</v>
      </c>
      <c r="E1138" t="s">
        <v>555</v>
      </c>
      <c r="F1138" t="s">
        <v>215</v>
      </c>
    </row>
    <row r="1139" spans="1:6" x14ac:dyDescent="0.25">
      <c r="A1139">
        <v>20181015</v>
      </c>
      <c r="B1139" t="str">
        <f>"126442"</f>
        <v>126442</v>
      </c>
      <c r="C1139" t="s">
        <v>417</v>
      </c>
      <c r="D1139" s="3">
        <v>506.52</v>
      </c>
      <c r="E1139" t="s">
        <v>692</v>
      </c>
      <c r="F1139" t="s">
        <v>192</v>
      </c>
    </row>
    <row r="1140" spans="1:6" x14ac:dyDescent="0.25">
      <c r="A1140">
        <v>20181015</v>
      </c>
      <c r="B1140" t="str">
        <f>"126442"</f>
        <v>126442</v>
      </c>
      <c r="C1140" t="s">
        <v>417</v>
      </c>
      <c r="D1140" s="3">
        <v>201.29</v>
      </c>
      <c r="E1140" t="s">
        <v>114</v>
      </c>
      <c r="F1140" t="s">
        <v>192</v>
      </c>
    </row>
    <row r="1141" spans="1:6" x14ac:dyDescent="0.25">
      <c r="A1141">
        <v>20181015</v>
      </c>
      <c r="B1141" t="str">
        <f>"126443"</f>
        <v>126443</v>
      </c>
      <c r="C1141" t="s">
        <v>694</v>
      </c>
      <c r="D1141" s="3">
        <v>6874.47</v>
      </c>
      <c r="E1141" t="s">
        <v>695</v>
      </c>
      <c r="F1141" t="s">
        <v>192</v>
      </c>
    </row>
    <row r="1142" spans="1:6" x14ac:dyDescent="0.25">
      <c r="A1142">
        <v>20181015</v>
      </c>
      <c r="B1142" t="str">
        <f>"126443"</f>
        <v>126443</v>
      </c>
      <c r="C1142" t="s">
        <v>694</v>
      </c>
      <c r="D1142" s="3">
        <v>6977.04</v>
      </c>
      <c r="E1142" t="s">
        <v>695</v>
      </c>
      <c r="F1142" t="s">
        <v>192</v>
      </c>
    </row>
    <row r="1143" spans="1:6" x14ac:dyDescent="0.25">
      <c r="A1143">
        <v>20181015</v>
      </c>
      <c r="B1143" t="str">
        <f>"126443"</f>
        <v>126443</v>
      </c>
      <c r="C1143" t="s">
        <v>694</v>
      </c>
      <c r="D1143" s="3">
        <v>10757.25</v>
      </c>
      <c r="E1143" t="s">
        <v>695</v>
      </c>
      <c r="F1143" t="s">
        <v>192</v>
      </c>
    </row>
    <row r="1144" spans="1:6" x14ac:dyDescent="0.25">
      <c r="A1144">
        <v>20181015</v>
      </c>
      <c r="B1144" t="str">
        <f>"126444"</f>
        <v>126444</v>
      </c>
      <c r="C1144" t="s">
        <v>696</v>
      </c>
      <c r="D1144" s="3">
        <v>2145</v>
      </c>
      <c r="E1144" t="s">
        <v>581</v>
      </c>
      <c r="F1144" t="s">
        <v>215</v>
      </c>
    </row>
    <row r="1145" spans="1:6" x14ac:dyDescent="0.25">
      <c r="A1145">
        <v>20181015</v>
      </c>
      <c r="B1145" t="str">
        <f>"126445"</f>
        <v>126445</v>
      </c>
      <c r="C1145" t="s">
        <v>697</v>
      </c>
      <c r="D1145" s="3">
        <v>24500</v>
      </c>
      <c r="E1145" t="s">
        <v>698</v>
      </c>
      <c r="F1145" t="s">
        <v>192</v>
      </c>
    </row>
    <row r="1146" spans="1:6" x14ac:dyDescent="0.25">
      <c r="A1146">
        <v>20181015</v>
      </c>
      <c r="B1146" t="str">
        <f>"126446"</f>
        <v>126446</v>
      </c>
      <c r="C1146" t="s">
        <v>699</v>
      </c>
      <c r="D1146" s="3">
        <v>130</v>
      </c>
      <c r="E1146" t="s">
        <v>197</v>
      </c>
      <c r="F1146" t="s">
        <v>198</v>
      </c>
    </row>
    <row r="1147" spans="1:6" x14ac:dyDescent="0.25">
      <c r="A1147">
        <v>20181015</v>
      </c>
      <c r="B1147" t="str">
        <f>"126447"</f>
        <v>126447</v>
      </c>
      <c r="C1147" t="s">
        <v>130</v>
      </c>
      <c r="D1147" s="3">
        <v>1986.9</v>
      </c>
      <c r="E1147" t="s">
        <v>692</v>
      </c>
      <c r="F1147" t="s">
        <v>192</v>
      </c>
    </row>
    <row r="1148" spans="1:6" x14ac:dyDescent="0.25">
      <c r="A1148">
        <v>20181015</v>
      </c>
      <c r="B1148" t="str">
        <f>"126447"</f>
        <v>126447</v>
      </c>
      <c r="C1148" t="s">
        <v>130</v>
      </c>
      <c r="D1148" s="3">
        <v>51</v>
      </c>
      <c r="E1148" t="s">
        <v>450</v>
      </c>
      <c r="F1148" t="s">
        <v>192</v>
      </c>
    </row>
    <row r="1149" spans="1:6" x14ac:dyDescent="0.25">
      <c r="A1149">
        <v>20181015</v>
      </c>
      <c r="B1149" t="str">
        <f>"126447"</f>
        <v>126447</v>
      </c>
      <c r="C1149" t="s">
        <v>130</v>
      </c>
      <c r="D1149" s="3">
        <v>5</v>
      </c>
      <c r="E1149" t="s">
        <v>450</v>
      </c>
      <c r="F1149" t="s">
        <v>192</v>
      </c>
    </row>
    <row r="1150" spans="1:6" x14ac:dyDescent="0.25">
      <c r="A1150">
        <v>20181015</v>
      </c>
      <c r="B1150" t="str">
        <f>"126447"</f>
        <v>126447</v>
      </c>
      <c r="C1150" t="s">
        <v>130</v>
      </c>
      <c r="D1150" s="3">
        <v>10</v>
      </c>
      <c r="E1150" t="s">
        <v>450</v>
      </c>
      <c r="F1150" t="s">
        <v>192</v>
      </c>
    </row>
    <row r="1151" spans="1:6" x14ac:dyDescent="0.25">
      <c r="A1151">
        <v>20181015</v>
      </c>
      <c r="B1151" t="str">
        <f>"126447"</f>
        <v>126447</v>
      </c>
      <c r="C1151" t="s">
        <v>130</v>
      </c>
      <c r="D1151" s="3">
        <v>18</v>
      </c>
      <c r="E1151" t="s">
        <v>450</v>
      </c>
      <c r="F1151" t="s">
        <v>192</v>
      </c>
    </row>
    <row r="1152" spans="1:6" x14ac:dyDescent="0.25">
      <c r="A1152">
        <v>20181015</v>
      </c>
      <c r="B1152" t="str">
        <f>"126447"</f>
        <v>126447</v>
      </c>
      <c r="C1152" t="s">
        <v>130</v>
      </c>
      <c r="D1152" s="3">
        <v>996.79</v>
      </c>
      <c r="E1152" t="s">
        <v>114</v>
      </c>
      <c r="F1152" t="s">
        <v>192</v>
      </c>
    </row>
    <row r="1153" spans="1:6" x14ac:dyDescent="0.25">
      <c r="A1153">
        <v>20181015</v>
      </c>
      <c r="B1153" t="str">
        <f>"126448"</f>
        <v>126448</v>
      </c>
      <c r="C1153" t="s">
        <v>700</v>
      </c>
      <c r="D1153" s="3">
        <v>496.71</v>
      </c>
      <c r="E1153" t="s">
        <v>701</v>
      </c>
      <c r="F1153" t="s">
        <v>192</v>
      </c>
    </row>
    <row r="1154" spans="1:6" x14ac:dyDescent="0.25">
      <c r="A1154">
        <v>20181015</v>
      </c>
      <c r="B1154" t="str">
        <f>"126448"</f>
        <v>126448</v>
      </c>
      <c r="C1154" t="s">
        <v>700</v>
      </c>
      <c r="D1154" s="3">
        <v>66</v>
      </c>
      <c r="E1154" t="s">
        <v>450</v>
      </c>
      <c r="F1154" t="s">
        <v>192</v>
      </c>
    </row>
    <row r="1155" spans="1:6" x14ac:dyDescent="0.25">
      <c r="A1155">
        <v>20181015</v>
      </c>
      <c r="B1155" t="str">
        <f>"126448"</f>
        <v>126448</v>
      </c>
      <c r="C1155" t="s">
        <v>700</v>
      </c>
      <c r="D1155" s="3">
        <v>417.85</v>
      </c>
      <c r="E1155" t="s">
        <v>75</v>
      </c>
      <c r="F1155" t="s">
        <v>192</v>
      </c>
    </row>
    <row r="1156" spans="1:6" x14ac:dyDescent="0.25">
      <c r="A1156">
        <v>20181015</v>
      </c>
      <c r="B1156" t="str">
        <f>"126449"</f>
        <v>126449</v>
      </c>
      <c r="C1156" t="s">
        <v>702</v>
      </c>
      <c r="D1156" s="3">
        <v>420</v>
      </c>
      <c r="E1156" t="s">
        <v>456</v>
      </c>
      <c r="F1156" t="s">
        <v>413</v>
      </c>
    </row>
    <row r="1157" spans="1:6" x14ac:dyDescent="0.25">
      <c r="A1157">
        <v>20181015</v>
      </c>
      <c r="B1157" t="str">
        <f>"126450"</f>
        <v>126450</v>
      </c>
      <c r="C1157" t="s">
        <v>703</v>
      </c>
      <c r="D1157" s="3">
        <v>1337.5</v>
      </c>
      <c r="E1157" t="s">
        <v>704</v>
      </c>
      <c r="F1157" t="s">
        <v>192</v>
      </c>
    </row>
    <row r="1158" spans="1:6" x14ac:dyDescent="0.25">
      <c r="A1158">
        <v>20181015</v>
      </c>
      <c r="B1158" t="str">
        <f>"126451"</f>
        <v>126451</v>
      </c>
      <c r="C1158" t="s">
        <v>705</v>
      </c>
      <c r="D1158" s="3">
        <v>625</v>
      </c>
      <c r="E1158" t="s">
        <v>706</v>
      </c>
      <c r="F1158" t="s">
        <v>198</v>
      </c>
    </row>
    <row r="1159" spans="1:6" x14ac:dyDescent="0.25">
      <c r="A1159">
        <v>20181015</v>
      </c>
      <c r="B1159" t="str">
        <f>"126452"</f>
        <v>126452</v>
      </c>
      <c r="C1159" t="s">
        <v>49</v>
      </c>
      <c r="D1159" s="3">
        <v>167.5</v>
      </c>
      <c r="E1159" t="s">
        <v>707</v>
      </c>
      <c r="F1159" t="s">
        <v>192</v>
      </c>
    </row>
    <row r="1160" spans="1:6" x14ac:dyDescent="0.25">
      <c r="A1160">
        <v>20181015</v>
      </c>
      <c r="B1160" t="str">
        <f>"126453"</f>
        <v>126453</v>
      </c>
      <c r="C1160" t="s">
        <v>708</v>
      </c>
      <c r="D1160" s="3">
        <v>1658.8</v>
      </c>
      <c r="E1160" t="s">
        <v>145</v>
      </c>
      <c r="F1160" t="s">
        <v>192</v>
      </c>
    </row>
    <row r="1161" spans="1:6" x14ac:dyDescent="0.25">
      <c r="A1161">
        <v>20181015</v>
      </c>
      <c r="B1161" t="str">
        <f>"126454"</f>
        <v>126454</v>
      </c>
      <c r="C1161" t="s">
        <v>709</v>
      </c>
      <c r="D1161" s="3">
        <v>11902</v>
      </c>
      <c r="E1161" t="s">
        <v>710</v>
      </c>
      <c r="F1161" t="s">
        <v>192</v>
      </c>
    </row>
    <row r="1162" spans="1:6" x14ac:dyDescent="0.25">
      <c r="A1162">
        <v>20181015</v>
      </c>
      <c r="B1162" t="str">
        <f>"126455"</f>
        <v>126455</v>
      </c>
      <c r="C1162" t="s">
        <v>711</v>
      </c>
      <c r="D1162" s="3">
        <v>1041.1099999999999</v>
      </c>
      <c r="E1162" t="s">
        <v>712</v>
      </c>
      <c r="F1162" t="s">
        <v>192</v>
      </c>
    </row>
    <row r="1163" spans="1:6" x14ac:dyDescent="0.25">
      <c r="A1163">
        <v>20181015</v>
      </c>
      <c r="B1163" t="str">
        <f>"126456"</f>
        <v>126456</v>
      </c>
      <c r="C1163" t="s">
        <v>431</v>
      </c>
      <c r="D1163" s="3">
        <v>1373.9</v>
      </c>
      <c r="E1163" t="s">
        <v>351</v>
      </c>
      <c r="F1163" t="s">
        <v>192</v>
      </c>
    </row>
    <row r="1164" spans="1:6" x14ac:dyDescent="0.25">
      <c r="A1164">
        <v>20181015</v>
      </c>
      <c r="B1164" t="str">
        <f>"126457"</f>
        <v>126457</v>
      </c>
      <c r="C1164" t="s">
        <v>713</v>
      </c>
      <c r="D1164" s="3">
        <v>300</v>
      </c>
      <c r="E1164" t="s">
        <v>589</v>
      </c>
      <c r="F1164" t="s">
        <v>192</v>
      </c>
    </row>
    <row r="1165" spans="1:6" x14ac:dyDescent="0.25">
      <c r="A1165">
        <v>20181015</v>
      </c>
      <c r="B1165" t="str">
        <f>"126458"</f>
        <v>126458</v>
      </c>
      <c r="C1165" t="s">
        <v>714</v>
      </c>
      <c r="D1165" s="3">
        <v>25</v>
      </c>
      <c r="E1165" t="s">
        <v>560</v>
      </c>
      <c r="F1165" t="s">
        <v>198</v>
      </c>
    </row>
    <row r="1166" spans="1:6" x14ac:dyDescent="0.25">
      <c r="A1166">
        <v>20181015</v>
      </c>
      <c r="B1166" t="str">
        <f>"126458"</f>
        <v>126458</v>
      </c>
      <c r="C1166" t="s">
        <v>714</v>
      </c>
      <c r="D1166" s="3">
        <v>25</v>
      </c>
      <c r="E1166" t="s">
        <v>560</v>
      </c>
      <c r="F1166" t="s">
        <v>198</v>
      </c>
    </row>
    <row r="1167" spans="1:6" x14ac:dyDescent="0.25">
      <c r="A1167">
        <v>20181015</v>
      </c>
      <c r="B1167" t="str">
        <f>"126458"</f>
        <v>126458</v>
      </c>
      <c r="C1167" t="s">
        <v>714</v>
      </c>
      <c r="D1167" s="3">
        <v>25</v>
      </c>
      <c r="E1167" t="s">
        <v>560</v>
      </c>
      <c r="F1167" t="s">
        <v>198</v>
      </c>
    </row>
    <row r="1168" spans="1:6" x14ac:dyDescent="0.25">
      <c r="A1168">
        <v>20181015</v>
      </c>
      <c r="B1168" t="str">
        <f>"126458"</f>
        <v>126458</v>
      </c>
      <c r="C1168" t="s">
        <v>714</v>
      </c>
      <c r="D1168" s="3">
        <v>25</v>
      </c>
      <c r="E1168" t="s">
        <v>560</v>
      </c>
      <c r="F1168" t="s">
        <v>198</v>
      </c>
    </row>
    <row r="1169" spans="1:6" x14ac:dyDescent="0.25">
      <c r="A1169">
        <v>20181015</v>
      </c>
      <c r="B1169" t="str">
        <f>"126458"</f>
        <v>126458</v>
      </c>
      <c r="C1169" t="s">
        <v>714</v>
      </c>
      <c r="D1169" s="3">
        <v>25</v>
      </c>
      <c r="E1169" t="s">
        <v>560</v>
      </c>
      <c r="F1169" t="s">
        <v>198</v>
      </c>
    </row>
    <row r="1170" spans="1:6" x14ac:dyDescent="0.25">
      <c r="A1170">
        <v>20181015</v>
      </c>
      <c r="B1170" t="str">
        <f>"126458"</f>
        <v>126458</v>
      </c>
      <c r="C1170" t="s">
        <v>714</v>
      </c>
      <c r="D1170" s="3">
        <v>60</v>
      </c>
      <c r="E1170" t="s">
        <v>560</v>
      </c>
      <c r="F1170" t="s">
        <v>198</v>
      </c>
    </row>
    <row r="1171" spans="1:6" x14ac:dyDescent="0.25">
      <c r="A1171">
        <v>20181015</v>
      </c>
      <c r="B1171" t="str">
        <f>"126459"</f>
        <v>126459</v>
      </c>
      <c r="C1171" t="s">
        <v>437</v>
      </c>
      <c r="D1171" s="3">
        <v>757.9</v>
      </c>
      <c r="E1171" t="s">
        <v>114</v>
      </c>
      <c r="F1171" t="s">
        <v>192</v>
      </c>
    </row>
    <row r="1172" spans="1:6" x14ac:dyDescent="0.25">
      <c r="A1172">
        <v>20181015</v>
      </c>
      <c r="B1172" t="str">
        <f>"126459"</f>
        <v>126459</v>
      </c>
      <c r="C1172" t="s">
        <v>437</v>
      </c>
      <c r="D1172" s="3">
        <v>275.60000000000002</v>
      </c>
      <c r="E1172" t="s">
        <v>114</v>
      </c>
      <c r="F1172" t="s">
        <v>192</v>
      </c>
    </row>
    <row r="1173" spans="1:6" x14ac:dyDescent="0.25">
      <c r="A1173">
        <v>20181015</v>
      </c>
      <c r="B1173" t="str">
        <f>"126459"</f>
        <v>126459</v>
      </c>
      <c r="C1173" t="s">
        <v>437</v>
      </c>
      <c r="D1173" s="3">
        <v>413.4</v>
      </c>
      <c r="E1173" t="s">
        <v>114</v>
      </c>
      <c r="F1173" t="s">
        <v>192</v>
      </c>
    </row>
    <row r="1174" spans="1:6" x14ac:dyDescent="0.25">
      <c r="A1174">
        <v>20181015</v>
      </c>
      <c r="B1174" t="str">
        <f>"126459"</f>
        <v>126459</v>
      </c>
      <c r="C1174" t="s">
        <v>437</v>
      </c>
      <c r="D1174" s="3">
        <v>792.35</v>
      </c>
      <c r="E1174" t="s">
        <v>114</v>
      </c>
      <c r="F1174" t="s">
        <v>192</v>
      </c>
    </row>
    <row r="1175" spans="1:6" x14ac:dyDescent="0.25">
      <c r="A1175">
        <v>20181015</v>
      </c>
      <c r="B1175" t="str">
        <f>"126460"</f>
        <v>126460</v>
      </c>
      <c r="C1175" t="s">
        <v>715</v>
      </c>
      <c r="D1175" s="3">
        <v>187.96</v>
      </c>
      <c r="E1175" t="s">
        <v>689</v>
      </c>
      <c r="F1175" t="s">
        <v>192</v>
      </c>
    </row>
    <row r="1176" spans="1:6" x14ac:dyDescent="0.25">
      <c r="A1176">
        <v>20181015</v>
      </c>
      <c r="B1176" t="str">
        <f>"126462"</f>
        <v>126462</v>
      </c>
      <c r="C1176" t="s">
        <v>439</v>
      </c>
      <c r="D1176" s="3">
        <v>750</v>
      </c>
      <c r="E1176" t="s">
        <v>440</v>
      </c>
      <c r="F1176" t="s">
        <v>192</v>
      </c>
    </row>
    <row r="1177" spans="1:6" x14ac:dyDescent="0.25">
      <c r="A1177">
        <v>20181015</v>
      </c>
      <c r="B1177" t="str">
        <f>"126463"</f>
        <v>126463</v>
      </c>
      <c r="C1177" t="s">
        <v>716</v>
      </c>
      <c r="D1177" s="3">
        <v>55</v>
      </c>
      <c r="E1177" t="s">
        <v>717</v>
      </c>
      <c r="F1177" t="s">
        <v>192</v>
      </c>
    </row>
    <row r="1178" spans="1:6" x14ac:dyDescent="0.25">
      <c r="A1178">
        <v>20181015</v>
      </c>
      <c r="B1178" t="str">
        <f>"126464"</f>
        <v>126464</v>
      </c>
      <c r="C1178" t="s">
        <v>718</v>
      </c>
      <c r="D1178" s="3">
        <v>971.66</v>
      </c>
      <c r="E1178" t="s">
        <v>719</v>
      </c>
      <c r="F1178" t="s">
        <v>192</v>
      </c>
    </row>
    <row r="1179" spans="1:6" x14ac:dyDescent="0.25">
      <c r="A1179">
        <v>20181015</v>
      </c>
      <c r="B1179" t="str">
        <f>"126465"</f>
        <v>126465</v>
      </c>
      <c r="C1179" t="s">
        <v>720</v>
      </c>
      <c r="D1179" s="3">
        <v>240</v>
      </c>
      <c r="E1179" t="s">
        <v>721</v>
      </c>
      <c r="F1179" t="s">
        <v>198</v>
      </c>
    </row>
    <row r="1180" spans="1:6" x14ac:dyDescent="0.25">
      <c r="A1180">
        <v>20181015</v>
      </c>
      <c r="B1180" t="str">
        <f>"126465"</f>
        <v>126465</v>
      </c>
      <c r="C1180" t="s">
        <v>720</v>
      </c>
      <c r="D1180" s="3">
        <v>90</v>
      </c>
      <c r="E1180" t="s">
        <v>721</v>
      </c>
      <c r="F1180" t="s">
        <v>198</v>
      </c>
    </row>
    <row r="1181" spans="1:6" x14ac:dyDescent="0.25">
      <c r="A1181">
        <v>20181015</v>
      </c>
      <c r="B1181" t="str">
        <f>"126465"</f>
        <v>126465</v>
      </c>
      <c r="C1181" t="s">
        <v>720</v>
      </c>
      <c r="D1181" s="3">
        <v>45</v>
      </c>
      <c r="E1181" t="s">
        <v>465</v>
      </c>
      <c r="F1181" t="s">
        <v>198</v>
      </c>
    </row>
    <row r="1182" spans="1:6" x14ac:dyDescent="0.25">
      <c r="A1182">
        <v>20181015</v>
      </c>
      <c r="B1182" t="str">
        <f>"126466"</f>
        <v>126466</v>
      </c>
      <c r="C1182" t="s">
        <v>722</v>
      </c>
      <c r="D1182" s="3">
        <v>115.58</v>
      </c>
      <c r="E1182" t="s">
        <v>543</v>
      </c>
      <c r="F1182" t="s">
        <v>544</v>
      </c>
    </row>
    <row r="1183" spans="1:6" x14ac:dyDescent="0.25">
      <c r="A1183">
        <v>20181015</v>
      </c>
      <c r="B1183" t="str">
        <f>"126467"</f>
        <v>126467</v>
      </c>
      <c r="C1183" t="s">
        <v>449</v>
      </c>
      <c r="D1183" s="3">
        <v>89.78</v>
      </c>
      <c r="E1183" t="s">
        <v>450</v>
      </c>
      <c r="F1183" t="s">
        <v>307</v>
      </c>
    </row>
    <row r="1184" spans="1:6" x14ac:dyDescent="0.25">
      <c r="A1184">
        <v>20181015</v>
      </c>
      <c r="B1184" t="str">
        <f>"126467"</f>
        <v>126467</v>
      </c>
      <c r="C1184" t="s">
        <v>449</v>
      </c>
      <c r="D1184" s="3">
        <v>47.38</v>
      </c>
      <c r="E1184" t="s">
        <v>114</v>
      </c>
      <c r="F1184" t="s">
        <v>192</v>
      </c>
    </row>
    <row r="1185" spans="1:6" x14ac:dyDescent="0.25">
      <c r="A1185">
        <v>20181015</v>
      </c>
      <c r="B1185" t="str">
        <f>"126467"</f>
        <v>126467</v>
      </c>
      <c r="C1185" t="s">
        <v>449</v>
      </c>
      <c r="D1185" s="3">
        <v>138.6</v>
      </c>
      <c r="E1185" t="s">
        <v>114</v>
      </c>
      <c r="F1185" t="s">
        <v>192</v>
      </c>
    </row>
    <row r="1186" spans="1:6" x14ac:dyDescent="0.25">
      <c r="A1186">
        <v>20181015</v>
      </c>
      <c r="B1186" t="str">
        <f>"126468"</f>
        <v>126468</v>
      </c>
      <c r="C1186" t="s">
        <v>99</v>
      </c>
      <c r="D1186" s="3">
        <v>238.75</v>
      </c>
      <c r="E1186" t="s">
        <v>28</v>
      </c>
      <c r="F1186" t="s">
        <v>198</v>
      </c>
    </row>
    <row r="1187" spans="1:6" x14ac:dyDescent="0.25">
      <c r="A1187">
        <v>20181015</v>
      </c>
      <c r="B1187" t="str">
        <f>"126468"</f>
        <v>126468</v>
      </c>
      <c r="C1187" t="s">
        <v>99</v>
      </c>
      <c r="D1187" s="3">
        <v>100.05</v>
      </c>
      <c r="E1187" t="s">
        <v>28</v>
      </c>
      <c r="F1187" t="s">
        <v>198</v>
      </c>
    </row>
    <row r="1188" spans="1:6" x14ac:dyDescent="0.25">
      <c r="A1188">
        <v>20181015</v>
      </c>
      <c r="B1188" t="str">
        <f>"126468"</f>
        <v>126468</v>
      </c>
      <c r="C1188" t="s">
        <v>99</v>
      </c>
      <c r="D1188" s="3">
        <v>327.8</v>
      </c>
      <c r="E1188" t="s">
        <v>28</v>
      </c>
      <c r="F1188" t="s">
        <v>198</v>
      </c>
    </row>
    <row r="1189" spans="1:6" x14ac:dyDescent="0.25">
      <c r="A1189">
        <v>20181015</v>
      </c>
      <c r="B1189" t="str">
        <f>"126469"</f>
        <v>126469</v>
      </c>
      <c r="C1189" t="s">
        <v>11</v>
      </c>
      <c r="D1189" s="3">
        <v>3773</v>
      </c>
      <c r="E1189" t="s">
        <v>723</v>
      </c>
      <c r="F1189" t="s">
        <v>192</v>
      </c>
    </row>
    <row r="1190" spans="1:6" x14ac:dyDescent="0.25">
      <c r="A1190">
        <v>20181015</v>
      </c>
      <c r="B1190" t="str">
        <f>"126470"</f>
        <v>126470</v>
      </c>
      <c r="C1190" t="s">
        <v>724</v>
      </c>
      <c r="D1190" s="3">
        <v>21796.55</v>
      </c>
      <c r="E1190" t="s">
        <v>725</v>
      </c>
      <c r="F1190" t="s">
        <v>192</v>
      </c>
    </row>
    <row r="1191" spans="1:6" x14ac:dyDescent="0.25">
      <c r="A1191">
        <v>20181015</v>
      </c>
      <c r="B1191" t="str">
        <f>"126471"</f>
        <v>126471</v>
      </c>
      <c r="C1191" t="s">
        <v>459</v>
      </c>
      <c r="D1191" s="3">
        <v>500</v>
      </c>
      <c r="E1191" t="s">
        <v>456</v>
      </c>
      <c r="F1191" t="s">
        <v>413</v>
      </c>
    </row>
    <row r="1192" spans="1:6" x14ac:dyDescent="0.25">
      <c r="A1192">
        <v>20181015</v>
      </c>
      <c r="B1192" t="str">
        <f>"126472"</f>
        <v>126472</v>
      </c>
      <c r="C1192" t="s">
        <v>459</v>
      </c>
      <c r="D1192" s="3">
        <v>375</v>
      </c>
      <c r="E1192" t="s">
        <v>680</v>
      </c>
      <c r="F1192" t="s">
        <v>192</v>
      </c>
    </row>
    <row r="1193" spans="1:6" x14ac:dyDescent="0.25">
      <c r="A1193">
        <v>20181015</v>
      </c>
      <c r="B1193" t="str">
        <f>"126473"</f>
        <v>126473</v>
      </c>
      <c r="C1193" t="s">
        <v>459</v>
      </c>
      <c r="D1193" s="3">
        <v>210</v>
      </c>
      <c r="E1193" t="s">
        <v>267</v>
      </c>
      <c r="F1193" t="s">
        <v>192</v>
      </c>
    </row>
    <row r="1194" spans="1:6" x14ac:dyDescent="0.25">
      <c r="A1194">
        <v>20181015</v>
      </c>
      <c r="B1194" t="str">
        <f>"126474"</f>
        <v>126474</v>
      </c>
      <c r="C1194" t="s">
        <v>459</v>
      </c>
      <c r="D1194" s="3">
        <v>145</v>
      </c>
      <c r="E1194" t="s">
        <v>456</v>
      </c>
      <c r="F1194" t="s">
        <v>192</v>
      </c>
    </row>
    <row r="1195" spans="1:6" x14ac:dyDescent="0.25">
      <c r="A1195">
        <v>20181015</v>
      </c>
      <c r="B1195" t="str">
        <f>"126474"</f>
        <v>126474</v>
      </c>
      <c r="C1195" t="s">
        <v>459</v>
      </c>
      <c r="D1195" s="3">
        <v>125</v>
      </c>
      <c r="E1195" t="s">
        <v>456</v>
      </c>
      <c r="F1195" t="s">
        <v>413</v>
      </c>
    </row>
    <row r="1196" spans="1:6" x14ac:dyDescent="0.25">
      <c r="A1196">
        <v>20181015</v>
      </c>
      <c r="B1196" t="str">
        <f>"126475"</f>
        <v>126475</v>
      </c>
      <c r="C1196" t="s">
        <v>459</v>
      </c>
      <c r="D1196" s="3">
        <v>53</v>
      </c>
      <c r="E1196" t="s">
        <v>726</v>
      </c>
      <c r="F1196" t="s">
        <v>192</v>
      </c>
    </row>
    <row r="1197" spans="1:6" x14ac:dyDescent="0.25">
      <c r="A1197">
        <v>20181015</v>
      </c>
      <c r="B1197" t="str">
        <f>"126476"</f>
        <v>126476</v>
      </c>
      <c r="C1197" t="s">
        <v>459</v>
      </c>
      <c r="D1197" s="3">
        <v>125</v>
      </c>
      <c r="E1197" t="s">
        <v>456</v>
      </c>
      <c r="F1197" t="s">
        <v>192</v>
      </c>
    </row>
    <row r="1198" spans="1:6" x14ac:dyDescent="0.25">
      <c r="A1198">
        <v>20181015</v>
      </c>
      <c r="B1198" t="str">
        <f>"126476"</f>
        <v>126476</v>
      </c>
      <c r="C1198" t="s">
        <v>459</v>
      </c>
      <c r="D1198" s="3">
        <v>125</v>
      </c>
      <c r="E1198" t="s">
        <v>456</v>
      </c>
      <c r="F1198" t="s">
        <v>413</v>
      </c>
    </row>
    <row r="1199" spans="1:6" x14ac:dyDescent="0.25">
      <c r="A1199">
        <v>20181015</v>
      </c>
      <c r="B1199" t="str">
        <f>"126477"</f>
        <v>126477</v>
      </c>
      <c r="C1199" t="s">
        <v>727</v>
      </c>
      <c r="D1199" s="3">
        <v>130</v>
      </c>
      <c r="E1199" t="s">
        <v>728</v>
      </c>
      <c r="F1199" t="s">
        <v>198</v>
      </c>
    </row>
    <row r="1200" spans="1:6" x14ac:dyDescent="0.25">
      <c r="A1200">
        <v>20181015</v>
      </c>
      <c r="B1200" t="str">
        <f>"126478"</f>
        <v>126478</v>
      </c>
      <c r="C1200" t="s">
        <v>729</v>
      </c>
      <c r="D1200" s="3">
        <v>1610</v>
      </c>
      <c r="E1200" t="s">
        <v>730</v>
      </c>
      <c r="F1200" t="s">
        <v>198</v>
      </c>
    </row>
    <row r="1201" spans="1:6" x14ac:dyDescent="0.25">
      <c r="A1201">
        <v>20181015</v>
      </c>
      <c r="B1201" t="str">
        <f>"126479"</f>
        <v>126479</v>
      </c>
      <c r="C1201" t="s">
        <v>460</v>
      </c>
      <c r="D1201" s="3">
        <v>530</v>
      </c>
      <c r="E1201" t="s">
        <v>28</v>
      </c>
      <c r="F1201" t="s">
        <v>195</v>
      </c>
    </row>
    <row r="1202" spans="1:6" x14ac:dyDescent="0.25">
      <c r="A1202">
        <v>20181015</v>
      </c>
      <c r="B1202" t="str">
        <f>"126479"</f>
        <v>126479</v>
      </c>
      <c r="C1202" t="s">
        <v>460</v>
      </c>
      <c r="D1202" s="3">
        <v>118.8</v>
      </c>
      <c r="E1202" t="s">
        <v>28</v>
      </c>
      <c r="F1202" t="s">
        <v>195</v>
      </c>
    </row>
    <row r="1203" spans="1:6" x14ac:dyDescent="0.25">
      <c r="A1203">
        <v>20181015</v>
      </c>
      <c r="B1203" t="str">
        <f>"126479"</f>
        <v>126479</v>
      </c>
      <c r="C1203" t="s">
        <v>460</v>
      </c>
      <c r="D1203" s="3">
        <v>210</v>
      </c>
      <c r="E1203" t="s">
        <v>28</v>
      </c>
      <c r="F1203" t="s">
        <v>195</v>
      </c>
    </row>
    <row r="1204" spans="1:6" x14ac:dyDescent="0.25">
      <c r="A1204">
        <v>20181015</v>
      </c>
      <c r="B1204" t="str">
        <f>"126480"</f>
        <v>126480</v>
      </c>
      <c r="C1204" t="s">
        <v>731</v>
      </c>
      <c r="D1204" s="3">
        <v>708</v>
      </c>
      <c r="E1204" t="s">
        <v>337</v>
      </c>
      <c r="F1204" t="s">
        <v>192</v>
      </c>
    </row>
    <row r="1205" spans="1:6" x14ac:dyDescent="0.25">
      <c r="A1205">
        <v>20181015</v>
      </c>
      <c r="B1205" t="str">
        <f>"126480"</f>
        <v>126480</v>
      </c>
      <c r="C1205" t="s">
        <v>731</v>
      </c>
      <c r="D1205" s="3">
        <v>172.5</v>
      </c>
      <c r="E1205" t="s">
        <v>732</v>
      </c>
      <c r="F1205" t="s">
        <v>192</v>
      </c>
    </row>
    <row r="1206" spans="1:6" x14ac:dyDescent="0.25">
      <c r="A1206">
        <v>20181015</v>
      </c>
      <c r="B1206" t="str">
        <f>"126480"</f>
        <v>126480</v>
      </c>
      <c r="C1206" t="s">
        <v>731</v>
      </c>
      <c r="D1206" s="3">
        <v>97.5</v>
      </c>
      <c r="E1206" t="s">
        <v>732</v>
      </c>
      <c r="F1206" t="s">
        <v>192</v>
      </c>
    </row>
    <row r="1207" spans="1:6" x14ac:dyDescent="0.25">
      <c r="A1207">
        <v>20181015</v>
      </c>
      <c r="B1207" t="str">
        <f>"126481"</f>
        <v>126481</v>
      </c>
      <c r="C1207" t="s">
        <v>733</v>
      </c>
      <c r="D1207" s="3">
        <v>300</v>
      </c>
      <c r="E1207" t="s">
        <v>28</v>
      </c>
      <c r="F1207" t="s">
        <v>192</v>
      </c>
    </row>
    <row r="1208" spans="1:6" x14ac:dyDescent="0.25">
      <c r="A1208">
        <v>20181015</v>
      </c>
      <c r="B1208" t="str">
        <f>"126482"</f>
        <v>126482</v>
      </c>
      <c r="C1208" t="s">
        <v>466</v>
      </c>
      <c r="D1208" s="3">
        <v>337.19</v>
      </c>
      <c r="E1208" t="s">
        <v>208</v>
      </c>
      <c r="F1208" t="s">
        <v>192</v>
      </c>
    </row>
    <row r="1209" spans="1:6" x14ac:dyDescent="0.25">
      <c r="A1209">
        <v>20181015</v>
      </c>
      <c r="B1209" t="str">
        <f>"126483"</f>
        <v>126483</v>
      </c>
      <c r="C1209" t="s">
        <v>734</v>
      </c>
      <c r="D1209" s="3">
        <v>110</v>
      </c>
      <c r="E1209" t="s">
        <v>267</v>
      </c>
      <c r="F1209" t="s">
        <v>192</v>
      </c>
    </row>
    <row r="1210" spans="1:6" x14ac:dyDescent="0.25">
      <c r="A1210">
        <v>20181015</v>
      </c>
      <c r="B1210" t="str">
        <f>"126484"</f>
        <v>126484</v>
      </c>
      <c r="C1210" t="s">
        <v>735</v>
      </c>
      <c r="D1210" s="3">
        <v>6963.35</v>
      </c>
      <c r="E1210" t="s">
        <v>241</v>
      </c>
      <c r="F1210" t="s">
        <v>192</v>
      </c>
    </row>
    <row r="1211" spans="1:6" x14ac:dyDescent="0.25">
      <c r="A1211">
        <v>20181015</v>
      </c>
      <c r="B1211" t="str">
        <f>"126485"</f>
        <v>126485</v>
      </c>
      <c r="C1211" t="s">
        <v>736</v>
      </c>
      <c r="D1211" s="3">
        <v>175</v>
      </c>
      <c r="E1211" t="s">
        <v>680</v>
      </c>
      <c r="F1211" t="s">
        <v>192</v>
      </c>
    </row>
    <row r="1212" spans="1:6" x14ac:dyDescent="0.25">
      <c r="A1212">
        <v>20181015</v>
      </c>
      <c r="B1212" t="str">
        <f>"126486"</f>
        <v>126486</v>
      </c>
      <c r="C1212" t="s">
        <v>737</v>
      </c>
      <c r="D1212" s="3">
        <v>120</v>
      </c>
      <c r="E1212" t="s">
        <v>730</v>
      </c>
      <c r="F1212" t="s">
        <v>198</v>
      </c>
    </row>
    <row r="1213" spans="1:6" x14ac:dyDescent="0.25">
      <c r="A1213">
        <v>20181015</v>
      </c>
      <c r="B1213" t="str">
        <f>"126487"</f>
        <v>126487</v>
      </c>
      <c r="C1213" t="s">
        <v>738</v>
      </c>
      <c r="D1213" s="3">
        <v>760.15</v>
      </c>
      <c r="E1213" t="s">
        <v>739</v>
      </c>
      <c r="F1213" t="s">
        <v>192</v>
      </c>
    </row>
    <row r="1214" spans="1:6" x14ac:dyDescent="0.25">
      <c r="A1214">
        <v>20181015</v>
      </c>
      <c r="B1214" t="str">
        <f>"126488"</f>
        <v>126488</v>
      </c>
      <c r="C1214" t="s">
        <v>740</v>
      </c>
      <c r="D1214" s="3">
        <v>30</v>
      </c>
      <c r="E1214" t="s">
        <v>349</v>
      </c>
      <c r="F1214" t="s">
        <v>192</v>
      </c>
    </row>
    <row r="1215" spans="1:6" x14ac:dyDescent="0.25">
      <c r="A1215">
        <v>20181015</v>
      </c>
      <c r="B1215" t="str">
        <f>"126489"</f>
        <v>126489</v>
      </c>
      <c r="C1215" t="s">
        <v>741</v>
      </c>
      <c r="D1215" s="3">
        <v>150</v>
      </c>
      <c r="E1215" t="s">
        <v>742</v>
      </c>
      <c r="F1215" t="s">
        <v>192</v>
      </c>
    </row>
    <row r="1216" spans="1:6" x14ac:dyDescent="0.25">
      <c r="A1216">
        <v>20181015</v>
      </c>
      <c r="B1216" t="str">
        <f>"126489"</f>
        <v>126489</v>
      </c>
      <c r="C1216" t="s">
        <v>741</v>
      </c>
      <c r="D1216" s="3">
        <v>150</v>
      </c>
      <c r="E1216" t="s">
        <v>742</v>
      </c>
      <c r="F1216" t="s">
        <v>192</v>
      </c>
    </row>
    <row r="1217" spans="1:6" x14ac:dyDescent="0.25">
      <c r="A1217">
        <v>20181015</v>
      </c>
      <c r="B1217" t="str">
        <f>"126490"</f>
        <v>126490</v>
      </c>
      <c r="C1217" t="s">
        <v>743</v>
      </c>
      <c r="D1217" s="3">
        <v>732</v>
      </c>
      <c r="E1217" t="s">
        <v>744</v>
      </c>
      <c r="F1217" t="s">
        <v>198</v>
      </c>
    </row>
    <row r="1218" spans="1:6" x14ac:dyDescent="0.25">
      <c r="A1218">
        <v>20181015</v>
      </c>
      <c r="B1218" t="str">
        <f>"126491"</f>
        <v>126491</v>
      </c>
      <c r="C1218" t="s">
        <v>745</v>
      </c>
      <c r="D1218" s="3">
        <v>55</v>
      </c>
      <c r="E1218" t="s">
        <v>197</v>
      </c>
      <c r="F1218" t="s">
        <v>198</v>
      </c>
    </row>
    <row r="1219" spans="1:6" x14ac:dyDescent="0.25">
      <c r="A1219">
        <v>20181015</v>
      </c>
      <c r="B1219" t="str">
        <f>"126492"</f>
        <v>126492</v>
      </c>
      <c r="C1219" t="s">
        <v>746</v>
      </c>
      <c r="D1219" s="3">
        <v>870</v>
      </c>
      <c r="E1219" t="s">
        <v>747</v>
      </c>
      <c r="F1219" t="s">
        <v>192</v>
      </c>
    </row>
    <row r="1220" spans="1:6" x14ac:dyDescent="0.25">
      <c r="A1220">
        <v>20181015</v>
      </c>
      <c r="B1220" t="str">
        <f>"126493"</f>
        <v>126493</v>
      </c>
      <c r="C1220" t="s">
        <v>748</v>
      </c>
      <c r="D1220" s="3">
        <v>22</v>
      </c>
      <c r="E1220" t="s">
        <v>749</v>
      </c>
      <c r="F1220" t="s">
        <v>192</v>
      </c>
    </row>
    <row r="1221" spans="1:6" x14ac:dyDescent="0.25">
      <c r="A1221">
        <v>20181015</v>
      </c>
      <c r="B1221" t="str">
        <f>"126493"</f>
        <v>126493</v>
      </c>
      <c r="C1221" t="s">
        <v>748</v>
      </c>
      <c r="D1221" s="3">
        <v>8</v>
      </c>
      <c r="E1221" t="s">
        <v>749</v>
      </c>
      <c r="F1221" t="s">
        <v>192</v>
      </c>
    </row>
    <row r="1222" spans="1:6" x14ac:dyDescent="0.25">
      <c r="A1222">
        <v>20181015</v>
      </c>
      <c r="B1222" t="str">
        <f>"126493"</f>
        <v>126493</v>
      </c>
      <c r="C1222" t="s">
        <v>748</v>
      </c>
      <c r="D1222" s="3">
        <v>514</v>
      </c>
      <c r="E1222" t="s">
        <v>749</v>
      </c>
      <c r="F1222" t="s">
        <v>192</v>
      </c>
    </row>
    <row r="1223" spans="1:6" x14ac:dyDescent="0.25">
      <c r="A1223">
        <v>20181015</v>
      </c>
      <c r="B1223" t="str">
        <f>"126494"</f>
        <v>126494</v>
      </c>
      <c r="C1223" t="s">
        <v>750</v>
      </c>
      <c r="D1223" s="3">
        <v>62.91</v>
      </c>
      <c r="E1223" t="s">
        <v>751</v>
      </c>
      <c r="F1223" t="s">
        <v>192</v>
      </c>
    </row>
    <row r="1224" spans="1:6" x14ac:dyDescent="0.25">
      <c r="A1224">
        <v>20181022</v>
      </c>
      <c r="B1224" t="str">
        <f>"126495"</f>
        <v>126495</v>
      </c>
      <c r="C1224" t="s">
        <v>31</v>
      </c>
      <c r="D1224" s="3">
        <v>400</v>
      </c>
      <c r="E1224" t="s">
        <v>104</v>
      </c>
      <c r="F1224" t="s">
        <v>198</v>
      </c>
    </row>
    <row r="1225" spans="1:6" x14ac:dyDescent="0.25">
      <c r="A1225">
        <v>20181022</v>
      </c>
      <c r="B1225" t="str">
        <f>"126495"</f>
        <v>126495</v>
      </c>
      <c r="C1225" t="s">
        <v>31</v>
      </c>
      <c r="D1225" s="3">
        <v>400</v>
      </c>
      <c r="E1225" t="s">
        <v>104</v>
      </c>
      <c r="F1225" t="s">
        <v>198</v>
      </c>
    </row>
    <row r="1226" spans="1:6" x14ac:dyDescent="0.25">
      <c r="A1226">
        <v>20181022</v>
      </c>
      <c r="B1226" t="str">
        <f>"126495"</f>
        <v>126495</v>
      </c>
      <c r="C1226" t="s">
        <v>31</v>
      </c>
      <c r="D1226" s="3">
        <v>400</v>
      </c>
      <c r="E1226" t="s">
        <v>104</v>
      </c>
      <c r="F1226" t="s">
        <v>198</v>
      </c>
    </row>
    <row r="1227" spans="1:6" x14ac:dyDescent="0.25">
      <c r="A1227">
        <v>20181022</v>
      </c>
      <c r="B1227" t="str">
        <f>"126495"</f>
        <v>126495</v>
      </c>
      <c r="C1227" t="s">
        <v>31</v>
      </c>
      <c r="D1227" s="3">
        <v>400</v>
      </c>
      <c r="E1227" t="s">
        <v>104</v>
      </c>
      <c r="F1227" t="s">
        <v>198</v>
      </c>
    </row>
    <row r="1228" spans="1:6" x14ac:dyDescent="0.25">
      <c r="A1228">
        <v>20181022</v>
      </c>
      <c r="B1228" t="str">
        <f>"126495"</f>
        <v>126495</v>
      </c>
      <c r="C1228" t="s">
        <v>31</v>
      </c>
      <c r="D1228" s="3">
        <v>300</v>
      </c>
      <c r="E1228" t="s">
        <v>104</v>
      </c>
      <c r="F1228" t="s">
        <v>198</v>
      </c>
    </row>
    <row r="1229" spans="1:6" x14ac:dyDescent="0.25">
      <c r="A1229">
        <v>20181022</v>
      </c>
      <c r="B1229" t="str">
        <f>"126496"</f>
        <v>126496</v>
      </c>
      <c r="C1229" t="s">
        <v>31</v>
      </c>
      <c r="D1229" s="3">
        <v>200</v>
      </c>
      <c r="E1229" t="s">
        <v>104</v>
      </c>
      <c r="F1229" t="s">
        <v>198</v>
      </c>
    </row>
    <row r="1230" spans="1:6" x14ac:dyDescent="0.25">
      <c r="A1230">
        <v>20181022</v>
      </c>
      <c r="B1230" t="str">
        <f>"126497"</f>
        <v>126497</v>
      </c>
      <c r="C1230" t="s">
        <v>31</v>
      </c>
      <c r="D1230" s="3">
        <v>600</v>
      </c>
      <c r="E1230" t="s">
        <v>104</v>
      </c>
      <c r="F1230" t="s">
        <v>198</v>
      </c>
    </row>
    <row r="1231" spans="1:6" x14ac:dyDescent="0.25">
      <c r="A1231">
        <v>20181022</v>
      </c>
      <c r="B1231" t="str">
        <f>"126497"</f>
        <v>126497</v>
      </c>
      <c r="C1231" t="s">
        <v>31</v>
      </c>
      <c r="D1231" s="3">
        <v>600</v>
      </c>
      <c r="E1231" t="s">
        <v>104</v>
      </c>
      <c r="F1231" t="s">
        <v>198</v>
      </c>
    </row>
    <row r="1232" spans="1:6" x14ac:dyDescent="0.25">
      <c r="A1232">
        <v>20181022</v>
      </c>
      <c r="B1232" t="str">
        <f>"126497"</f>
        <v>126497</v>
      </c>
      <c r="C1232" t="s">
        <v>31</v>
      </c>
      <c r="D1232" s="3">
        <v>300</v>
      </c>
      <c r="E1232" t="s">
        <v>104</v>
      </c>
      <c r="F1232" t="s">
        <v>198</v>
      </c>
    </row>
    <row r="1233" spans="1:6" x14ac:dyDescent="0.25">
      <c r="A1233">
        <v>20181022</v>
      </c>
      <c r="B1233" t="str">
        <f>"126497"</f>
        <v>126497</v>
      </c>
      <c r="C1233" t="s">
        <v>31</v>
      </c>
      <c r="D1233" s="3">
        <v>300</v>
      </c>
      <c r="E1233" t="s">
        <v>104</v>
      </c>
      <c r="F1233" t="s">
        <v>198</v>
      </c>
    </row>
    <row r="1234" spans="1:6" x14ac:dyDescent="0.25">
      <c r="A1234">
        <v>20181022</v>
      </c>
      <c r="B1234" t="str">
        <f>"126498"</f>
        <v>126498</v>
      </c>
      <c r="C1234" t="s">
        <v>31</v>
      </c>
      <c r="D1234" s="3">
        <v>400</v>
      </c>
      <c r="E1234" t="s">
        <v>104</v>
      </c>
      <c r="F1234" t="s">
        <v>198</v>
      </c>
    </row>
    <row r="1235" spans="1:6" x14ac:dyDescent="0.25">
      <c r="A1235">
        <v>20181022</v>
      </c>
      <c r="B1235" t="str">
        <f>"126498"</f>
        <v>126498</v>
      </c>
      <c r="C1235" t="s">
        <v>31</v>
      </c>
      <c r="D1235" s="3">
        <v>400</v>
      </c>
      <c r="E1235" t="s">
        <v>104</v>
      </c>
      <c r="F1235" t="s">
        <v>198</v>
      </c>
    </row>
    <row r="1236" spans="1:6" x14ac:dyDescent="0.25">
      <c r="A1236">
        <v>20181022</v>
      </c>
      <c r="B1236" t="str">
        <f>"126498"</f>
        <v>126498</v>
      </c>
      <c r="C1236" t="s">
        <v>31</v>
      </c>
      <c r="D1236" s="3">
        <v>300</v>
      </c>
      <c r="E1236" t="s">
        <v>104</v>
      </c>
      <c r="F1236" t="s">
        <v>198</v>
      </c>
    </row>
    <row r="1237" spans="1:6" x14ac:dyDescent="0.25">
      <c r="A1237">
        <v>20181022</v>
      </c>
      <c r="B1237" t="str">
        <f>"126499"</f>
        <v>126499</v>
      </c>
      <c r="C1237" t="s">
        <v>31</v>
      </c>
      <c r="D1237" s="3">
        <v>200</v>
      </c>
      <c r="E1237" t="s">
        <v>104</v>
      </c>
      <c r="F1237" t="s">
        <v>198</v>
      </c>
    </row>
    <row r="1238" spans="1:6" x14ac:dyDescent="0.25">
      <c r="A1238">
        <v>20181022</v>
      </c>
      <c r="B1238" t="str">
        <f>"126500"</f>
        <v>126500</v>
      </c>
      <c r="C1238" t="s">
        <v>31</v>
      </c>
      <c r="D1238" s="3">
        <v>400</v>
      </c>
      <c r="E1238" t="s">
        <v>104</v>
      </c>
      <c r="F1238" t="s">
        <v>198</v>
      </c>
    </row>
    <row r="1239" spans="1:6" x14ac:dyDescent="0.25">
      <c r="A1239">
        <v>20181022</v>
      </c>
      <c r="B1239" t="str">
        <f>"126500"</f>
        <v>126500</v>
      </c>
      <c r="C1239" t="s">
        <v>31</v>
      </c>
      <c r="D1239" s="3">
        <v>400</v>
      </c>
      <c r="E1239" t="s">
        <v>104</v>
      </c>
      <c r="F1239" t="s">
        <v>198</v>
      </c>
    </row>
    <row r="1240" spans="1:6" x14ac:dyDescent="0.25">
      <c r="A1240">
        <v>20181022</v>
      </c>
      <c r="B1240" t="str">
        <f>"126501"</f>
        <v>126501</v>
      </c>
      <c r="C1240" t="s">
        <v>31</v>
      </c>
      <c r="D1240" s="3">
        <v>400</v>
      </c>
      <c r="E1240" t="s">
        <v>104</v>
      </c>
      <c r="F1240" t="s">
        <v>198</v>
      </c>
    </row>
    <row r="1241" spans="1:6" x14ac:dyDescent="0.25">
      <c r="A1241">
        <v>20181022</v>
      </c>
      <c r="B1241" t="str">
        <f>"126501"</f>
        <v>126501</v>
      </c>
      <c r="C1241" t="s">
        <v>31</v>
      </c>
      <c r="D1241" s="3">
        <v>400</v>
      </c>
      <c r="E1241" t="s">
        <v>104</v>
      </c>
      <c r="F1241" t="s">
        <v>198</v>
      </c>
    </row>
    <row r="1242" spans="1:6" x14ac:dyDescent="0.25">
      <c r="A1242">
        <v>20181022</v>
      </c>
      <c r="B1242" t="str">
        <f>"126501"</f>
        <v>126501</v>
      </c>
      <c r="C1242" t="s">
        <v>31</v>
      </c>
      <c r="D1242" s="3">
        <v>400</v>
      </c>
      <c r="E1242" t="s">
        <v>104</v>
      </c>
      <c r="F1242" t="s">
        <v>198</v>
      </c>
    </row>
    <row r="1243" spans="1:6" x14ac:dyDescent="0.25">
      <c r="A1243">
        <v>20181022</v>
      </c>
      <c r="B1243" t="str">
        <f>"126501"</f>
        <v>126501</v>
      </c>
      <c r="C1243" t="s">
        <v>31</v>
      </c>
      <c r="D1243" s="3">
        <v>400</v>
      </c>
      <c r="E1243" t="s">
        <v>104</v>
      </c>
      <c r="F1243" t="s">
        <v>198</v>
      </c>
    </row>
    <row r="1244" spans="1:6" x14ac:dyDescent="0.25">
      <c r="A1244">
        <v>20181022</v>
      </c>
      <c r="B1244" t="str">
        <f>"126502"</f>
        <v>126502</v>
      </c>
      <c r="C1244" t="s">
        <v>31</v>
      </c>
      <c r="D1244" s="3">
        <v>600</v>
      </c>
      <c r="E1244" t="s">
        <v>104</v>
      </c>
      <c r="F1244" t="s">
        <v>198</v>
      </c>
    </row>
    <row r="1245" spans="1:6" x14ac:dyDescent="0.25">
      <c r="A1245">
        <v>20181022</v>
      </c>
      <c r="B1245" t="str">
        <f>"126502"</f>
        <v>126502</v>
      </c>
      <c r="C1245" t="s">
        <v>31</v>
      </c>
      <c r="D1245" s="3">
        <v>600</v>
      </c>
      <c r="E1245" t="s">
        <v>104</v>
      </c>
      <c r="F1245" t="s">
        <v>198</v>
      </c>
    </row>
    <row r="1246" spans="1:6" x14ac:dyDescent="0.25">
      <c r="A1246">
        <v>20181022</v>
      </c>
      <c r="B1246" t="str">
        <f>"126502"</f>
        <v>126502</v>
      </c>
      <c r="C1246" t="s">
        <v>31</v>
      </c>
      <c r="D1246" s="3">
        <v>300</v>
      </c>
      <c r="E1246" t="s">
        <v>104</v>
      </c>
      <c r="F1246" t="s">
        <v>198</v>
      </c>
    </row>
    <row r="1247" spans="1:6" x14ac:dyDescent="0.25">
      <c r="A1247">
        <v>20181022</v>
      </c>
      <c r="B1247" t="str">
        <f>"126502"</f>
        <v>126502</v>
      </c>
      <c r="C1247" t="s">
        <v>31</v>
      </c>
      <c r="D1247" s="3">
        <v>300</v>
      </c>
      <c r="E1247" t="s">
        <v>104</v>
      </c>
      <c r="F1247" t="s">
        <v>198</v>
      </c>
    </row>
    <row r="1248" spans="1:6" x14ac:dyDescent="0.25">
      <c r="A1248">
        <v>20181022</v>
      </c>
      <c r="B1248" t="str">
        <f>"126503"</f>
        <v>126503</v>
      </c>
      <c r="C1248" t="s">
        <v>31</v>
      </c>
      <c r="D1248" s="3">
        <v>400</v>
      </c>
      <c r="E1248" t="s">
        <v>104</v>
      </c>
      <c r="F1248" t="s">
        <v>198</v>
      </c>
    </row>
    <row r="1249" spans="1:6" x14ac:dyDescent="0.25">
      <c r="A1249">
        <v>20181022</v>
      </c>
      <c r="B1249" t="str">
        <f>"126504"</f>
        <v>126504</v>
      </c>
      <c r="C1249" t="s">
        <v>31</v>
      </c>
      <c r="D1249" s="3">
        <v>400</v>
      </c>
      <c r="E1249" t="s">
        <v>104</v>
      </c>
      <c r="F1249" t="s">
        <v>198</v>
      </c>
    </row>
    <row r="1250" spans="1:6" x14ac:dyDescent="0.25">
      <c r="A1250">
        <v>20181022</v>
      </c>
      <c r="B1250" t="str">
        <f>"126504"</f>
        <v>126504</v>
      </c>
      <c r="C1250" t="s">
        <v>31</v>
      </c>
      <c r="D1250" s="3">
        <v>400</v>
      </c>
      <c r="E1250" t="s">
        <v>104</v>
      </c>
      <c r="F1250" t="s">
        <v>198</v>
      </c>
    </row>
    <row r="1251" spans="1:6" x14ac:dyDescent="0.25">
      <c r="A1251">
        <v>20181022</v>
      </c>
      <c r="B1251" t="str">
        <f>"126504"</f>
        <v>126504</v>
      </c>
      <c r="C1251" t="s">
        <v>31</v>
      </c>
      <c r="D1251" s="3">
        <v>400</v>
      </c>
      <c r="E1251" t="s">
        <v>104</v>
      </c>
      <c r="F1251" t="s">
        <v>198</v>
      </c>
    </row>
    <row r="1252" spans="1:6" x14ac:dyDescent="0.25">
      <c r="A1252">
        <v>20181022</v>
      </c>
      <c r="B1252" t="str">
        <f>"126504"</f>
        <v>126504</v>
      </c>
      <c r="C1252" t="s">
        <v>31</v>
      </c>
      <c r="D1252" s="3">
        <v>300</v>
      </c>
      <c r="E1252" t="s">
        <v>104</v>
      </c>
      <c r="F1252" t="s">
        <v>198</v>
      </c>
    </row>
    <row r="1253" spans="1:6" x14ac:dyDescent="0.25">
      <c r="A1253">
        <v>20181022</v>
      </c>
      <c r="B1253" t="str">
        <f>"126505"</f>
        <v>126505</v>
      </c>
      <c r="C1253" t="s">
        <v>31</v>
      </c>
      <c r="D1253" s="3">
        <v>200</v>
      </c>
      <c r="E1253" t="s">
        <v>104</v>
      </c>
      <c r="F1253" t="s">
        <v>198</v>
      </c>
    </row>
    <row r="1254" spans="1:6" x14ac:dyDescent="0.25">
      <c r="A1254">
        <v>20181022</v>
      </c>
      <c r="B1254" t="str">
        <f>"126506"</f>
        <v>126506</v>
      </c>
      <c r="C1254" t="s">
        <v>31</v>
      </c>
      <c r="D1254" s="3">
        <v>600</v>
      </c>
      <c r="E1254" t="s">
        <v>104</v>
      </c>
      <c r="F1254" t="s">
        <v>198</v>
      </c>
    </row>
    <row r="1255" spans="1:6" x14ac:dyDescent="0.25">
      <c r="A1255">
        <v>20181022</v>
      </c>
      <c r="B1255" t="str">
        <f>"126506"</f>
        <v>126506</v>
      </c>
      <c r="C1255" t="s">
        <v>31</v>
      </c>
      <c r="D1255" s="3">
        <v>600</v>
      </c>
      <c r="E1255" t="s">
        <v>104</v>
      </c>
      <c r="F1255" t="s">
        <v>198</v>
      </c>
    </row>
    <row r="1256" spans="1:6" x14ac:dyDescent="0.25">
      <c r="A1256">
        <v>20181022</v>
      </c>
      <c r="B1256" t="str">
        <f>"126506"</f>
        <v>126506</v>
      </c>
      <c r="C1256" t="s">
        <v>31</v>
      </c>
      <c r="D1256" s="3">
        <v>300</v>
      </c>
      <c r="E1256" t="s">
        <v>104</v>
      </c>
      <c r="F1256" t="s">
        <v>198</v>
      </c>
    </row>
    <row r="1257" spans="1:6" x14ac:dyDescent="0.25">
      <c r="A1257">
        <v>20181022</v>
      </c>
      <c r="B1257" t="str">
        <f>"126506"</f>
        <v>126506</v>
      </c>
      <c r="C1257" t="s">
        <v>31</v>
      </c>
      <c r="D1257" s="3">
        <v>300</v>
      </c>
      <c r="E1257" t="s">
        <v>104</v>
      </c>
      <c r="F1257" t="s">
        <v>198</v>
      </c>
    </row>
    <row r="1258" spans="1:6" x14ac:dyDescent="0.25">
      <c r="A1258">
        <v>20181022</v>
      </c>
      <c r="B1258" t="str">
        <f>"126507"</f>
        <v>126507</v>
      </c>
      <c r="C1258" t="s">
        <v>317</v>
      </c>
      <c r="D1258" s="3">
        <v>1517.64</v>
      </c>
      <c r="E1258" t="s">
        <v>322</v>
      </c>
      <c r="F1258" t="s">
        <v>215</v>
      </c>
    </row>
    <row r="1259" spans="1:6" x14ac:dyDescent="0.25">
      <c r="A1259">
        <v>20181022</v>
      </c>
      <c r="B1259" t="str">
        <f>"126507"</f>
        <v>126507</v>
      </c>
      <c r="C1259" t="s">
        <v>317</v>
      </c>
      <c r="D1259" s="3">
        <v>897.68</v>
      </c>
      <c r="E1259" t="s">
        <v>322</v>
      </c>
      <c r="F1259" t="s">
        <v>215</v>
      </c>
    </row>
    <row r="1260" spans="1:6" x14ac:dyDescent="0.25">
      <c r="A1260">
        <v>20181022</v>
      </c>
      <c r="B1260" t="str">
        <f>"126508"</f>
        <v>126508</v>
      </c>
      <c r="C1260" t="s">
        <v>160</v>
      </c>
      <c r="D1260" s="3">
        <v>84</v>
      </c>
      <c r="E1260" t="s">
        <v>263</v>
      </c>
      <c r="F1260" t="s">
        <v>192</v>
      </c>
    </row>
    <row r="1261" spans="1:6" x14ac:dyDescent="0.25">
      <c r="A1261">
        <v>20181022</v>
      </c>
      <c r="B1261" t="str">
        <f>"126508"</f>
        <v>126508</v>
      </c>
      <c r="C1261" t="s">
        <v>160</v>
      </c>
      <c r="D1261" s="3">
        <v>1041.94</v>
      </c>
      <c r="E1261" t="s">
        <v>757</v>
      </c>
      <c r="F1261" t="s">
        <v>192</v>
      </c>
    </row>
    <row r="1262" spans="1:6" x14ac:dyDescent="0.25">
      <c r="A1262">
        <v>20181022</v>
      </c>
      <c r="B1262" t="str">
        <f>"126508"</f>
        <v>126508</v>
      </c>
      <c r="C1262" t="s">
        <v>160</v>
      </c>
      <c r="D1262" s="3">
        <v>781.53</v>
      </c>
      <c r="E1262" t="s">
        <v>757</v>
      </c>
      <c r="F1262" t="s">
        <v>192</v>
      </c>
    </row>
    <row r="1263" spans="1:6" x14ac:dyDescent="0.25">
      <c r="A1263">
        <v>20181022</v>
      </c>
      <c r="B1263" t="str">
        <f>"126508"</f>
        <v>126508</v>
      </c>
      <c r="C1263" t="s">
        <v>160</v>
      </c>
      <c r="D1263" s="3">
        <v>781.53</v>
      </c>
      <c r="E1263" t="s">
        <v>757</v>
      </c>
      <c r="F1263" t="s">
        <v>192</v>
      </c>
    </row>
    <row r="1264" spans="1:6" x14ac:dyDescent="0.25">
      <c r="A1264">
        <v>20181022</v>
      </c>
      <c r="B1264" t="str">
        <f>"126508"</f>
        <v>126508</v>
      </c>
      <c r="C1264" t="s">
        <v>160</v>
      </c>
      <c r="D1264" s="3">
        <v>521.02</v>
      </c>
      <c r="E1264" t="s">
        <v>757</v>
      </c>
      <c r="F1264" t="s">
        <v>192</v>
      </c>
    </row>
    <row r="1265" spans="1:6" x14ac:dyDescent="0.25">
      <c r="A1265">
        <v>20181022</v>
      </c>
      <c r="B1265" t="str">
        <f>"126508"</f>
        <v>126508</v>
      </c>
      <c r="C1265" t="s">
        <v>160</v>
      </c>
      <c r="D1265" s="3">
        <v>55.11</v>
      </c>
      <c r="E1265" t="s">
        <v>772</v>
      </c>
      <c r="F1265" t="s">
        <v>192</v>
      </c>
    </row>
    <row r="1266" spans="1:6" x14ac:dyDescent="0.25">
      <c r="A1266">
        <v>20181022</v>
      </c>
      <c r="B1266" t="str">
        <f>"126508"</f>
        <v>126508</v>
      </c>
      <c r="C1266" t="s">
        <v>160</v>
      </c>
      <c r="D1266" s="3">
        <v>210.51</v>
      </c>
      <c r="E1266" t="s">
        <v>393</v>
      </c>
      <c r="F1266" t="s">
        <v>192</v>
      </c>
    </row>
    <row r="1267" spans="1:6" x14ac:dyDescent="0.25">
      <c r="A1267">
        <v>20181022</v>
      </c>
      <c r="B1267" t="str">
        <f>"126508"</f>
        <v>126508</v>
      </c>
      <c r="C1267" t="s">
        <v>160</v>
      </c>
      <c r="D1267" s="3">
        <v>43</v>
      </c>
      <c r="E1267" t="s">
        <v>763</v>
      </c>
      <c r="F1267" t="s">
        <v>192</v>
      </c>
    </row>
    <row r="1268" spans="1:6" x14ac:dyDescent="0.25">
      <c r="A1268">
        <v>20181022</v>
      </c>
      <c r="B1268" t="str">
        <f>"126508"</f>
        <v>126508</v>
      </c>
      <c r="C1268" t="s">
        <v>160</v>
      </c>
      <c r="D1268" s="3">
        <v>1259.93</v>
      </c>
      <c r="E1268" t="s">
        <v>145</v>
      </c>
      <c r="F1268" t="s">
        <v>192</v>
      </c>
    </row>
    <row r="1269" spans="1:6" x14ac:dyDescent="0.25">
      <c r="A1269">
        <v>20181022</v>
      </c>
      <c r="B1269" t="str">
        <f>"126508"</f>
        <v>126508</v>
      </c>
      <c r="C1269" t="s">
        <v>160</v>
      </c>
      <c r="D1269" s="3">
        <v>239</v>
      </c>
      <c r="E1269" t="s">
        <v>768</v>
      </c>
      <c r="F1269" t="s">
        <v>192</v>
      </c>
    </row>
    <row r="1270" spans="1:6" x14ac:dyDescent="0.25">
      <c r="A1270">
        <v>20181022</v>
      </c>
      <c r="B1270" t="str">
        <f>"126508"</f>
        <v>126508</v>
      </c>
      <c r="C1270" t="s">
        <v>160</v>
      </c>
      <c r="D1270" s="3">
        <v>79</v>
      </c>
      <c r="E1270" t="s">
        <v>775</v>
      </c>
      <c r="F1270" t="s">
        <v>192</v>
      </c>
    </row>
    <row r="1271" spans="1:6" x14ac:dyDescent="0.25">
      <c r="A1271">
        <v>20181022</v>
      </c>
      <c r="B1271" t="str">
        <f>"126508"</f>
        <v>126508</v>
      </c>
      <c r="C1271" t="s">
        <v>160</v>
      </c>
      <c r="D1271" s="3">
        <v>125</v>
      </c>
      <c r="E1271" t="s">
        <v>758</v>
      </c>
      <c r="F1271" t="s">
        <v>192</v>
      </c>
    </row>
    <row r="1272" spans="1:6" x14ac:dyDescent="0.25">
      <c r="A1272">
        <v>20181022</v>
      </c>
      <c r="B1272" t="str">
        <f>"126508"</f>
        <v>126508</v>
      </c>
      <c r="C1272" t="s">
        <v>160</v>
      </c>
      <c r="D1272" s="3">
        <v>17</v>
      </c>
      <c r="E1272" t="s">
        <v>774</v>
      </c>
      <c r="F1272" t="s">
        <v>192</v>
      </c>
    </row>
    <row r="1273" spans="1:6" x14ac:dyDescent="0.25">
      <c r="A1273">
        <v>20181022</v>
      </c>
      <c r="B1273" t="str">
        <f>"126508"</f>
        <v>126508</v>
      </c>
      <c r="C1273" t="s">
        <v>160</v>
      </c>
      <c r="D1273" s="3">
        <v>48</v>
      </c>
      <c r="E1273" t="s">
        <v>773</v>
      </c>
      <c r="F1273" t="s">
        <v>192</v>
      </c>
    </row>
    <row r="1274" spans="1:6" x14ac:dyDescent="0.25">
      <c r="A1274">
        <v>20181022</v>
      </c>
      <c r="B1274" t="str">
        <f>"126508"</f>
        <v>126508</v>
      </c>
      <c r="C1274" t="s">
        <v>160</v>
      </c>
      <c r="D1274" s="3">
        <v>48</v>
      </c>
      <c r="E1274" t="s">
        <v>773</v>
      </c>
      <c r="F1274" t="s">
        <v>192</v>
      </c>
    </row>
    <row r="1275" spans="1:6" x14ac:dyDescent="0.25">
      <c r="A1275">
        <v>20181022</v>
      </c>
      <c r="B1275" t="str">
        <f>"126508"</f>
        <v>126508</v>
      </c>
      <c r="C1275" t="s">
        <v>160</v>
      </c>
      <c r="D1275" s="3">
        <v>48</v>
      </c>
      <c r="E1275" t="s">
        <v>773</v>
      </c>
      <c r="F1275" t="s">
        <v>192</v>
      </c>
    </row>
    <row r="1276" spans="1:6" x14ac:dyDescent="0.25">
      <c r="A1276">
        <v>20181022</v>
      </c>
      <c r="B1276" t="str">
        <f>"126508"</f>
        <v>126508</v>
      </c>
      <c r="C1276" t="s">
        <v>160</v>
      </c>
      <c r="D1276" s="3">
        <v>48</v>
      </c>
      <c r="E1276" t="s">
        <v>773</v>
      </c>
      <c r="F1276" t="s">
        <v>192</v>
      </c>
    </row>
    <row r="1277" spans="1:6" x14ac:dyDescent="0.25">
      <c r="A1277">
        <v>20181022</v>
      </c>
      <c r="B1277" t="str">
        <f>"126508"</f>
        <v>126508</v>
      </c>
      <c r="C1277" t="s">
        <v>160</v>
      </c>
      <c r="D1277" s="3">
        <v>48</v>
      </c>
      <c r="E1277" t="s">
        <v>773</v>
      </c>
      <c r="F1277" t="s">
        <v>192</v>
      </c>
    </row>
    <row r="1278" spans="1:6" x14ac:dyDescent="0.25">
      <c r="A1278">
        <v>20181022</v>
      </c>
      <c r="B1278" t="str">
        <f>"126508"</f>
        <v>126508</v>
      </c>
      <c r="C1278" t="s">
        <v>160</v>
      </c>
      <c r="D1278" s="3">
        <v>38</v>
      </c>
      <c r="E1278" t="s">
        <v>773</v>
      </c>
      <c r="F1278" t="s">
        <v>192</v>
      </c>
    </row>
    <row r="1279" spans="1:6" x14ac:dyDescent="0.25">
      <c r="A1279">
        <v>20181022</v>
      </c>
      <c r="B1279" t="str">
        <f>"126508"</f>
        <v>126508</v>
      </c>
      <c r="C1279" t="s">
        <v>160</v>
      </c>
      <c r="D1279" s="3">
        <v>48</v>
      </c>
      <c r="E1279" t="s">
        <v>773</v>
      </c>
      <c r="F1279" t="s">
        <v>192</v>
      </c>
    </row>
    <row r="1280" spans="1:6" x14ac:dyDescent="0.25">
      <c r="A1280">
        <v>20181022</v>
      </c>
      <c r="B1280" t="str">
        <f>"126508"</f>
        <v>126508</v>
      </c>
      <c r="C1280" t="s">
        <v>160</v>
      </c>
      <c r="D1280" s="3">
        <v>96</v>
      </c>
      <c r="E1280" t="s">
        <v>450</v>
      </c>
      <c r="F1280" t="s">
        <v>307</v>
      </c>
    </row>
    <row r="1281" spans="1:6" x14ac:dyDescent="0.25">
      <c r="A1281">
        <v>20181022</v>
      </c>
      <c r="B1281" t="str">
        <f>"126508"</f>
        <v>126508</v>
      </c>
      <c r="C1281" t="s">
        <v>160</v>
      </c>
      <c r="D1281" s="3">
        <v>228.66</v>
      </c>
      <c r="E1281" t="s">
        <v>114</v>
      </c>
      <c r="F1281" t="s">
        <v>192</v>
      </c>
    </row>
    <row r="1282" spans="1:6" x14ac:dyDescent="0.25">
      <c r="A1282">
        <v>20181022</v>
      </c>
      <c r="B1282" t="str">
        <f>"126508"</f>
        <v>126508</v>
      </c>
      <c r="C1282" t="s">
        <v>160</v>
      </c>
      <c r="D1282" s="3">
        <v>454.99</v>
      </c>
      <c r="E1282" t="s">
        <v>243</v>
      </c>
      <c r="F1282" t="s">
        <v>192</v>
      </c>
    </row>
    <row r="1283" spans="1:6" x14ac:dyDescent="0.25">
      <c r="A1283">
        <v>20181022</v>
      </c>
      <c r="B1283" t="str">
        <f>"126508"</f>
        <v>126508</v>
      </c>
      <c r="C1283" t="s">
        <v>160</v>
      </c>
      <c r="D1283" s="3">
        <v>990.58</v>
      </c>
      <c r="E1283" t="s">
        <v>777</v>
      </c>
      <c r="F1283" t="s">
        <v>192</v>
      </c>
    </row>
    <row r="1284" spans="1:6" x14ac:dyDescent="0.25">
      <c r="A1284">
        <v>20181022</v>
      </c>
      <c r="B1284" t="str">
        <f>"126508"</f>
        <v>126508</v>
      </c>
      <c r="C1284" t="s">
        <v>160</v>
      </c>
      <c r="D1284" s="3">
        <v>120.41</v>
      </c>
      <c r="E1284" t="s">
        <v>355</v>
      </c>
      <c r="F1284" t="s">
        <v>192</v>
      </c>
    </row>
    <row r="1285" spans="1:6" x14ac:dyDescent="0.25">
      <c r="A1285">
        <v>20181022</v>
      </c>
      <c r="B1285" t="str">
        <f>"126508"</f>
        <v>126508</v>
      </c>
      <c r="C1285" t="s">
        <v>160</v>
      </c>
      <c r="D1285" s="3">
        <v>40</v>
      </c>
      <c r="E1285" t="s">
        <v>457</v>
      </c>
      <c r="F1285" t="s">
        <v>192</v>
      </c>
    </row>
    <row r="1286" spans="1:6" x14ac:dyDescent="0.25">
      <c r="A1286">
        <v>20181022</v>
      </c>
      <c r="B1286" t="str">
        <f>"126508"</f>
        <v>126508</v>
      </c>
      <c r="C1286" t="s">
        <v>160</v>
      </c>
      <c r="D1286" s="3">
        <v>397.17</v>
      </c>
      <c r="E1286" t="s">
        <v>717</v>
      </c>
      <c r="F1286" t="s">
        <v>192</v>
      </c>
    </row>
    <row r="1287" spans="1:6" x14ac:dyDescent="0.25">
      <c r="A1287">
        <v>20181022</v>
      </c>
      <c r="B1287" t="str">
        <f>"126508"</f>
        <v>126508</v>
      </c>
      <c r="C1287" t="s">
        <v>160</v>
      </c>
      <c r="D1287" s="3">
        <v>89.1</v>
      </c>
      <c r="E1287" t="s">
        <v>760</v>
      </c>
      <c r="F1287" t="s">
        <v>192</v>
      </c>
    </row>
    <row r="1288" spans="1:6" x14ac:dyDescent="0.25">
      <c r="A1288">
        <v>20181022</v>
      </c>
      <c r="B1288" t="str">
        <f>"126508"</f>
        <v>126508</v>
      </c>
      <c r="C1288" t="s">
        <v>160</v>
      </c>
      <c r="D1288" s="3">
        <v>160</v>
      </c>
      <c r="E1288" t="s">
        <v>456</v>
      </c>
      <c r="F1288" t="s">
        <v>413</v>
      </c>
    </row>
    <row r="1289" spans="1:6" x14ac:dyDescent="0.25">
      <c r="A1289">
        <v>20181022</v>
      </c>
      <c r="B1289" t="str">
        <f>"126508"</f>
        <v>126508</v>
      </c>
      <c r="C1289" t="s">
        <v>160</v>
      </c>
      <c r="D1289" s="3">
        <v>180</v>
      </c>
      <c r="E1289" t="s">
        <v>776</v>
      </c>
      <c r="F1289" t="s">
        <v>192</v>
      </c>
    </row>
    <row r="1290" spans="1:6" x14ac:dyDescent="0.25">
      <c r="A1290">
        <v>20181022</v>
      </c>
      <c r="B1290" t="str">
        <f>"126508"</f>
        <v>126508</v>
      </c>
      <c r="C1290" t="s">
        <v>160</v>
      </c>
      <c r="D1290" s="3">
        <v>180</v>
      </c>
      <c r="E1290" t="s">
        <v>776</v>
      </c>
      <c r="F1290" t="s">
        <v>192</v>
      </c>
    </row>
    <row r="1291" spans="1:6" x14ac:dyDescent="0.25">
      <c r="A1291">
        <v>20181022</v>
      </c>
      <c r="B1291" t="str">
        <f>"126508"</f>
        <v>126508</v>
      </c>
      <c r="C1291" t="s">
        <v>160</v>
      </c>
      <c r="D1291" s="3">
        <v>135</v>
      </c>
      <c r="E1291" t="s">
        <v>776</v>
      </c>
      <c r="F1291" t="s">
        <v>192</v>
      </c>
    </row>
    <row r="1292" spans="1:6" x14ac:dyDescent="0.25">
      <c r="A1292">
        <v>20181022</v>
      </c>
      <c r="B1292" t="str">
        <f>"126508"</f>
        <v>126508</v>
      </c>
      <c r="C1292" t="s">
        <v>160</v>
      </c>
      <c r="D1292" s="3">
        <v>180</v>
      </c>
      <c r="E1292" t="s">
        <v>776</v>
      </c>
      <c r="F1292" t="s">
        <v>192</v>
      </c>
    </row>
    <row r="1293" spans="1:6" x14ac:dyDescent="0.25">
      <c r="A1293">
        <v>20181022</v>
      </c>
      <c r="B1293" t="str">
        <f>"126508"</f>
        <v>126508</v>
      </c>
      <c r="C1293" t="s">
        <v>160</v>
      </c>
      <c r="D1293" s="3">
        <v>15.46</v>
      </c>
      <c r="E1293" t="s">
        <v>762</v>
      </c>
      <c r="F1293" t="s">
        <v>192</v>
      </c>
    </row>
    <row r="1294" spans="1:6" x14ac:dyDescent="0.25">
      <c r="A1294">
        <v>20181022</v>
      </c>
      <c r="B1294" t="str">
        <f>"126508"</f>
        <v>126508</v>
      </c>
      <c r="C1294" t="s">
        <v>160</v>
      </c>
      <c r="D1294" s="3">
        <v>57.73</v>
      </c>
      <c r="E1294" t="s">
        <v>756</v>
      </c>
      <c r="F1294" t="s">
        <v>198</v>
      </c>
    </row>
    <row r="1295" spans="1:6" x14ac:dyDescent="0.25">
      <c r="A1295">
        <v>20181022</v>
      </c>
      <c r="B1295" t="str">
        <f>"126508"</f>
        <v>126508</v>
      </c>
      <c r="C1295" t="s">
        <v>160</v>
      </c>
      <c r="D1295" s="3">
        <v>36.85</v>
      </c>
      <c r="E1295" t="s">
        <v>754</v>
      </c>
      <c r="F1295" t="s">
        <v>198</v>
      </c>
    </row>
    <row r="1296" spans="1:6" x14ac:dyDescent="0.25">
      <c r="A1296">
        <v>20181022</v>
      </c>
      <c r="B1296" t="str">
        <f>"126508"</f>
        <v>126508</v>
      </c>
      <c r="C1296" t="s">
        <v>160</v>
      </c>
      <c r="D1296" s="3">
        <v>35.42</v>
      </c>
      <c r="E1296" t="s">
        <v>755</v>
      </c>
      <c r="F1296" t="s">
        <v>198</v>
      </c>
    </row>
    <row r="1297" spans="1:6" x14ac:dyDescent="0.25">
      <c r="A1297">
        <v>20181022</v>
      </c>
      <c r="B1297" t="str">
        <f>"126508"</f>
        <v>126508</v>
      </c>
      <c r="C1297" t="s">
        <v>160</v>
      </c>
      <c r="D1297" s="3">
        <v>41</v>
      </c>
      <c r="E1297" t="s">
        <v>754</v>
      </c>
      <c r="F1297" t="s">
        <v>198</v>
      </c>
    </row>
    <row r="1298" spans="1:6" x14ac:dyDescent="0.25">
      <c r="A1298">
        <v>20181022</v>
      </c>
      <c r="B1298" t="str">
        <f>"126508"</f>
        <v>126508</v>
      </c>
      <c r="C1298" t="s">
        <v>160</v>
      </c>
      <c r="D1298" s="3">
        <v>46.71</v>
      </c>
      <c r="E1298" t="s">
        <v>754</v>
      </c>
      <c r="F1298" t="s">
        <v>198</v>
      </c>
    </row>
    <row r="1299" spans="1:6" x14ac:dyDescent="0.25">
      <c r="A1299">
        <v>20181022</v>
      </c>
      <c r="B1299" t="str">
        <f>"126508"</f>
        <v>126508</v>
      </c>
      <c r="C1299" t="s">
        <v>160</v>
      </c>
      <c r="D1299" s="3">
        <v>43.61</v>
      </c>
      <c r="E1299" t="s">
        <v>754</v>
      </c>
      <c r="F1299" t="s">
        <v>198</v>
      </c>
    </row>
    <row r="1300" spans="1:6" x14ac:dyDescent="0.25">
      <c r="A1300">
        <v>20181022</v>
      </c>
      <c r="B1300" t="str">
        <f>"126508"</f>
        <v>126508</v>
      </c>
      <c r="C1300" t="s">
        <v>160</v>
      </c>
      <c r="D1300" s="3">
        <v>781.53</v>
      </c>
      <c r="E1300" t="s">
        <v>759</v>
      </c>
      <c r="F1300" t="s">
        <v>192</v>
      </c>
    </row>
    <row r="1301" spans="1:6" x14ac:dyDescent="0.25">
      <c r="A1301">
        <v>20181022</v>
      </c>
      <c r="B1301" t="str">
        <f>"126508"</f>
        <v>126508</v>
      </c>
      <c r="C1301" t="s">
        <v>160</v>
      </c>
      <c r="D1301" s="3">
        <v>179.62</v>
      </c>
      <c r="E1301" t="s">
        <v>766</v>
      </c>
      <c r="F1301" t="s">
        <v>192</v>
      </c>
    </row>
    <row r="1302" spans="1:6" x14ac:dyDescent="0.25">
      <c r="A1302">
        <v>20181022</v>
      </c>
      <c r="B1302" t="str">
        <f>"126508"</f>
        <v>126508</v>
      </c>
      <c r="C1302" t="s">
        <v>160</v>
      </c>
      <c r="D1302" s="3">
        <v>160</v>
      </c>
      <c r="E1302" t="s">
        <v>267</v>
      </c>
      <c r="F1302" t="s">
        <v>307</v>
      </c>
    </row>
    <row r="1303" spans="1:6" x14ac:dyDescent="0.25">
      <c r="A1303">
        <v>20181022</v>
      </c>
      <c r="B1303" t="str">
        <f>"126508"</f>
        <v>126508</v>
      </c>
      <c r="C1303" t="s">
        <v>160</v>
      </c>
      <c r="D1303" s="3">
        <v>333.54</v>
      </c>
      <c r="E1303" t="s">
        <v>267</v>
      </c>
      <c r="F1303" t="s">
        <v>192</v>
      </c>
    </row>
    <row r="1304" spans="1:6" x14ac:dyDescent="0.25">
      <c r="A1304">
        <v>20181022</v>
      </c>
      <c r="B1304" t="str">
        <f>"126508"</f>
        <v>126508</v>
      </c>
      <c r="C1304" t="s">
        <v>160</v>
      </c>
      <c r="D1304" s="3">
        <v>90</v>
      </c>
      <c r="E1304" t="s">
        <v>267</v>
      </c>
      <c r="F1304" t="s">
        <v>192</v>
      </c>
    </row>
    <row r="1305" spans="1:6" x14ac:dyDescent="0.25">
      <c r="A1305">
        <v>20181022</v>
      </c>
      <c r="B1305" t="str">
        <f>"126508"</f>
        <v>126508</v>
      </c>
      <c r="C1305" t="s">
        <v>160</v>
      </c>
      <c r="D1305" s="3">
        <v>18.600000000000001</v>
      </c>
      <c r="E1305" t="s">
        <v>267</v>
      </c>
      <c r="F1305" t="s">
        <v>192</v>
      </c>
    </row>
    <row r="1306" spans="1:6" x14ac:dyDescent="0.25">
      <c r="A1306">
        <v>20181022</v>
      </c>
      <c r="B1306" t="str">
        <f>"126508"</f>
        <v>126508</v>
      </c>
      <c r="C1306" t="s">
        <v>160</v>
      </c>
      <c r="D1306" s="3">
        <v>50</v>
      </c>
      <c r="E1306" t="s">
        <v>267</v>
      </c>
      <c r="F1306" t="s">
        <v>192</v>
      </c>
    </row>
    <row r="1307" spans="1:6" x14ac:dyDescent="0.25">
      <c r="A1307">
        <v>20181022</v>
      </c>
      <c r="B1307" t="str">
        <f>"126508"</f>
        <v>126508</v>
      </c>
      <c r="C1307" t="s">
        <v>160</v>
      </c>
      <c r="D1307" s="3">
        <v>333.54</v>
      </c>
      <c r="E1307" t="s">
        <v>267</v>
      </c>
      <c r="F1307" t="s">
        <v>192</v>
      </c>
    </row>
    <row r="1308" spans="1:6" x14ac:dyDescent="0.25">
      <c r="A1308">
        <v>20181022</v>
      </c>
      <c r="B1308" t="str">
        <f>"126508"</f>
        <v>126508</v>
      </c>
      <c r="C1308" t="s">
        <v>160</v>
      </c>
      <c r="D1308" s="3">
        <v>256.8</v>
      </c>
      <c r="E1308" t="s">
        <v>267</v>
      </c>
      <c r="F1308" t="s">
        <v>192</v>
      </c>
    </row>
    <row r="1309" spans="1:6" x14ac:dyDescent="0.25">
      <c r="A1309">
        <v>20181022</v>
      </c>
      <c r="B1309" t="str">
        <f>"126508"</f>
        <v>126508</v>
      </c>
      <c r="C1309" t="s">
        <v>160</v>
      </c>
      <c r="D1309" s="3">
        <v>41.56</v>
      </c>
      <c r="E1309" t="s">
        <v>767</v>
      </c>
      <c r="F1309" t="s">
        <v>192</v>
      </c>
    </row>
    <row r="1310" spans="1:6" x14ac:dyDescent="0.25">
      <c r="A1310">
        <v>20181022</v>
      </c>
      <c r="B1310" t="str">
        <f>"126508"</f>
        <v>126508</v>
      </c>
      <c r="C1310" t="s">
        <v>160</v>
      </c>
      <c r="D1310" s="3">
        <v>289</v>
      </c>
      <c r="E1310" t="s">
        <v>764</v>
      </c>
      <c r="F1310" t="s">
        <v>192</v>
      </c>
    </row>
    <row r="1311" spans="1:6" x14ac:dyDescent="0.25">
      <c r="A1311">
        <v>20181022</v>
      </c>
      <c r="B1311" t="str">
        <f>"126508"</f>
        <v>126508</v>
      </c>
      <c r="C1311" t="s">
        <v>160</v>
      </c>
      <c r="D1311" s="3">
        <v>375</v>
      </c>
      <c r="E1311" t="s">
        <v>761</v>
      </c>
      <c r="F1311" t="s">
        <v>192</v>
      </c>
    </row>
    <row r="1312" spans="1:6" x14ac:dyDescent="0.25">
      <c r="A1312">
        <v>20181022</v>
      </c>
      <c r="B1312" t="str">
        <f>"126508"</f>
        <v>126508</v>
      </c>
      <c r="C1312" t="s">
        <v>160</v>
      </c>
      <c r="D1312" s="3">
        <v>40</v>
      </c>
      <c r="E1312" t="s">
        <v>444</v>
      </c>
      <c r="F1312" t="s">
        <v>192</v>
      </c>
    </row>
    <row r="1313" spans="1:6" x14ac:dyDescent="0.25">
      <c r="A1313">
        <v>20181022</v>
      </c>
      <c r="B1313" t="str">
        <f>"126508"</f>
        <v>126508</v>
      </c>
      <c r="C1313" t="s">
        <v>160</v>
      </c>
      <c r="D1313" s="3">
        <v>490.84</v>
      </c>
      <c r="E1313" t="s">
        <v>444</v>
      </c>
      <c r="F1313" t="s">
        <v>192</v>
      </c>
    </row>
    <row r="1314" spans="1:6" x14ac:dyDescent="0.25">
      <c r="A1314">
        <v>20181022</v>
      </c>
      <c r="B1314" t="str">
        <f>"126508"</f>
        <v>126508</v>
      </c>
      <c r="C1314" t="s">
        <v>160</v>
      </c>
      <c r="D1314" s="3">
        <v>15.64</v>
      </c>
      <c r="E1314" t="s">
        <v>444</v>
      </c>
      <c r="F1314" t="s">
        <v>192</v>
      </c>
    </row>
    <row r="1315" spans="1:6" x14ac:dyDescent="0.25">
      <c r="A1315">
        <v>20181022</v>
      </c>
      <c r="B1315" t="str">
        <f>"126508"</f>
        <v>126508</v>
      </c>
      <c r="C1315" t="s">
        <v>160</v>
      </c>
      <c r="D1315" s="3">
        <v>300</v>
      </c>
      <c r="E1315" t="s">
        <v>765</v>
      </c>
      <c r="F1315" t="s">
        <v>192</v>
      </c>
    </row>
    <row r="1316" spans="1:6" x14ac:dyDescent="0.25">
      <c r="A1316">
        <v>20181022</v>
      </c>
      <c r="B1316" t="str">
        <f>"126508"</f>
        <v>126508</v>
      </c>
      <c r="C1316" t="s">
        <v>160</v>
      </c>
      <c r="D1316" s="3">
        <v>216.64</v>
      </c>
      <c r="E1316" t="s">
        <v>752</v>
      </c>
      <c r="F1316" t="s">
        <v>198</v>
      </c>
    </row>
    <row r="1317" spans="1:6" x14ac:dyDescent="0.25">
      <c r="A1317">
        <v>20181022</v>
      </c>
      <c r="B1317" t="str">
        <f>"126508"</f>
        <v>126508</v>
      </c>
      <c r="C1317" t="s">
        <v>160</v>
      </c>
      <c r="D1317" s="3">
        <v>142.68</v>
      </c>
      <c r="E1317" t="s">
        <v>752</v>
      </c>
      <c r="F1317" t="s">
        <v>198</v>
      </c>
    </row>
    <row r="1318" spans="1:6" x14ac:dyDescent="0.25">
      <c r="A1318">
        <v>20181022</v>
      </c>
      <c r="B1318" t="str">
        <f>"126508"</f>
        <v>126508</v>
      </c>
      <c r="C1318" t="s">
        <v>160</v>
      </c>
      <c r="D1318" s="3">
        <v>184.21</v>
      </c>
      <c r="E1318" t="s">
        <v>753</v>
      </c>
      <c r="F1318" t="s">
        <v>198</v>
      </c>
    </row>
    <row r="1319" spans="1:6" x14ac:dyDescent="0.25">
      <c r="A1319">
        <v>20181022</v>
      </c>
      <c r="B1319" t="str">
        <f>"126508"</f>
        <v>126508</v>
      </c>
      <c r="C1319" t="s">
        <v>160</v>
      </c>
      <c r="D1319" s="3">
        <v>184.21</v>
      </c>
      <c r="E1319" t="s">
        <v>753</v>
      </c>
      <c r="F1319" t="s">
        <v>198</v>
      </c>
    </row>
    <row r="1320" spans="1:6" x14ac:dyDescent="0.25">
      <c r="A1320">
        <v>20181022</v>
      </c>
      <c r="B1320" t="str">
        <f>"126508"</f>
        <v>126508</v>
      </c>
      <c r="C1320" t="s">
        <v>160</v>
      </c>
      <c r="D1320" s="3">
        <v>154.38</v>
      </c>
      <c r="E1320" t="s">
        <v>80</v>
      </c>
      <c r="F1320" t="s">
        <v>198</v>
      </c>
    </row>
    <row r="1321" spans="1:6" x14ac:dyDescent="0.25">
      <c r="A1321">
        <v>20181022</v>
      </c>
      <c r="B1321" t="str">
        <f>"126508"</f>
        <v>126508</v>
      </c>
      <c r="C1321" t="s">
        <v>160</v>
      </c>
      <c r="D1321" s="3">
        <v>146.55000000000001</v>
      </c>
      <c r="E1321" t="s">
        <v>80</v>
      </c>
      <c r="F1321" t="s">
        <v>198</v>
      </c>
    </row>
    <row r="1322" spans="1:6" x14ac:dyDescent="0.25">
      <c r="A1322">
        <v>20181022</v>
      </c>
      <c r="B1322" t="str">
        <f>"126508"</f>
        <v>126508</v>
      </c>
      <c r="C1322" t="s">
        <v>160</v>
      </c>
      <c r="D1322" s="3">
        <v>43.75</v>
      </c>
      <c r="E1322" t="s">
        <v>75</v>
      </c>
      <c r="F1322" t="s">
        <v>198</v>
      </c>
    </row>
    <row r="1323" spans="1:6" x14ac:dyDescent="0.25">
      <c r="A1323">
        <v>20181022</v>
      </c>
      <c r="B1323" t="str">
        <f>"126508"</f>
        <v>126508</v>
      </c>
      <c r="C1323" t="s">
        <v>160</v>
      </c>
      <c r="D1323" s="3">
        <v>43.75</v>
      </c>
      <c r="E1323" t="s">
        <v>75</v>
      </c>
      <c r="F1323" t="s">
        <v>198</v>
      </c>
    </row>
    <row r="1324" spans="1:6" x14ac:dyDescent="0.25">
      <c r="A1324">
        <v>20181022</v>
      </c>
      <c r="B1324" t="str">
        <f>"126508"</f>
        <v>126508</v>
      </c>
      <c r="C1324" t="s">
        <v>160</v>
      </c>
      <c r="D1324" s="3">
        <v>43.75</v>
      </c>
      <c r="E1324" t="s">
        <v>75</v>
      </c>
      <c r="F1324" t="s">
        <v>198</v>
      </c>
    </row>
    <row r="1325" spans="1:6" x14ac:dyDescent="0.25">
      <c r="A1325">
        <v>20181022</v>
      </c>
      <c r="B1325" t="str">
        <f>"126508"</f>
        <v>126508</v>
      </c>
      <c r="C1325" t="s">
        <v>160</v>
      </c>
      <c r="D1325" s="3">
        <v>99</v>
      </c>
      <c r="E1325" t="s">
        <v>75</v>
      </c>
      <c r="F1325" t="s">
        <v>198</v>
      </c>
    </row>
    <row r="1326" spans="1:6" x14ac:dyDescent="0.25">
      <c r="A1326">
        <v>20181022</v>
      </c>
      <c r="B1326" t="str">
        <f>"126508"</f>
        <v>126508</v>
      </c>
      <c r="C1326" t="s">
        <v>160</v>
      </c>
      <c r="D1326" s="3">
        <v>99</v>
      </c>
      <c r="E1326" t="s">
        <v>75</v>
      </c>
      <c r="F1326" t="s">
        <v>198</v>
      </c>
    </row>
    <row r="1327" spans="1:6" x14ac:dyDescent="0.25">
      <c r="A1327">
        <v>20181022</v>
      </c>
      <c r="B1327" t="str">
        <f>"126508"</f>
        <v>126508</v>
      </c>
      <c r="C1327" t="s">
        <v>160</v>
      </c>
      <c r="D1327" s="3">
        <v>43.75</v>
      </c>
      <c r="E1327" t="s">
        <v>75</v>
      </c>
      <c r="F1327" t="s">
        <v>198</v>
      </c>
    </row>
    <row r="1328" spans="1:6" x14ac:dyDescent="0.25">
      <c r="A1328">
        <v>20181022</v>
      </c>
      <c r="B1328" t="str">
        <f>"126508"</f>
        <v>126508</v>
      </c>
      <c r="C1328" t="s">
        <v>160</v>
      </c>
      <c r="D1328" s="3">
        <v>54.95</v>
      </c>
      <c r="E1328" t="s">
        <v>28</v>
      </c>
      <c r="F1328" t="s">
        <v>192</v>
      </c>
    </row>
    <row r="1329" spans="1:6" x14ac:dyDescent="0.25">
      <c r="A1329">
        <v>20181022</v>
      </c>
      <c r="B1329" t="str">
        <f>"126508"</f>
        <v>126508</v>
      </c>
      <c r="C1329" t="s">
        <v>160</v>
      </c>
      <c r="D1329" s="3">
        <v>4400</v>
      </c>
      <c r="E1329" t="s">
        <v>771</v>
      </c>
      <c r="F1329" t="s">
        <v>192</v>
      </c>
    </row>
    <row r="1330" spans="1:6" x14ac:dyDescent="0.25">
      <c r="A1330">
        <v>20181022</v>
      </c>
      <c r="B1330" t="str">
        <f>"126508"</f>
        <v>126508</v>
      </c>
      <c r="C1330" t="s">
        <v>160</v>
      </c>
      <c r="D1330" s="3">
        <v>97.75</v>
      </c>
      <c r="E1330" t="s">
        <v>771</v>
      </c>
      <c r="F1330" t="s">
        <v>192</v>
      </c>
    </row>
    <row r="1331" spans="1:6" x14ac:dyDescent="0.25">
      <c r="A1331">
        <v>20181022</v>
      </c>
      <c r="B1331" t="str">
        <f>"126508"</f>
        <v>126508</v>
      </c>
      <c r="C1331" t="s">
        <v>160</v>
      </c>
      <c r="D1331" s="3">
        <v>397.06</v>
      </c>
      <c r="E1331" t="s">
        <v>771</v>
      </c>
      <c r="F1331" t="s">
        <v>192</v>
      </c>
    </row>
    <row r="1332" spans="1:6" x14ac:dyDescent="0.25">
      <c r="A1332">
        <v>20181022</v>
      </c>
      <c r="B1332" t="str">
        <f>"126508"</f>
        <v>126508</v>
      </c>
      <c r="C1332" t="s">
        <v>160</v>
      </c>
      <c r="D1332" s="3">
        <v>39.99</v>
      </c>
      <c r="E1332" t="s">
        <v>770</v>
      </c>
      <c r="F1332" t="s">
        <v>192</v>
      </c>
    </row>
    <row r="1333" spans="1:6" x14ac:dyDescent="0.25">
      <c r="A1333">
        <v>20181022</v>
      </c>
      <c r="B1333" t="str">
        <f>"126508"</f>
        <v>126508</v>
      </c>
      <c r="C1333" t="s">
        <v>160</v>
      </c>
      <c r="D1333" s="3">
        <v>75.55</v>
      </c>
      <c r="E1333" t="s">
        <v>769</v>
      </c>
      <c r="F1333" t="s">
        <v>192</v>
      </c>
    </row>
    <row r="1334" spans="1:6" x14ac:dyDescent="0.25">
      <c r="A1334">
        <v>20181022</v>
      </c>
      <c r="B1334" t="str">
        <f>"126509"</f>
        <v>126509</v>
      </c>
      <c r="C1334" t="s">
        <v>160</v>
      </c>
      <c r="D1334" s="3">
        <v>703.33</v>
      </c>
      <c r="E1334" t="s">
        <v>267</v>
      </c>
      <c r="F1334" t="s">
        <v>192</v>
      </c>
    </row>
    <row r="1335" spans="1:6" x14ac:dyDescent="0.25">
      <c r="A1335">
        <v>20181022</v>
      </c>
      <c r="B1335" t="str">
        <f>"126509"</f>
        <v>126509</v>
      </c>
      <c r="C1335" t="s">
        <v>160</v>
      </c>
      <c r="D1335" s="3">
        <v>708.5</v>
      </c>
      <c r="E1335" t="s">
        <v>267</v>
      </c>
      <c r="F1335" t="s">
        <v>192</v>
      </c>
    </row>
    <row r="1336" spans="1:6" x14ac:dyDescent="0.25">
      <c r="A1336">
        <v>20181022</v>
      </c>
      <c r="B1336" t="str">
        <f>"126510"</f>
        <v>126510</v>
      </c>
      <c r="C1336" t="s">
        <v>166</v>
      </c>
      <c r="D1336" s="3">
        <v>683.3</v>
      </c>
      <c r="E1336" t="s">
        <v>787</v>
      </c>
      <c r="F1336" t="s">
        <v>192</v>
      </c>
    </row>
    <row r="1337" spans="1:6" x14ac:dyDescent="0.25">
      <c r="A1337">
        <v>20181022</v>
      </c>
      <c r="B1337" t="str">
        <f>"126510"</f>
        <v>126510</v>
      </c>
      <c r="C1337" t="s">
        <v>166</v>
      </c>
      <c r="D1337" s="3">
        <v>23</v>
      </c>
      <c r="E1337" t="s">
        <v>787</v>
      </c>
      <c r="F1337" t="s">
        <v>192</v>
      </c>
    </row>
    <row r="1338" spans="1:6" x14ac:dyDescent="0.25">
      <c r="A1338">
        <v>20181022</v>
      </c>
      <c r="B1338" t="str">
        <f>"126510"</f>
        <v>126510</v>
      </c>
      <c r="C1338" t="s">
        <v>166</v>
      </c>
      <c r="D1338" s="3">
        <v>1473.6</v>
      </c>
      <c r="E1338" t="s">
        <v>782</v>
      </c>
      <c r="F1338" t="s">
        <v>192</v>
      </c>
    </row>
    <row r="1339" spans="1:6" x14ac:dyDescent="0.25">
      <c r="A1339">
        <v>20181022</v>
      </c>
      <c r="B1339" t="str">
        <f>"126510"</f>
        <v>126510</v>
      </c>
      <c r="C1339" t="s">
        <v>166</v>
      </c>
      <c r="D1339" s="3">
        <v>95.5</v>
      </c>
      <c r="E1339" t="s">
        <v>782</v>
      </c>
      <c r="F1339" t="s">
        <v>192</v>
      </c>
    </row>
    <row r="1340" spans="1:6" x14ac:dyDescent="0.25">
      <c r="A1340">
        <v>20181022</v>
      </c>
      <c r="B1340" t="str">
        <f>"126510"</f>
        <v>126510</v>
      </c>
      <c r="C1340" t="s">
        <v>166</v>
      </c>
      <c r="D1340" s="3">
        <v>300.88</v>
      </c>
      <c r="E1340" t="s">
        <v>788</v>
      </c>
      <c r="F1340" t="s">
        <v>192</v>
      </c>
    </row>
    <row r="1341" spans="1:6" x14ac:dyDescent="0.25">
      <c r="A1341">
        <v>20181022</v>
      </c>
      <c r="B1341" t="str">
        <f>"126510"</f>
        <v>126510</v>
      </c>
      <c r="C1341" t="s">
        <v>166</v>
      </c>
      <c r="D1341" s="3">
        <v>774.71</v>
      </c>
      <c r="E1341" t="s">
        <v>137</v>
      </c>
      <c r="F1341" t="s">
        <v>192</v>
      </c>
    </row>
    <row r="1342" spans="1:6" x14ac:dyDescent="0.25">
      <c r="A1342">
        <v>20181022</v>
      </c>
      <c r="B1342" t="str">
        <f>"126510"</f>
        <v>126510</v>
      </c>
      <c r="C1342" t="s">
        <v>166</v>
      </c>
      <c r="D1342" s="3">
        <v>64.989999999999995</v>
      </c>
      <c r="E1342" t="s">
        <v>137</v>
      </c>
      <c r="F1342" t="s">
        <v>192</v>
      </c>
    </row>
    <row r="1343" spans="1:6" x14ac:dyDescent="0.25">
      <c r="A1343">
        <v>20181022</v>
      </c>
      <c r="B1343" t="str">
        <f>"126510"</f>
        <v>126510</v>
      </c>
      <c r="C1343" t="s">
        <v>166</v>
      </c>
      <c r="D1343" s="3">
        <v>259.93</v>
      </c>
      <c r="E1343" t="s">
        <v>137</v>
      </c>
      <c r="F1343" t="s">
        <v>192</v>
      </c>
    </row>
    <row r="1344" spans="1:6" x14ac:dyDescent="0.25">
      <c r="A1344">
        <v>20181022</v>
      </c>
      <c r="B1344" t="str">
        <f>"126510"</f>
        <v>126510</v>
      </c>
      <c r="C1344" t="s">
        <v>166</v>
      </c>
      <c r="D1344" s="3">
        <v>32.93</v>
      </c>
      <c r="E1344" t="s">
        <v>692</v>
      </c>
      <c r="F1344" t="s">
        <v>307</v>
      </c>
    </row>
    <row r="1345" spans="1:6" x14ac:dyDescent="0.25">
      <c r="A1345">
        <v>20181022</v>
      </c>
      <c r="B1345" t="str">
        <f>"126510"</f>
        <v>126510</v>
      </c>
      <c r="C1345" t="s">
        <v>166</v>
      </c>
      <c r="D1345" s="3">
        <v>173.13</v>
      </c>
      <c r="E1345" t="s">
        <v>692</v>
      </c>
      <c r="F1345" t="s">
        <v>307</v>
      </c>
    </row>
    <row r="1346" spans="1:6" x14ac:dyDescent="0.25">
      <c r="A1346">
        <v>20181022</v>
      </c>
      <c r="B1346" t="str">
        <f>"126510"</f>
        <v>126510</v>
      </c>
      <c r="C1346" t="s">
        <v>166</v>
      </c>
      <c r="D1346" s="3">
        <v>6.11</v>
      </c>
      <c r="E1346" t="s">
        <v>783</v>
      </c>
      <c r="F1346" t="s">
        <v>192</v>
      </c>
    </row>
    <row r="1347" spans="1:6" x14ac:dyDescent="0.25">
      <c r="A1347">
        <v>20181022</v>
      </c>
      <c r="B1347" t="str">
        <f>"126510"</f>
        <v>126510</v>
      </c>
      <c r="C1347" t="s">
        <v>166</v>
      </c>
      <c r="D1347" s="3">
        <v>102.97</v>
      </c>
      <c r="E1347" t="s">
        <v>783</v>
      </c>
      <c r="F1347" t="s">
        <v>192</v>
      </c>
    </row>
    <row r="1348" spans="1:6" x14ac:dyDescent="0.25">
      <c r="A1348">
        <v>20181022</v>
      </c>
      <c r="B1348" t="str">
        <f>"126510"</f>
        <v>126510</v>
      </c>
      <c r="C1348" t="s">
        <v>166</v>
      </c>
      <c r="D1348" s="3">
        <v>521.82000000000005</v>
      </c>
      <c r="E1348" t="s">
        <v>784</v>
      </c>
      <c r="F1348" t="s">
        <v>192</v>
      </c>
    </row>
    <row r="1349" spans="1:6" x14ac:dyDescent="0.25">
      <c r="A1349">
        <v>20181022</v>
      </c>
      <c r="B1349" t="str">
        <f>"126510"</f>
        <v>126510</v>
      </c>
      <c r="C1349" t="s">
        <v>166</v>
      </c>
      <c r="D1349" s="3">
        <v>225.7</v>
      </c>
      <c r="E1349" t="s">
        <v>786</v>
      </c>
      <c r="F1349" t="s">
        <v>192</v>
      </c>
    </row>
    <row r="1350" spans="1:6" x14ac:dyDescent="0.25">
      <c r="A1350">
        <v>20181022</v>
      </c>
      <c r="B1350" t="str">
        <f>"126510"</f>
        <v>126510</v>
      </c>
      <c r="C1350" t="s">
        <v>166</v>
      </c>
      <c r="D1350" s="3">
        <v>144.38</v>
      </c>
      <c r="E1350" t="s">
        <v>450</v>
      </c>
      <c r="F1350" t="s">
        <v>307</v>
      </c>
    </row>
    <row r="1351" spans="1:6" x14ac:dyDescent="0.25">
      <c r="A1351">
        <v>20181022</v>
      </c>
      <c r="B1351" t="str">
        <f>"126510"</f>
        <v>126510</v>
      </c>
      <c r="C1351" t="s">
        <v>166</v>
      </c>
      <c r="D1351" s="3">
        <v>58.89</v>
      </c>
      <c r="E1351" t="s">
        <v>114</v>
      </c>
      <c r="F1351" t="s">
        <v>192</v>
      </c>
    </row>
    <row r="1352" spans="1:6" x14ac:dyDescent="0.25">
      <c r="A1352">
        <v>20181022</v>
      </c>
      <c r="B1352" t="str">
        <f>"126510"</f>
        <v>126510</v>
      </c>
      <c r="C1352" t="s">
        <v>166</v>
      </c>
      <c r="D1352" s="3">
        <v>134.94999999999999</v>
      </c>
      <c r="E1352" t="s">
        <v>780</v>
      </c>
      <c r="F1352" t="s">
        <v>192</v>
      </c>
    </row>
    <row r="1353" spans="1:6" x14ac:dyDescent="0.25">
      <c r="A1353">
        <v>20181022</v>
      </c>
      <c r="B1353" t="str">
        <f>"126510"</f>
        <v>126510</v>
      </c>
      <c r="C1353" t="s">
        <v>166</v>
      </c>
      <c r="D1353" s="3">
        <v>94.2</v>
      </c>
      <c r="E1353" t="s">
        <v>789</v>
      </c>
      <c r="F1353" t="s">
        <v>192</v>
      </c>
    </row>
    <row r="1354" spans="1:6" x14ac:dyDescent="0.25">
      <c r="A1354">
        <v>20181022</v>
      </c>
      <c r="B1354" t="str">
        <f>"126510"</f>
        <v>126510</v>
      </c>
      <c r="C1354" t="s">
        <v>166</v>
      </c>
      <c r="D1354" s="3">
        <v>20.02</v>
      </c>
      <c r="E1354" t="s">
        <v>267</v>
      </c>
      <c r="F1354" t="s">
        <v>192</v>
      </c>
    </row>
    <row r="1355" spans="1:6" x14ac:dyDescent="0.25">
      <c r="A1355">
        <v>20181022</v>
      </c>
      <c r="B1355" t="str">
        <f>"126510"</f>
        <v>126510</v>
      </c>
      <c r="C1355" t="s">
        <v>166</v>
      </c>
      <c r="D1355" s="3">
        <v>50.03</v>
      </c>
      <c r="E1355" t="s">
        <v>267</v>
      </c>
      <c r="F1355" t="s">
        <v>192</v>
      </c>
    </row>
    <row r="1356" spans="1:6" x14ac:dyDescent="0.25">
      <c r="A1356">
        <v>20181022</v>
      </c>
      <c r="B1356" t="str">
        <f>"126510"</f>
        <v>126510</v>
      </c>
      <c r="C1356" t="s">
        <v>166</v>
      </c>
      <c r="D1356" s="3">
        <v>21.88</v>
      </c>
      <c r="E1356" t="s">
        <v>28</v>
      </c>
      <c r="F1356" t="s">
        <v>307</v>
      </c>
    </row>
    <row r="1357" spans="1:6" x14ac:dyDescent="0.25">
      <c r="A1357">
        <v>20181022</v>
      </c>
      <c r="B1357" t="str">
        <f>"126510"</f>
        <v>126510</v>
      </c>
      <c r="C1357" t="s">
        <v>166</v>
      </c>
      <c r="D1357" s="3">
        <v>145.6</v>
      </c>
      <c r="E1357" t="s">
        <v>28</v>
      </c>
      <c r="F1357" t="s">
        <v>307</v>
      </c>
    </row>
    <row r="1358" spans="1:6" x14ac:dyDescent="0.25">
      <c r="A1358">
        <v>20181022</v>
      </c>
      <c r="B1358" t="str">
        <f>"126510"</f>
        <v>126510</v>
      </c>
      <c r="C1358" t="s">
        <v>166</v>
      </c>
      <c r="D1358" s="3">
        <v>267</v>
      </c>
      <c r="E1358" t="s">
        <v>28</v>
      </c>
      <c r="F1358" t="s">
        <v>307</v>
      </c>
    </row>
    <row r="1359" spans="1:6" x14ac:dyDescent="0.25">
      <c r="A1359">
        <v>20181022</v>
      </c>
      <c r="B1359" t="str">
        <f>"126510"</f>
        <v>126510</v>
      </c>
      <c r="C1359" t="s">
        <v>166</v>
      </c>
      <c r="D1359" s="3">
        <v>131.88</v>
      </c>
      <c r="E1359" t="s">
        <v>28</v>
      </c>
      <c r="F1359" t="s">
        <v>192</v>
      </c>
    </row>
    <row r="1360" spans="1:6" x14ac:dyDescent="0.25">
      <c r="A1360">
        <v>20181022</v>
      </c>
      <c r="B1360" t="str">
        <f>"126510"</f>
        <v>126510</v>
      </c>
      <c r="C1360" t="s">
        <v>166</v>
      </c>
      <c r="D1360" s="3">
        <v>27.95</v>
      </c>
      <c r="E1360" t="s">
        <v>28</v>
      </c>
      <c r="F1360" t="s">
        <v>192</v>
      </c>
    </row>
    <row r="1361" spans="1:6" x14ac:dyDescent="0.25">
      <c r="A1361">
        <v>20181022</v>
      </c>
      <c r="B1361" t="str">
        <f>"126510"</f>
        <v>126510</v>
      </c>
      <c r="C1361" t="s">
        <v>166</v>
      </c>
      <c r="D1361" s="3">
        <v>30.74</v>
      </c>
      <c r="E1361" t="s">
        <v>28</v>
      </c>
      <c r="F1361" t="s">
        <v>192</v>
      </c>
    </row>
    <row r="1362" spans="1:6" x14ac:dyDescent="0.25">
      <c r="A1362">
        <v>20181022</v>
      </c>
      <c r="B1362" t="str">
        <f>"126510"</f>
        <v>126510</v>
      </c>
      <c r="C1362" t="s">
        <v>166</v>
      </c>
      <c r="D1362" s="3">
        <v>24.99</v>
      </c>
      <c r="E1362" t="s">
        <v>28</v>
      </c>
      <c r="F1362" t="s">
        <v>192</v>
      </c>
    </row>
    <row r="1363" spans="1:6" x14ac:dyDescent="0.25">
      <c r="A1363">
        <v>20181022</v>
      </c>
      <c r="B1363" t="str">
        <f>"126510"</f>
        <v>126510</v>
      </c>
      <c r="C1363" t="s">
        <v>166</v>
      </c>
      <c r="D1363" s="3">
        <v>49.99</v>
      </c>
      <c r="E1363" t="s">
        <v>28</v>
      </c>
      <c r="F1363" t="s">
        <v>192</v>
      </c>
    </row>
    <row r="1364" spans="1:6" x14ac:dyDescent="0.25">
      <c r="A1364">
        <v>20181022</v>
      </c>
      <c r="B1364" t="str">
        <f>"126510"</f>
        <v>126510</v>
      </c>
      <c r="C1364" t="s">
        <v>166</v>
      </c>
      <c r="D1364" s="3">
        <v>1057.6199999999999</v>
      </c>
      <c r="E1364" t="s">
        <v>28</v>
      </c>
      <c r="F1364" t="s">
        <v>192</v>
      </c>
    </row>
    <row r="1365" spans="1:6" x14ac:dyDescent="0.25">
      <c r="A1365">
        <v>20181022</v>
      </c>
      <c r="B1365" t="str">
        <f>"126510"</f>
        <v>126510</v>
      </c>
      <c r="C1365" t="s">
        <v>166</v>
      </c>
      <c r="D1365" s="3">
        <v>552.22</v>
      </c>
      <c r="E1365" t="s">
        <v>28</v>
      </c>
      <c r="F1365" t="s">
        <v>192</v>
      </c>
    </row>
    <row r="1366" spans="1:6" x14ac:dyDescent="0.25">
      <c r="A1366">
        <v>20181022</v>
      </c>
      <c r="B1366" t="str">
        <f>"126510"</f>
        <v>126510</v>
      </c>
      <c r="C1366" t="s">
        <v>166</v>
      </c>
      <c r="D1366" s="3">
        <v>89.96</v>
      </c>
      <c r="E1366" t="s">
        <v>778</v>
      </c>
      <c r="F1366" t="s">
        <v>192</v>
      </c>
    </row>
    <row r="1367" spans="1:6" x14ac:dyDescent="0.25">
      <c r="A1367">
        <v>20181022</v>
      </c>
      <c r="B1367" t="str">
        <f>"126510"</f>
        <v>126510</v>
      </c>
      <c r="C1367" t="s">
        <v>166</v>
      </c>
      <c r="D1367" s="3">
        <v>43.26</v>
      </c>
      <c r="E1367" t="s">
        <v>785</v>
      </c>
      <c r="F1367" t="s">
        <v>192</v>
      </c>
    </row>
    <row r="1368" spans="1:6" x14ac:dyDescent="0.25">
      <c r="A1368">
        <v>20181022</v>
      </c>
      <c r="B1368" t="str">
        <f>"126510"</f>
        <v>126510</v>
      </c>
      <c r="C1368" t="s">
        <v>166</v>
      </c>
      <c r="D1368" s="3">
        <v>27.25</v>
      </c>
      <c r="E1368" t="s">
        <v>781</v>
      </c>
      <c r="F1368" t="s">
        <v>192</v>
      </c>
    </row>
    <row r="1369" spans="1:6" x14ac:dyDescent="0.25">
      <c r="A1369">
        <v>20181022</v>
      </c>
      <c r="B1369" t="str">
        <f>"126510"</f>
        <v>126510</v>
      </c>
      <c r="C1369" t="s">
        <v>166</v>
      </c>
      <c r="D1369" s="3">
        <v>6.4</v>
      </c>
      <c r="E1369" t="s">
        <v>781</v>
      </c>
      <c r="F1369" t="s">
        <v>192</v>
      </c>
    </row>
    <row r="1370" spans="1:6" x14ac:dyDescent="0.25">
      <c r="A1370">
        <v>20181022</v>
      </c>
      <c r="B1370" t="str">
        <f>"126510"</f>
        <v>126510</v>
      </c>
      <c r="C1370" t="s">
        <v>166</v>
      </c>
      <c r="D1370" s="3">
        <v>30.98</v>
      </c>
      <c r="E1370" t="s">
        <v>781</v>
      </c>
      <c r="F1370" t="s">
        <v>192</v>
      </c>
    </row>
    <row r="1371" spans="1:6" x14ac:dyDescent="0.25">
      <c r="A1371">
        <v>20181022</v>
      </c>
      <c r="B1371" t="str">
        <f>"126510"</f>
        <v>126510</v>
      </c>
      <c r="C1371" t="s">
        <v>166</v>
      </c>
      <c r="D1371" s="3">
        <v>117</v>
      </c>
      <c r="E1371" t="s">
        <v>781</v>
      </c>
      <c r="F1371" t="s">
        <v>192</v>
      </c>
    </row>
    <row r="1372" spans="1:6" x14ac:dyDescent="0.25">
      <c r="A1372">
        <v>20181022</v>
      </c>
      <c r="B1372" t="str">
        <f>"126510"</f>
        <v>126510</v>
      </c>
      <c r="C1372" t="s">
        <v>166</v>
      </c>
      <c r="D1372" s="3">
        <v>508.18</v>
      </c>
      <c r="E1372" t="s">
        <v>781</v>
      </c>
      <c r="F1372" t="s">
        <v>192</v>
      </c>
    </row>
    <row r="1373" spans="1:6" x14ac:dyDescent="0.25">
      <c r="A1373">
        <v>20181022</v>
      </c>
      <c r="B1373" t="str">
        <f>"126510"</f>
        <v>126510</v>
      </c>
      <c r="C1373" t="s">
        <v>166</v>
      </c>
      <c r="D1373" s="3">
        <v>299.99</v>
      </c>
      <c r="E1373" t="s">
        <v>779</v>
      </c>
      <c r="F1373" t="s">
        <v>192</v>
      </c>
    </row>
    <row r="1374" spans="1:6" x14ac:dyDescent="0.25">
      <c r="A1374">
        <v>20181022</v>
      </c>
      <c r="B1374" t="str">
        <f>"126511"</f>
        <v>126511</v>
      </c>
      <c r="C1374" t="s">
        <v>350</v>
      </c>
      <c r="D1374" s="3">
        <v>-33</v>
      </c>
      <c r="E1374" t="s">
        <v>793</v>
      </c>
      <c r="F1374" t="s">
        <v>192</v>
      </c>
    </row>
    <row r="1375" spans="1:6" x14ac:dyDescent="0.25">
      <c r="A1375">
        <v>20181022</v>
      </c>
      <c r="B1375" t="str">
        <f>"126511"</f>
        <v>126511</v>
      </c>
      <c r="C1375" t="s">
        <v>350</v>
      </c>
      <c r="D1375" s="3">
        <v>50.96</v>
      </c>
      <c r="E1375" t="s">
        <v>791</v>
      </c>
      <c r="F1375" t="s">
        <v>192</v>
      </c>
    </row>
    <row r="1376" spans="1:6" x14ac:dyDescent="0.25">
      <c r="A1376">
        <v>20181022</v>
      </c>
      <c r="B1376" t="str">
        <f>"126511"</f>
        <v>126511</v>
      </c>
      <c r="C1376" t="s">
        <v>350</v>
      </c>
      <c r="D1376" s="3">
        <v>36.700000000000003</v>
      </c>
      <c r="E1376" t="s">
        <v>791</v>
      </c>
      <c r="F1376" t="s">
        <v>192</v>
      </c>
    </row>
    <row r="1377" spans="1:6" x14ac:dyDescent="0.25">
      <c r="A1377">
        <v>20181022</v>
      </c>
      <c r="B1377" t="str">
        <f>"126511"</f>
        <v>126511</v>
      </c>
      <c r="C1377" t="s">
        <v>350</v>
      </c>
      <c r="D1377" s="3">
        <v>345.95</v>
      </c>
      <c r="E1377" t="s">
        <v>792</v>
      </c>
      <c r="F1377" t="s">
        <v>192</v>
      </c>
    </row>
    <row r="1378" spans="1:6" x14ac:dyDescent="0.25">
      <c r="A1378">
        <v>20181022</v>
      </c>
      <c r="B1378" t="str">
        <f>"126511"</f>
        <v>126511</v>
      </c>
      <c r="C1378" t="s">
        <v>350</v>
      </c>
      <c r="D1378" s="3">
        <v>266.12</v>
      </c>
      <c r="E1378" t="s">
        <v>790</v>
      </c>
      <c r="F1378" t="s">
        <v>192</v>
      </c>
    </row>
    <row r="1379" spans="1:6" x14ac:dyDescent="0.25">
      <c r="A1379">
        <v>20181022</v>
      </c>
      <c r="B1379" t="str">
        <f>"126512"</f>
        <v>126512</v>
      </c>
      <c r="C1379" t="s">
        <v>702</v>
      </c>
      <c r="D1379" s="3">
        <v>1050</v>
      </c>
      <c r="E1379" t="s">
        <v>794</v>
      </c>
      <c r="F1379" t="s">
        <v>413</v>
      </c>
    </row>
    <row r="1380" spans="1:6" x14ac:dyDescent="0.25">
      <c r="A1380">
        <v>20181022</v>
      </c>
      <c r="B1380" t="str">
        <f>"126513"</f>
        <v>126513</v>
      </c>
      <c r="C1380" t="s">
        <v>795</v>
      </c>
      <c r="D1380" s="3">
        <v>110</v>
      </c>
      <c r="E1380" t="s">
        <v>796</v>
      </c>
      <c r="F1380" t="s">
        <v>192</v>
      </c>
    </row>
    <row r="1381" spans="1:6" x14ac:dyDescent="0.25">
      <c r="A1381">
        <v>20181022</v>
      </c>
      <c r="B1381" t="str">
        <f>"126514"</f>
        <v>126514</v>
      </c>
      <c r="C1381" t="s">
        <v>31</v>
      </c>
      <c r="D1381" s="3">
        <v>625</v>
      </c>
      <c r="E1381" t="s">
        <v>104</v>
      </c>
      <c r="F1381" t="s">
        <v>198</v>
      </c>
    </row>
    <row r="1382" spans="1:6" x14ac:dyDescent="0.25">
      <c r="A1382">
        <v>20181022</v>
      </c>
      <c r="B1382" t="str">
        <f>"126515"</f>
        <v>126515</v>
      </c>
      <c r="C1382" t="s">
        <v>31</v>
      </c>
      <c r="D1382" s="3">
        <v>625</v>
      </c>
      <c r="E1382" t="s">
        <v>104</v>
      </c>
      <c r="F1382" t="s">
        <v>198</v>
      </c>
    </row>
    <row r="1383" spans="1:6" x14ac:dyDescent="0.25">
      <c r="A1383">
        <v>20181022</v>
      </c>
      <c r="B1383" t="str">
        <f>"126516"</f>
        <v>126516</v>
      </c>
      <c r="C1383" t="s">
        <v>31</v>
      </c>
      <c r="D1383" s="3">
        <v>625</v>
      </c>
      <c r="E1383" t="s">
        <v>104</v>
      </c>
      <c r="F1383" t="s">
        <v>198</v>
      </c>
    </row>
    <row r="1384" spans="1:6" x14ac:dyDescent="0.25">
      <c r="A1384">
        <v>20181022</v>
      </c>
      <c r="B1384" t="str">
        <f>"126517"</f>
        <v>126517</v>
      </c>
      <c r="C1384" t="s">
        <v>31</v>
      </c>
      <c r="D1384" s="3">
        <v>625</v>
      </c>
      <c r="E1384" t="s">
        <v>104</v>
      </c>
      <c r="F1384" t="s">
        <v>198</v>
      </c>
    </row>
    <row r="1385" spans="1:6" x14ac:dyDescent="0.25">
      <c r="A1385">
        <v>20181022</v>
      </c>
      <c r="B1385" t="str">
        <f>"126518"</f>
        <v>126518</v>
      </c>
      <c r="C1385" t="s">
        <v>31</v>
      </c>
      <c r="D1385" s="3">
        <v>1000</v>
      </c>
      <c r="E1385" t="s">
        <v>104</v>
      </c>
      <c r="F1385" t="s">
        <v>198</v>
      </c>
    </row>
    <row r="1386" spans="1:6" x14ac:dyDescent="0.25">
      <c r="A1386">
        <v>20181022</v>
      </c>
      <c r="B1386" t="str">
        <f>"126519"</f>
        <v>126519</v>
      </c>
      <c r="C1386" t="s">
        <v>31</v>
      </c>
      <c r="D1386" s="3">
        <v>500</v>
      </c>
      <c r="E1386" t="s">
        <v>104</v>
      </c>
      <c r="F1386" t="s">
        <v>198</v>
      </c>
    </row>
    <row r="1387" spans="1:6" x14ac:dyDescent="0.25">
      <c r="A1387">
        <v>20181022</v>
      </c>
      <c r="B1387" t="str">
        <f>"126520"</f>
        <v>126520</v>
      </c>
      <c r="C1387" t="s">
        <v>31</v>
      </c>
      <c r="D1387" s="3">
        <v>500</v>
      </c>
      <c r="E1387" t="s">
        <v>104</v>
      </c>
      <c r="F1387" t="s">
        <v>198</v>
      </c>
    </row>
    <row r="1388" spans="1:6" x14ac:dyDescent="0.25">
      <c r="A1388">
        <v>20181022</v>
      </c>
      <c r="B1388" t="str">
        <f>"126521"</f>
        <v>126521</v>
      </c>
      <c r="C1388" t="s">
        <v>31</v>
      </c>
      <c r="D1388" s="3">
        <v>500</v>
      </c>
      <c r="E1388" t="s">
        <v>104</v>
      </c>
      <c r="F1388" t="s">
        <v>198</v>
      </c>
    </row>
    <row r="1389" spans="1:6" x14ac:dyDescent="0.25">
      <c r="A1389">
        <v>20181022</v>
      </c>
      <c r="B1389" t="str">
        <f>"126522"</f>
        <v>126522</v>
      </c>
      <c r="C1389" t="s">
        <v>31</v>
      </c>
      <c r="D1389" s="3">
        <v>500</v>
      </c>
      <c r="E1389" t="s">
        <v>104</v>
      </c>
      <c r="F1389" t="s">
        <v>198</v>
      </c>
    </row>
    <row r="1390" spans="1:6" x14ac:dyDescent="0.25">
      <c r="A1390">
        <v>20181022</v>
      </c>
      <c r="B1390" t="str">
        <f>"126523"</f>
        <v>126523</v>
      </c>
      <c r="C1390" t="s">
        <v>31</v>
      </c>
      <c r="D1390" s="3">
        <v>500</v>
      </c>
      <c r="E1390" t="s">
        <v>104</v>
      </c>
      <c r="F1390" t="s">
        <v>198</v>
      </c>
    </row>
    <row r="1391" spans="1:6" x14ac:dyDescent="0.25">
      <c r="A1391">
        <v>20181022</v>
      </c>
      <c r="B1391" t="str">
        <f>"126524"</f>
        <v>126524</v>
      </c>
      <c r="C1391" t="s">
        <v>31</v>
      </c>
      <c r="D1391" s="3">
        <v>500</v>
      </c>
      <c r="E1391" t="s">
        <v>104</v>
      </c>
      <c r="F1391" t="s">
        <v>198</v>
      </c>
    </row>
    <row r="1392" spans="1:6" x14ac:dyDescent="0.25">
      <c r="A1392">
        <v>20181022</v>
      </c>
      <c r="B1392" t="str">
        <f>"126525"</f>
        <v>126525</v>
      </c>
      <c r="C1392" t="s">
        <v>31</v>
      </c>
      <c r="D1392" s="3">
        <v>500</v>
      </c>
      <c r="E1392" t="s">
        <v>104</v>
      </c>
      <c r="F1392" t="s">
        <v>198</v>
      </c>
    </row>
    <row r="1393" spans="1:6" x14ac:dyDescent="0.25">
      <c r="A1393">
        <v>20181022</v>
      </c>
      <c r="B1393" t="str">
        <f>"126526"</f>
        <v>126526</v>
      </c>
      <c r="C1393" t="s">
        <v>31</v>
      </c>
      <c r="D1393" s="3">
        <v>500</v>
      </c>
      <c r="E1393" t="s">
        <v>104</v>
      </c>
      <c r="F1393" t="s">
        <v>198</v>
      </c>
    </row>
    <row r="1394" spans="1:6" x14ac:dyDescent="0.25">
      <c r="A1394">
        <v>20181022</v>
      </c>
      <c r="B1394" t="str">
        <f>"126527"</f>
        <v>126527</v>
      </c>
      <c r="C1394" t="s">
        <v>31</v>
      </c>
      <c r="D1394" s="3">
        <v>500</v>
      </c>
      <c r="E1394" t="s">
        <v>104</v>
      </c>
      <c r="F1394" t="s">
        <v>198</v>
      </c>
    </row>
    <row r="1395" spans="1:6" x14ac:dyDescent="0.25">
      <c r="A1395">
        <v>20181022</v>
      </c>
      <c r="B1395" t="str">
        <f>"126528"</f>
        <v>126528</v>
      </c>
      <c r="C1395" t="s">
        <v>31</v>
      </c>
      <c r="D1395" s="3">
        <v>500</v>
      </c>
      <c r="E1395" t="s">
        <v>104</v>
      </c>
      <c r="F1395" t="s">
        <v>198</v>
      </c>
    </row>
    <row r="1396" spans="1:6" x14ac:dyDescent="0.25">
      <c r="A1396">
        <v>20181022</v>
      </c>
      <c r="B1396" t="str">
        <f>"126529"</f>
        <v>126529</v>
      </c>
      <c r="C1396" t="s">
        <v>31</v>
      </c>
      <c r="D1396" s="3">
        <v>500</v>
      </c>
      <c r="E1396" t="s">
        <v>104</v>
      </c>
      <c r="F1396" t="s">
        <v>198</v>
      </c>
    </row>
    <row r="1397" spans="1:6" x14ac:dyDescent="0.25">
      <c r="A1397">
        <v>20181022</v>
      </c>
      <c r="B1397" t="str">
        <f>"126530"</f>
        <v>126530</v>
      </c>
      <c r="C1397" t="s">
        <v>31</v>
      </c>
      <c r="D1397" s="3">
        <v>500</v>
      </c>
      <c r="E1397" t="s">
        <v>104</v>
      </c>
      <c r="F1397" t="s">
        <v>198</v>
      </c>
    </row>
    <row r="1398" spans="1:6" x14ac:dyDescent="0.25">
      <c r="A1398">
        <v>20181022</v>
      </c>
      <c r="B1398" t="str">
        <f>"126531"</f>
        <v>126531</v>
      </c>
      <c r="C1398" t="s">
        <v>31</v>
      </c>
      <c r="D1398" s="3">
        <v>500</v>
      </c>
      <c r="E1398" t="s">
        <v>104</v>
      </c>
      <c r="F1398" t="s">
        <v>198</v>
      </c>
    </row>
    <row r="1399" spans="1:6" x14ac:dyDescent="0.25">
      <c r="A1399">
        <v>20181022</v>
      </c>
      <c r="B1399" t="str">
        <f>"126532"</f>
        <v>126532</v>
      </c>
      <c r="C1399" t="s">
        <v>31</v>
      </c>
      <c r="D1399" s="3">
        <v>625</v>
      </c>
      <c r="E1399" t="s">
        <v>104</v>
      </c>
      <c r="F1399" t="s">
        <v>198</v>
      </c>
    </row>
    <row r="1400" spans="1:6" x14ac:dyDescent="0.25">
      <c r="A1400">
        <v>20181022</v>
      </c>
      <c r="B1400" t="str">
        <f>"126533"</f>
        <v>126533</v>
      </c>
      <c r="C1400" t="s">
        <v>31</v>
      </c>
      <c r="D1400" s="3">
        <v>625</v>
      </c>
      <c r="E1400" t="s">
        <v>104</v>
      </c>
      <c r="F1400" t="s">
        <v>198</v>
      </c>
    </row>
    <row r="1401" spans="1:6" x14ac:dyDescent="0.25">
      <c r="A1401">
        <v>20181022</v>
      </c>
      <c r="B1401" t="str">
        <f>"126534"</f>
        <v>126534</v>
      </c>
      <c r="C1401" t="s">
        <v>31</v>
      </c>
      <c r="D1401" s="3">
        <v>625</v>
      </c>
      <c r="E1401" t="s">
        <v>104</v>
      </c>
      <c r="F1401" t="s">
        <v>198</v>
      </c>
    </row>
    <row r="1402" spans="1:6" x14ac:dyDescent="0.25">
      <c r="A1402">
        <v>20181022</v>
      </c>
      <c r="B1402" t="str">
        <f>"126535"</f>
        <v>126535</v>
      </c>
      <c r="C1402" t="s">
        <v>31</v>
      </c>
      <c r="D1402" s="3">
        <v>625</v>
      </c>
      <c r="E1402" t="s">
        <v>104</v>
      </c>
      <c r="F1402" t="s">
        <v>198</v>
      </c>
    </row>
    <row r="1403" spans="1:6" x14ac:dyDescent="0.25">
      <c r="A1403">
        <v>20181022</v>
      </c>
      <c r="B1403" t="str">
        <f>"126536"</f>
        <v>126536</v>
      </c>
      <c r="C1403" t="s">
        <v>31</v>
      </c>
      <c r="D1403" s="3">
        <v>1000</v>
      </c>
      <c r="E1403" t="s">
        <v>104</v>
      </c>
      <c r="F1403" t="s">
        <v>198</v>
      </c>
    </row>
    <row r="1404" spans="1:6" x14ac:dyDescent="0.25">
      <c r="A1404">
        <v>20181022</v>
      </c>
      <c r="B1404" t="str">
        <f>"126537"</f>
        <v>126537</v>
      </c>
      <c r="C1404" t="s">
        <v>31</v>
      </c>
      <c r="D1404" s="3">
        <v>500</v>
      </c>
      <c r="E1404" t="s">
        <v>104</v>
      </c>
      <c r="F1404" t="s">
        <v>198</v>
      </c>
    </row>
    <row r="1405" spans="1:6" x14ac:dyDescent="0.25">
      <c r="A1405">
        <v>20181022</v>
      </c>
      <c r="B1405" t="str">
        <f>"126538"</f>
        <v>126538</v>
      </c>
      <c r="C1405" t="s">
        <v>31</v>
      </c>
      <c r="D1405" s="3">
        <v>500</v>
      </c>
      <c r="E1405" t="s">
        <v>104</v>
      </c>
      <c r="F1405" t="s">
        <v>198</v>
      </c>
    </row>
    <row r="1406" spans="1:6" x14ac:dyDescent="0.25">
      <c r="A1406">
        <v>20181022</v>
      </c>
      <c r="B1406" t="str">
        <f>"126539"</f>
        <v>126539</v>
      </c>
      <c r="C1406" t="s">
        <v>31</v>
      </c>
      <c r="D1406" s="3">
        <v>500</v>
      </c>
      <c r="E1406" t="s">
        <v>104</v>
      </c>
      <c r="F1406" t="s">
        <v>198</v>
      </c>
    </row>
    <row r="1407" spans="1:6" x14ac:dyDescent="0.25">
      <c r="A1407">
        <v>20181022</v>
      </c>
      <c r="B1407" t="str">
        <f>"126540"</f>
        <v>126540</v>
      </c>
      <c r="C1407" t="s">
        <v>31</v>
      </c>
      <c r="D1407" s="3">
        <v>500</v>
      </c>
      <c r="E1407" t="s">
        <v>104</v>
      </c>
      <c r="F1407" t="s">
        <v>198</v>
      </c>
    </row>
    <row r="1408" spans="1:6" x14ac:dyDescent="0.25">
      <c r="A1408">
        <v>20181022</v>
      </c>
      <c r="B1408" t="str">
        <f>"126541"</f>
        <v>126541</v>
      </c>
      <c r="C1408" t="s">
        <v>31</v>
      </c>
      <c r="D1408" s="3">
        <v>500</v>
      </c>
      <c r="E1408" t="s">
        <v>104</v>
      </c>
      <c r="F1408" t="s">
        <v>198</v>
      </c>
    </row>
    <row r="1409" spans="1:6" x14ac:dyDescent="0.25">
      <c r="A1409">
        <v>20181022</v>
      </c>
      <c r="B1409" t="str">
        <f>"126542"</f>
        <v>126542</v>
      </c>
      <c r="C1409" t="s">
        <v>31</v>
      </c>
      <c r="D1409" s="3">
        <v>500</v>
      </c>
      <c r="E1409" t="s">
        <v>104</v>
      </c>
      <c r="F1409" t="s">
        <v>198</v>
      </c>
    </row>
    <row r="1410" spans="1:6" x14ac:dyDescent="0.25">
      <c r="A1410">
        <v>20181022</v>
      </c>
      <c r="B1410" t="str">
        <f>"126543"</f>
        <v>126543</v>
      </c>
      <c r="C1410" t="s">
        <v>31</v>
      </c>
      <c r="D1410" s="3">
        <v>500</v>
      </c>
      <c r="E1410" t="s">
        <v>104</v>
      </c>
      <c r="F1410" t="s">
        <v>198</v>
      </c>
    </row>
    <row r="1411" spans="1:6" x14ac:dyDescent="0.25">
      <c r="A1411">
        <v>20181022</v>
      </c>
      <c r="B1411" t="str">
        <f>"126544"</f>
        <v>126544</v>
      </c>
      <c r="C1411" t="s">
        <v>31</v>
      </c>
      <c r="D1411" s="3">
        <v>500</v>
      </c>
      <c r="E1411" t="s">
        <v>104</v>
      </c>
      <c r="F1411" t="s">
        <v>198</v>
      </c>
    </row>
    <row r="1412" spans="1:6" x14ac:dyDescent="0.25">
      <c r="A1412">
        <v>20181022</v>
      </c>
      <c r="B1412" t="str">
        <f>"126545"</f>
        <v>126545</v>
      </c>
      <c r="C1412" t="s">
        <v>31</v>
      </c>
      <c r="D1412" s="3">
        <v>500</v>
      </c>
      <c r="E1412" t="s">
        <v>104</v>
      </c>
      <c r="F1412" t="s">
        <v>198</v>
      </c>
    </row>
    <row r="1413" spans="1:6" x14ac:dyDescent="0.25">
      <c r="A1413">
        <v>20181022</v>
      </c>
      <c r="B1413" t="str">
        <f>"126546"</f>
        <v>126546</v>
      </c>
      <c r="C1413" t="s">
        <v>31</v>
      </c>
      <c r="D1413" s="3">
        <v>500</v>
      </c>
      <c r="E1413" t="s">
        <v>104</v>
      </c>
      <c r="F1413" t="s">
        <v>198</v>
      </c>
    </row>
    <row r="1414" spans="1:6" x14ac:dyDescent="0.25">
      <c r="A1414">
        <v>20181022</v>
      </c>
      <c r="B1414" t="str">
        <f>"126547"</f>
        <v>126547</v>
      </c>
      <c r="C1414" t="s">
        <v>31</v>
      </c>
      <c r="D1414" s="3">
        <v>500</v>
      </c>
      <c r="E1414" t="s">
        <v>104</v>
      </c>
      <c r="F1414" t="s">
        <v>198</v>
      </c>
    </row>
    <row r="1415" spans="1:6" x14ac:dyDescent="0.25">
      <c r="A1415">
        <v>20181022</v>
      </c>
      <c r="B1415" t="str">
        <f>"126548"</f>
        <v>126548</v>
      </c>
      <c r="C1415" t="s">
        <v>31</v>
      </c>
      <c r="D1415" s="3">
        <v>500</v>
      </c>
      <c r="E1415" t="s">
        <v>104</v>
      </c>
      <c r="F1415" t="s">
        <v>198</v>
      </c>
    </row>
    <row r="1416" spans="1:6" x14ac:dyDescent="0.25">
      <c r="A1416">
        <v>20181022</v>
      </c>
      <c r="B1416" t="str">
        <f>"126549"</f>
        <v>126549</v>
      </c>
      <c r="C1416" t="s">
        <v>31</v>
      </c>
      <c r="D1416" s="3">
        <v>500</v>
      </c>
      <c r="E1416" t="s">
        <v>104</v>
      </c>
      <c r="F1416" t="s">
        <v>198</v>
      </c>
    </row>
    <row r="1417" spans="1:6" x14ac:dyDescent="0.25">
      <c r="A1417">
        <v>20181022</v>
      </c>
      <c r="B1417" t="str">
        <f>"126550"</f>
        <v>126550</v>
      </c>
      <c r="C1417" t="s">
        <v>797</v>
      </c>
      <c r="D1417" s="3">
        <v>585</v>
      </c>
      <c r="E1417" t="s">
        <v>589</v>
      </c>
      <c r="F1417" t="s">
        <v>192</v>
      </c>
    </row>
    <row r="1418" spans="1:6" x14ac:dyDescent="0.25">
      <c r="D1418" s="3">
        <f>SUM(D2:D1417)</f>
        <v>2095955.8999999987</v>
      </c>
    </row>
  </sheetData>
  <sortState ref="A2:F1417">
    <sortCondition ref="B2:B141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2018</vt:lpstr>
    </vt:vector>
  </TitlesOfParts>
  <Company>Aledo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2019-06-11T19:35:31Z</dcterms:created>
  <dcterms:modified xsi:type="dcterms:W3CDTF">2019-06-11T19:40:00Z</dcterms:modified>
</cp:coreProperties>
</file>