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Share\Finance\Finance Shared\FY24-25\Budget\Web Postings\"/>
    </mc:Choice>
  </mc:AlternateContent>
  <xr:revisionPtr revIDLastSave="0" documentId="13_ncr:1_{689D8E00-9DA9-479F-8C18-354E281CEB91}" xr6:coauthVersionLast="47" xr6:coauthVersionMax="47" xr10:uidLastSave="{00000000-0000-0000-0000-000000000000}"/>
  <bookViews>
    <workbookView xWindow="-120" yWindow="-120" windowWidth="29040" windowHeight="15840" tabRatio="598" firstSheet="1" activeTab="1" xr2:uid="{00000000-000D-0000-FFFF-FFFF00000000}"/>
  </bookViews>
  <sheets>
    <sheet name="Revised 15-16" sheetId="39" state="hidden" r:id="rId1"/>
    <sheet name="Combined 24-25" sheetId="17" r:id="rId2"/>
    <sheet name="General Fund Summary" sheetId="31" r:id="rId3"/>
    <sheet name="General Fund Expenditures" sheetId="32" r:id="rId4"/>
    <sheet name=" CN Summary Board" sheetId="36" r:id="rId5"/>
    <sheet name=" Prop DS " sheetId="21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4">' CN Summary Board'!$A$1:$T$60</definedName>
    <definedName name="_xlnm.Print_Area" localSheetId="5">' Prop DS '!$A$1:$Z$58</definedName>
    <definedName name="_xlnm.Print_Area" localSheetId="1">'Combined 24-25'!$A$1:$J$57</definedName>
    <definedName name="_xlnm.Print_Area" localSheetId="3">'General Fund Expenditures'!$A$1:$Z$183</definedName>
    <definedName name="_xlnm.Print_Area" localSheetId="2">'General Fund Summary'!$A$1:$Z$63</definedName>
    <definedName name="_xlnm.Print_Area" localSheetId="0">'Revised 15-16'!$A$1:$J$58</definedName>
    <definedName name="_xlnm.Print_Titles" localSheetId="3">'General Fund Expenditures'!$1:$8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7" l="1"/>
  <c r="Z108" i="32"/>
  <c r="V99" i="32"/>
  <c r="V97" i="32"/>
  <c r="V112" i="32"/>
  <c r="V30" i="31" l="1"/>
  <c r="V26" i="31"/>
  <c r="V24" i="31"/>
  <c r="V21" i="31"/>
  <c r="V20" i="31"/>
  <c r="V12" i="32" l="1"/>
  <c r="V17" i="32" s="1"/>
  <c r="V153" i="32"/>
  <c r="V149" i="32"/>
  <c r="V145" i="32"/>
  <c r="V141" i="32"/>
  <c r="V137" i="32"/>
  <c r="V133" i="32"/>
  <c r="V125" i="32"/>
  <c r="V117" i="32"/>
  <c r="V105" i="32"/>
  <c r="V109" i="32" s="1"/>
  <c r="V101" i="32"/>
  <c r="V91" i="32"/>
  <c r="V90" i="32"/>
  <c r="V89" i="32"/>
  <c r="V88" i="32"/>
  <c r="V93" i="32" s="1"/>
  <c r="V85" i="32"/>
  <c r="V81" i="32"/>
  <c r="V73" i="32"/>
  <c r="V65" i="32"/>
  <c r="V57" i="32"/>
  <c r="V49" i="32"/>
  <c r="V41" i="32"/>
  <c r="V33" i="32"/>
  <c r="V24" i="32"/>
  <c r="V25" i="32" s="1"/>
  <c r="V44" i="31"/>
  <c r="V45" i="31" s="1"/>
  <c r="V40" i="31"/>
  <c r="V33" i="31"/>
  <c r="V27" i="31"/>
  <c r="N45" i="36"/>
  <c r="N42" i="36"/>
  <c r="N35" i="36"/>
  <c r="N24" i="36"/>
  <c r="N17" i="36"/>
  <c r="N10" i="36"/>
  <c r="N13" i="36" s="1"/>
  <c r="V57" i="31"/>
  <c r="T168" i="32"/>
  <c r="T167" i="32"/>
  <c r="T166" i="32"/>
  <c r="T153" i="32"/>
  <c r="T149" i="32"/>
  <c r="T145" i="32"/>
  <c r="T141" i="32"/>
  <c r="T137" i="32"/>
  <c r="T133" i="32"/>
  <c r="T121" i="32"/>
  <c r="T125" i="32" s="1"/>
  <c r="T112" i="32"/>
  <c r="T117" i="32" s="1"/>
  <c r="T105" i="32"/>
  <c r="T109" i="32" s="1"/>
  <c r="T101" i="32"/>
  <c r="T91" i="32"/>
  <c r="T165" i="32" s="1"/>
  <c r="T90" i="32"/>
  <c r="T164" i="32" s="1"/>
  <c r="T89" i="32"/>
  <c r="T88" i="32"/>
  <c r="T162" i="32" s="1"/>
  <c r="T85" i="32"/>
  <c r="T81" i="32"/>
  <c r="T73" i="32"/>
  <c r="T65" i="32"/>
  <c r="T57" i="32"/>
  <c r="T49" i="32"/>
  <c r="T41" i="32"/>
  <c r="T33" i="32"/>
  <c r="T21" i="32"/>
  <c r="T25" i="32" s="1"/>
  <c r="T17" i="32"/>
  <c r="V56" i="21"/>
  <c r="P10" i="36"/>
  <c r="V47" i="21"/>
  <c r="T44" i="31"/>
  <c r="T31" i="31"/>
  <c r="T30" i="31"/>
  <c r="P30" i="31"/>
  <c r="P31" i="31"/>
  <c r="R153" i="32"/>
  <c r="R149" i="32"/>
  <c r="R145" i="32"/>
  <c r="R141" i="32"/>
  <c r="R137" i="32"/>
  <c r="R133" i="32"/>
  <c r="R125" i="32"/>
  <c r="R117" i="32"/>
  <c r="R112" i="32"/>
  <c r="R105" i="32"/>
  <c r="R109" i="32" s="1"/>
  <c r="R97" i="32"/>
  <c r="R101" i="32" s="1"/>
  <c r="R91" i="32"/>
  <c r="R90" i="32"/>
  <c r="R89" i="32"/>
  <c r="R88" i="32"/>
  <c r="R93" i="32" s="1"/>
  <c r="R85" i="32"/>
  <c r="R81" i="32"/>
  <c r="R73" i="32"/>
  <c r="R65" i="32"/>
  <c r="R52" i="32"/>
  <c r="R57" i="32" s="1"/>
  <c r="R44" i="32"/>
  <c r="R49" i="32" s="1"/>
  <c r="R41" i="32"/>
  <c r="R31" i="32"/>
  <c r="R33" i="32" s="1"/>
  <c r="R24" i="32"/>
  <c r="R23" i="32"/>
  <c r="R25" i="32" s="1"/>
  <c r="R22" i="32"/>
  <c r="R21" i="32"/>
  <c r="R20" i="32"/>
  <c r="R12" i="32"/>
  <c r="R17" i="32" s="1"/>
  <c r="P112" i="32"/>
  <c r="P105" i="32"/>
  <c r="P91" i="32"/>
  <c r="P90" i="32"/>
  <c r="P89" i="32"/>
  <c r="P88" i="32"/>
  <c r="P31" i="32"/>
  <c r="P20" i="32"/>
  <c r="P21" i="32"/>
  <c r="P22" i="32"/>
  <c r="P23" i="32"/>
  <c r="P162" i="32"/>
  <c r="P14" i="32"/>
  <c r="R27" i="31"/>
  <c r="R45" i="31"/>
  <c r="R40" i="31"/>
  <c r="R33" i="31"/>
  <c r="R50" i="31" s="1"/>
  <c r="R31" i="31"/>
  <c r="R30" i="31"/>
  <c r="R24" i="31"/>
  <c r="R21" i="31"/>
  <c r="R15" i="31"/>
  <c r="P33" i="31"/>
  <c r="P50" i="31" s="1"/>
  <c r="P55" i="31" s="1"/>
  <c r="P26" i="31"/>
  <c r="R7" i="21"/>
  <c r="T10" i="21"/>
  <c r="T9" i="21"/>
  <c r="R10" i="21"/>
  <c r="R9" i="21"/>
  <c r="P10" i="21"/>
  <c r="P9" i="21"/>
  <c r="P24" i="31"/>
  <c r="P16" i="31"/>
  <c r="P21" i="31"/>
  <c r="P49" i="21"/>
  <c r="P31" i="21"/>
  <c r="P14" i="21"/>
  <c r="N51" i="36"/>
  <c r="L53" i="36"/>
  <c r="L51" i="36"/>
  <c r="L10" i="36"/>
  <c r="T163" i="32" l="1"/>
  <c r="T93" i="32"/>
  <c r="T157" i="32" s="1"/>
  <c r="J47" i="36"/>
  <c r="J10" i="36"/>
  <c r="X25" i="31" l="1"/>
  <c r="Z25" i="31" s="1"/>
  <c r="P109" i="32" l="1"/>
  <c r="V37" i="21" l="1"/>
  <c r="L24" i="36" l="1"/>
  <c r="J24" i="36"/>
  <c r="H10" i="17" l="1"/>
  <c r="H9" i="17"/>
  <c r="D10" i="17"/>
  <c r="D9" i="17"/>
  <c r="D8" i="17"/>
  <c r="T27" i="31"/>
  <c r="D30" i="17" l="1"/>
  <c r="Y85" i="32"/>
  <c r="W85" i="32"/>
  <c r="U85" i="32"/>
  <c r="S85" i="32"/>
  <c r="P85" i="32"/>
  <c r="X84" i="32"/>
  <c r="Z84" i="32" s="1"/>
  <c r="X85" i="32" l="1"/>
  <c r="Z85" i="32" s="1"/>
  <c r="H7" i="17" l="1"/>
  <c r="D7" i="17"/>
  <c r="X144" i="32" l="1"/>
  <c r="D39" i="17" l="1"/>
  <c r="J42" i="36" l="1"/>
  <c r="P27" i="31"/>
  <c r="X48" i="31" l="1"/>
  <c r="Z48" i="31" s="1"/>
  <c r="V19" i="21" l="1"/>
  <c r="H13" i="17" s="1"/>
  <c r="X18" i="21"/>
  <c r="X16" i="21"/>
  <c r="Z16" i="21" s="1"/>
  <c r="X17" i="21"/>
  <c r="Z17" i="21" s="1"/>
  <c r="X15" i="21"/>
  <c r="Z15" i="21" s="1"/>
  <c r="T19" i="21"/>
  <c r="H15" i="39" s="1"/>
  <c r="R19" i="21"/>
  <c r="P19" i="21"/>
  <c r="R12" i="36"/>
  <c r="R10" i="36"/>
  <c r="T10" i="36" s="1"/>
  <c r="R11" i="36"/>
  <c r="Q13" i="36"/>
  <c r="P13" i="36"/>
  <c r="F14" i="17" s="1"/>
  <c r="O13" i="36"/>
  <c r="M13" i="36"/>
  <c r="L13" i="36"/>
  <c r="J13" i="36"/>
  <c r="X26" i="21"/>
  <c r="Z26" i="21" s="1"/>
  <c r="T28" i="21"/>
  <c r="P42" i="36"/>
  <c r="P35" i="36"/>
  <c r="F30" i="17" s="1"/>
  <c r="J30" i="17" s="1"/>
  <c r="P45" i="36"/>
  <c r="X16" i="32"/>
  <c r="Z16" i="32" s="1"/>
  <c r="X80" i="32"/>
  <c r="Z80" i="32" s="1"/>
  <c r="X108" i="32"/>
  <c r="X124" i="32"/>
  <c r="X92" i="32"/>
  <c r="Z92" i="32" s="1"/>
  <c r="X168" i="32"/>
  <c r="X136" i="32"/>
  <c r="X137" i="32" s="1"/>
  <c r="X152" i="32"/>
  <c r="Z152" i="32" s="1"/>
  <c r="D41" i="39"/>
  <c r="J41" i="39" s="1"/>
  <c r="X148" i="32"/>
  <c r="Z148" i="32" s="1"/>
  <c r="D40" i="39"/>
  <c r="J40" i="39" s="1"/>
  <c r="X145" i="32"/>
  <c r="X140" i="32"/>
  <c r="X141" i="32" s="1"/>
  <c r="X116" i="32"/>
  <c r="X115" i="32"/>
  <c r="Z115" i="32" s="1"/>
  <c r="X114" i="32"/>
  <c r="Z114" i="32" s="1"/>
  <c r="X113" i="32"/>
  <c r="Z113" i="32" s="1"/>
  <c r="X112" i="32"/>
  <c r="Z112" i="32" s="1"/>
  <c r="X107" i="32"/>
  <c r="Z107" i="32" s="1"/>
  <c r="X106" i="32"/>
  <c r="Z106" i="32" s="1"/>
  <c r="X105" i="32"/>
  <c r="Z105" i="32" s="1"/>
  <c r="X104" i="32"/>
  <c r="Z104" i="32" s="1"/>
  <c r="D34" i="39"/>
  <c r="X100" i="32"/>
  <c r="X99" i="32"/>
  <c r="Z99" i="32" s="1"/>
  <c r="X98" i="32"/>
  <c r="Z98" i="32" s="1"/>
  <c r="X97" i="32"/>
  <c r="Z97" i="32" s="1"/>
  <c r="X13" i="32"/>
  <c r="Z13" i="32" s="1"/>
  <c r="X29" i="32"/>
  <c r="Z29" i="32" s="1"/>
  <c r="X53" i="32"/>
  <c r="Z53" i="32" s="1"/>
  <c r="X77" i="32"/>
  <c r="X89" i="32"/>
  <c r="Z89" i="32" s="1"/>
  <c r="X96" i="32"/>
  <c r="X91" i="32"/>
  <c r="Z91" i="32" s="1"/>
  <c r="X90" i="32"/>
  <c r="Z90" i="32" s="1"/>
  <c r="X88" i="32"/>
  <c r="Z88" i="32" s="1"/>
  <c r="X79" i="32"/>
  <c r="Z79" i="32" s="1"/>
  <c r="X15" i="32"/>
  <c r="Z15" i="32" s="1"/>
  <c r="X23" i="32"/>
  <c r="Z23" i="32" s="1"/>
  <c r="X31" i="32"/>
  <c r="Z31" i="32" s="1"/>
  <c r="X39" i="32"/>
  <c r="Z39" i="32" s="1"/>
  <c r="X47" i="32"/>
  <c r="Z47" i="32" s="1"/>
  <c r="X55" i="32"/>
  <c r="Z55" i="32" s="1"/>
  <c r="X71" i="32"/>
  <c r="Z71" i="32" s="1"/>
  <c r="X123" i="32"/>
  <c r="Z123" i="32" s="1"/>
  <c r="X78" i="32"/>
  <c r="Z78" i="32" s="1"/>
  <c r="Z77" i="32"/>
  <c r="X76" i="32"/>
  <c r="Z76" i="32" s="1"/>
  <c r="X72" i="32"/>
  <c r="X70" i="32"/>
  <c r="Z70" i="32" s="1"/>
  <c r="X69" i="32"/>
  <c r="Z69" i="32" s="1"/>
  <c r="X68" i="32"/>
  <c r="D29" i="39"/>
  <c r="J29" i="39" s="1"/>
  <c r="X64" i="32"/>
  <c r="X63" i="32"/>
  <c r="X62" i="32"/>
  <c r="X61" i="32"/>
  <c r="X60" i="32"/>
  <c r="X56" i="32"/>
  <c r="X54" i="32"/>
  <c r="Z54" i="32" s="1"/>
  <c r="X52" i="32"/>
  <c r="Z52" i="32" s="1"/>
  <c r="D27" i="39"/>
  <c r="J27" i="39" s="1"/>
  <c r="X48" i="32"/>
  <c r="X46" i="32"/>
  <c r="Z46" i="32" s="1"/>
  <c r="X45" i="32"/>
  <c r="Z45" i="32" s="1"/>
  <c r="X44" i="32"/>
  <c r="D26" i="39"/>
  <c r="J26" i="39" s="1"/>
  <c r="X40" i="32"/>
  <c r="X38" i="32"/>
  <c r="Z38" i="32" s="1"/>
  <c r="X37" i="32"/>
  <c r="Z37" i="32" s="1"/>
  <c r="X36" i="32"/>
  <c r="Z36" i="32" s="1"/>
  <c r="D25" i="39"/>
  <c r="X32" i="32"/>
  <c r="X30" i="32"/>
  <c r="Z30" i="32" s="1"/>
  <c r="X28" i="32"/>
  <c r="Z28" i="32" s="1"/>
  <c r="X24" i="32"/>
  <c r="X22" i="32"/>
  <c r="Z22" i="32" s="1"/>
  <c r="X21" i="32"/>
  <c r="Z21" i="32" s="1"/>
  <c r="X20" i="32"/>
  <c r="Z20" i="32" s="1"/>
  <c r="X14" i="32"/>
  <c r="Z14" i="32" s="1"/>
  <c r="X12" i="32"/>
  <c r="D22" i="39"/>
  <c r="X132" i="32"/>
  <c r="X131" i="32"/>
  <c r="X130" i="32"/>
  <c r="X129" i="32"/>
  <c r="X128" i="32"/>
  <c r="Z128" i="32" s="1"/>
  <c r="D37" i="39"/>
  <c r="J37" i="39" s="1"/>
  <c r="X122" i="32"/>
  <c r="Z122" i="32" s="1"/>
  <c r="X121" i="32"/>
  <c r="Z121" i="32" s="1"/>
  <c r="X120" i="32"/>
  <c r="Z120" i="32" s="1"/>
  <c r="D36" i="39"/>
  <c r="J36" i="39" s="1"/>
  <c r="X44" i="31"/>
  <c r="Z44" i="31" s="1"/>
  <c r="X43" i="31"/>
  <c r="T45" i="31"/>
  <c r="D17" i="39" s="1"/>
  <c r="X24" i="31"/>
  <c r="Z24" i="31" s="1"/>
  <c r="X23" i="31"/>
  <c r="Z23" i="31" s="1"/>
  <c r="X22" i="31"/>
  <c r="Z22" i="31" s="1"/>
  <c r="X21" i="31"/>
  <c r="Z21" i="31" s="1"/>
  <c r="X19" i="31"/>
  <c r="Z19" i="31" s="1"/>
  <c r="X17" i="31"/>
  <c r="Z17" i="31" s="1"/>
  <c r="X16" i="31"/>
  <c r="Z16" i="31" s="1"/>
  <c r="X15" i="31"/>
  <c r="Z15" i="31" s="1"/>
  <c r="X14" i="31"/>
  <c r="Z14" i="31" s="1"/>
  <c r="X10" i="31"/>
  <c r="Z10" i="31" s="1"/>
  <c r="X9" i="31"/>
  <c r="Z9" i="31" s="1"/>
  <c r="X8" i="31"/>
  <c r="X7" i="31"/>
  <c r="Z7" i="31" s="1"/>
  <c r="D33" i="39"/>
  <c r="D32" i="39"/>
  <c r="J32" i="39" s="1"/>
  <c r="D30" i="39"/>
  <c r="D24" i="39"/>
  <c r="J24" i="39" s="1"/>
  <c r="V23" i="21"/>
  <c r="D23" i="39"/>
  <c r="J23" i="39" s="1"/>
  <c r="D38" i="39"/>
  <c r="V164" i="32"/>
  <c r="D35" i="17"/>
  <c r="J35" i="17" s="1"/>
  <c r="D26" i="17"/>
  <c r="J26" i="17" s="1"/>
  <c r="V165" i="32"/>
  <c r="R164" i="32"/>
  <c r="P164" i="32"/>
  <c r="P93" i="32"/>
  <c r="P25" i="32"/>
  <c r="X32" i="31"/>
  <c r="Z32" i="31" s="1"/>
  <c r="X30" i="31"/>
  <c r="Z30" i="31" s="1"/>
  <c r="T33" i="31"/>
  <c r="D16" i="39" s="1"/>
  <c r="F16" i="39"/>
  <c r="X20" i="31"/>
  <c r="Z20" i="31" s="1"/>
  <c r="R40" i="36"/>
  <c r="R38" i="36"/>
  <c r="T38" i="36" s="1"/>
  <c r="J17" i="36"/>
  <c r="J35" i="36"/>
  <c r="J45" i="36"/>
  <c r="F17" i="39"/>
  <c r="X22" i="21"/>
  <c r="Z22" i="21" s="1"/>
  <c r="D41" i="17"/>
  <c r="J41" i="17" s="1"/>
  <c r="D38" i="17"/>
  <c r="J38" i="17" s="1"/>
  <c r="D37" i="17"/>
  <c r="D36" i="17"/>
  <c r="J36" i="17" s="1"/>
  <c r="F34" i="17"/>
  <c r="D33" i="17"/>
  <c r="D32" i="17"/>
  <c r="D31" i="17"/>
  <c r="J31" i="17" s="1"/>
  <c r="D29" i="17"/>
  <c r="D28" i="17"/>
  <c r="D25" i="17"/>
  <c r="J25" i="17" s="1"/>
  <c r="D24" i="17"/>
  <c r="J24" i="17" s="1"/>
  <c r="D23" i="17"/>
  <c r="J23" i="17" s="1"/>
  <c r="D22" i="17"/>
  <c r="J22" i="17" s="1"/>
  <c r="D21" i="17"/>
  <c r="P24" i="36"/>
  <c r="F16" i="17" s="1"/>
  <c r="X14" i="21"/>
  <c r="Z14" i="21" s="1"/>
  <c r="T23" i="21"/>
  <c r="R23" i="21"/>
  <c r="P23" i="21"/>
  <c r="P28" i="21"/>
  <c r="R39" i="36"/>
  <c r="T39" i="36" s="1"/>
  <c r="T45" i="36" s="1"/>
  <c r="Q42" i="36"/>
  <c r="O42" i="36"/>
  <c r="M42" i="36"/>
  <c r="L42" i="36"/>
  <c r="D39" i="39"/>
  <c r="J39" i="39" s="1"/>
  <c r="T40" i="31"/>
  <c r="P153" i="32"/>
  <c r="P145" i="32"/>
  <c r="P141" i="32"/>
  <c r="P137" i="32"/>
  <c r="P133" i="32"/>
  <c r="P125" i="32"/>
  <c r="P17" i="32"/>
  <c r="P33" i="32"/>
  <c r="P41" i="32"/>
  <c r="P49" i="32"/>
  <c r="P57" i="32"/>
  <c r="P73" i="32"/>
  <c r="P81" i="32"/>
  <c r="P101" i="32"/>
  <c r="P117" i="32"/>
  <c r="P149" i="32"/>
  <c r="P65" i="32"/>
  <c r="P45" i="31"/>
  <c r="N17" i="32"/>
  <c r="N25" i="32"/>
  <c r="N33" i="32"/>
  <c r="N41" i="32"/>
  <c r="N49" i="32"/>
  <c r="N57" i="32"/>
  <c r="N65" i="32"/>
  <c r="N73" i="32"/>
  <c r="N81" i="32"/>
  <c r="N93" i="32"/>
  <c r="N101" i="32"/>
  <c r="N109" i="32"/>
  <c r="N117" i="32"/>
  <c r="N125" i="32"/>
  <c r="N133" i="32"/>
  <c r="N137" i="32"/>
  <c r="N141" i="32"/>
  <c r="N145" i="32"/>
  <c r="N149" i="32"/>
  <c r="N153" i="32"/>
  <c r="N40" i="31"/>
  <c r="N45" i="31"/>
  <c r="L12" i="32"/>
  <c r="L17" i="32" s="1"/>
  <c r="L25" i="32"/>
  <c r="L33" i="32"/>
  <c r="L41" i="32"/>
  <c r="L49" i="32"/>
  <c r="L57" i="32"/>
  <c r="L65" i="32"/>
  <c r="L73" i="32"/>
  <c r="L81" i="32"/>
  <c r="L93" i="32"/>
  <c r="L101" i="32"/>
  <c r="L109" i="32"/>
  <c r="L117" i="32"/>
  <c r="L125" i="32"/>
  <c r="L133" i="32"/>
  <c r="L137" i="32"/>
  <c r="L141" i="32"/>
  <c r="L145" i="32"/>
  <c r="L149" i="32"/>
  <c r="L153" i="32"/>
  <c r="L40" i="31"/>
  <c r="L45" i="31"/>
  <c r="J52" i="31"/>
  <c r="J40" i="31"/>
  <c r="J45" i="31"/>
  <c r="H40" i="31"/>
  <c r="H45" i="31"/>
  <c r="F52" i="31"/>
  <c r="F40" i="31"/>
  <c r="F45" i="31"/>
  <c r="W52" i="31"/>
  <c r="W55" i="31" s="1"/>
  <c r="N30" i="31"/>
  <c r="N31" i="31"/>
  <c r="N32" i="31"/>
  <c r="N16" i="31"/>
  <c r="N18" i="31"/>
  <c r="N19" i="31"/>
  <c r="N20" i="31"/>
  <c r="N21" i="31"/>
  <c r="N23" i="31"/>
  <c r="N24" i="31"/>
  <c r="L30" i="31"/>
  <c r="L31" i="31"/>
  <c r="L32" i="31"/>
  <c r="L16" i="31"/>
  <c r="L18" i="31"/>
  <c r="L19" i="31"/>
  <c r="L20" i="31"/>
  <c r="L21" i="31"/>
  <c r="L23" i="31"/>
  <c r="J30" i="31"/>
  <c r="J31" i="31"/>
  <c r="J33" i="31" s="1"/>
  <c r="J16" i="31"/>
  <c r="J20" i="31"/>
  <c r="J23" i="31"/>
  <c r="H30" i="31"/>
  <c r="H31" i="31"/>
  <c r="H32" i="31"/>
  <c r="H15" i="31"/>
  <c r="H16" i="31"/>
  <c r="H20" i="31"/>
  <c r="H23" i="31"/>
  <c r="H52" i="31"/>
  <c r="F30" i="31"/>
  <c r="F31" i="31"/>
  <c r="F32" i="31"/>
  <c r="F20" i="31"/>
  <c r="F23" i="31"/>
  <c r="F26" i="31"/>
  <c r="P41" i="21"/>
  <c r="P37" i="21"/>
  <c r="P166" i="32"/>
  <c r="P167" i="32"/>
  <c r="P168" i="32"/>
  <c r="F34" i="39"/>
  <c r="T37" i="21"/>
  <c r="H38" i="39" s="1"/>
  <c r="F35" i="39"/>
  <c r="N28" i="21"/>
  <c r="N14" i="21"/>
  <c r="N16" i="21"/>
  <c r="N36" i="21"/>
  <c r="N37" i="21" s="1"/>
  <c r="N41" i="21"/>
  <c r="L28" i="21"/>
  <c r="L19" i="21"/>
  <c r="L37" i="21"/>
  <c r="L41" i="21"/>
  <c r="F45" i="36"/>
  <c r="H45" i="36"/>
  <c r="L45" i="36"/>
  <c r="R44" i="36"/>
  <c r="R45" i="36" s="1"/>
  <c r="V168" i="32"/>
  <c r="H10" i="36"/>
  <c r="H13" i="36" s="1"/>
  <c r="H42" i="36"/>
  <c r="H35" i="36"/>
  <c r="H24" i="36"/>
  <c r="H17" i="36"/>
  <c r="N168" i="32"/>
  <c r="N167" i="32"/>
  <c r="N166" i="32"/>
  <c r="N165" i="32"/>
  <c r="N164" i="32"/>
  <c r="N163" i="32"/>
  <c r="N162" i="32"/>
  <c r="D49" i="17"/>
  <c r="D48" i="17"/>
  <c r="D13" i="17"/>
  <c r="J7" i="17"/>
  <c r="H49" i="39"/>
  <c r="H48" i="39"/>
  <c r="D11" i="39"/>
  <c r="D9" i="39"/>
  <c r="D8" i="39"/>
  <c r="J8" i="39" s="1"/>
  <c r="H11" i="39"/>
  <c r="J11" i="39" s="1"/>
  <c r="H10" i="39"/>
  <c r="J10" i="39" s="1"/>
  <c r="H9" i="39"/>
  <c r="H8" i="39"/>
  <c r="D10" i="39"/>
  <c r="D48" i="39"/>
  <c r="D49" i="39"/>
  <c r="D14" i="39"/>
  <c r="H14" i="39"/>
  <c r="F42" i="36"/>
  <c r="F35" i="36"/>
  <c r="F24" i="36"/>
  <c r="F17" i="36"/>
  <c r="F13" i="36"/>
  <c r="L17" i="36"/>
  <c r="L168" i="32"/>
  <c r="L167" i="32"/>
  <c r="L166" i="32"/>
  <c r="L165" i="32"/>
  <c r="L164" i="32"/>
  <c r="L163" i="32"/>
  <c r="L162" i="32"/>
  <c r="X27" i="21"/>
  <c r="R31" i="36"/>
  <c r="T31" i="36" s="1"/>
  <c r="R32" i="36"/>
  <c r="T32" i="36" s="1"/>
  <c r="R33" i="36"/>
  <c r="T33" i="36" s="1"/>
  <c r="R34" i="36"/>
  <c r="R30" i="36"/>
  <c r="R21" i="36"/>
  <c r="T21" i="36" s="1"/>
  <c r="R22" i="36"/>
  <c r="T22" i="36" s="1"/>
  <c r="R20" i="36"/>
  <c r="T20" i="36" s="1"/>
  <c r="R16" i="36"/>
  <c r="R17" i="36" s="1"/>
  <c r="H17" i="39"/>
  <c r="H10" i="21"/>
  <c r="J10" i="17"/>
  <c r="J9" i="17"/>
  <c r="M47" i="36"/>
  <c r="D42" i="36"/>
  <c r="P17" i="36"/>
  <c r="F15" i="17" s="1"/>
  <c r="L35" i="36"/>
  <c r="D35" i="36"/>
  <c r="D24" i="36"/>
  <c r="D17" i="36"/>
  <c r="D13" i="36"/>
  <c r="X36" i="21"/>
  <c r="X35" i="21"/>
  <c r="Z35" i="21" s="1"/>
  <c r="J36" i="21"/>
  <c r="J26" i="21"/>
  <c r="J28" i="21" s="1"/>
  <c r="X8" i="21"/>
  <c r="Z8" i="21" s="1"/>
  <c r="J10" i="21"/>
  <c r="J9" i="21"/>
  <c r="J7" i="21"/>
  <c r="R168" i="32"/>
  <c r="J168" i="32"/>
  <c r="I168" i="32"/>
  <c r="H168" i="32"/>
  <c r="F168" i="32"/>
  <c r="D168" i="32"/>
  <c r="V167" i="32"/>
  <c r="I167" i="32"/>
  <c r="D167" i="32"/>
  <c r="V166" i="32"/>
  <c r="R166" i="32"/>
  <c r="J166" i="32"/>
  <c r="I166" i="32"/>
  <c r="H166" i="32"/>
  <c r="F166" i="32"/>
  <c r="D166" i="32"/>
  <c r="J153" i="32"/>
  <c r="I153" i="32"/>
  <c r="H153" i="32"/>
  <c r="F153" i="32"/>
  <c r="D153" i="32"/>
  <c r="J149" i="32"/>
  <c r="I149" i="32"/>
  <c r="H149" i="32"/>
  <c r="F149" i="32"/>
  <c r="D149" i="32"/>
  <c r="J145" i="32"/>
  <c r="I145" i="32"/>
  <c r="H145" i="32"/>
  <c r="F145" i="32"/>
  <c r="D145" i="32"/>
  <c r="J141" i="32"/>
  <c r="I141" i="32"/>
  <c r="H141" i="32"/>
  <c r="F141" i="32"/>
  <c r="D141" i="32"/>
  <c r="J137" i="32"/>
  <c r="I137" i="32"/>
  <c r="H137" i="32"/>
  <c r="F137" i="32"/>
  <c r="D137" i="32"/>
  <c r="J133" i="32"/>
  <c r="I133" i="32"/>
  <c r="H133" i="32"/>
  <c r="F133" i="32"/>
  <c r="D133" i="32"/>
  <c r="J125" i="32"/>
  <c r="I125" i="32"/>
  <c r="F125" i="32"/>
  <c r="D125" i="32"/>
  <c r="H120" i="32"/>
  <c r="H125" i="32" s="1"/>
  <c r="I117" i="32"/>
  <c r="F113" i="32"/>
  <c r="F117" i="32" s="1"/>
  <c r="J113" i="32"/>
  <c r="J117" i="32" s="1"/>
  <c r="H113" i="32"/>
  <c r="D113" i="32"/>
  <c r="D117" i="32" s="1"/>
  <c r="H112" i="32"/>
  <c r="I109" i="32"/>
  <c r="J105" i="32"/>
  <c r="J109" i="32" s="1"/>
  <c r="H105" i="32"/>
  <c r="H109" i="32" s="1"/>
  <c r="F105" i="32"/>
  <c r="F109" i="32" s="1"/>
  <c r="D105" i="32"/>
  <c r="D109" i="32" s="1"/>
  <c r="J101" i="32"/>
  <c r="I101" i="32"/>
  <c r="H101" i="32"/>
  <c r="F101" i="32"/>
  <c r="D101" i="32"/>
  <c r="V163" i="32"/>
  <c r="I93" i="32"/>
  <c r="F92" i="32"/>
  <c r="F167" i="32" s="1"/>
  <c r="J91" i="32"/>
  <c r="H91" i="32"/>
  <c r="F91" i="32"/>
  <c r="D91" i="32"/>
  <c r="J90" i="32"/>
  <c r="H90" i="32"/>
  <c r="F90" i="32"/>
  <c r="D90" i="32"/>
  <c r="J89" i="32"/>
  <c r="F89" i="32"/>
  <c r="D89" i="32"/>
  <c r="J88" i="32"/>
  <c r="H88" i="32"/>
  <c r="F88" i="32"/>
  <c r="D88" i="32"/>
  <c r="J81" i="32"/>
  <c r="I81" i="32"/>
  <c r="F81" i="32"/>
  <c r="D81" i="32"/>
  <c r="H76" i="32"/>
  <c r="H81" i="32" s="1"/>
  <c r="I73" i="32"/>
  <c r="F73" i="32"/>
  <c r="D73" i="32"/>
  <c r="J72" i="32"/>
  <c r="H68" i="32"/>
  <c r="H73" i="32" s="1"/>
  <c r="D27" i="17"/>
  <c r="J27" i="17" s="1"/>
  <c r="D28" i="39"/>
  <c r="J28" i="39" s="1"/>
  <c r="I65" i="32"/>
  <c r="H65" i="32"/>
  <c r="F65" i="32"/>
  <c r="D65" i="32"/>
  <c r="J64" i="32"/>
  <c r="J65" i="32" s="1"/>
  <c r="I57" i="32"/>
  <c r="F57" i="32"/>
  <c r="D57" i="32"/>
  <c r="J56" i="32"/>
  <c r="J57" i="32" s="1"/>
  <c r="H52" i="32"/>
  <c r="H57" i="32" s="1"/>
  <c r="I49" i="32"/>
  <c r="F49" i="32"/>
  <c r="D49" i="32"/>
  <c r="J48" i="32"/>
  <c r="H48" i="32"/>
  <c r="H44" i="32"/>
  <c r="J41" i="32"/>
  <c r="I41" i="32"/>
  <c r="F41" i="32"/>
  <c r="D41" i="32"/>
  <c r="H40" i="32"/>
  <c r="H41" i="32" s="1"/>
  <c r="I33" i="32"/>
  <c r="F31" i="32"/>
  <c r="F33" i="32" s="1"/>
  <c r="J31" i="32"/>
  <c r="J33" i="32" s="1"/>
  <c r="H31" i="32"/>
  <c r="D31" i="32"/>
  <c r="D33" i="32" s="1"/>
  <c r="H30" i="32"/>
  <c r="H29" i="32"/>
  <c r="H28" i="32"/>
  <c r="I25" i="32"/>
  <c r="R165" i="32"/>
  <c r="J23" i="32"/>
  <c r="H23" i="32"/>
  <c r="F23" i="32"/>
  <c r="D23" i="32"/>
  <c r="J22" i="32"/>
  <c r="H22" i="32"/>
  <c r="F22" i="32"/>
  <c r="D22" i="32"/>
  <c r="J21" i="32"/>
  <c r="J163" i="32" s="1"/>
  <c r="H21" i="32"/>
  <c r="F21" i="32"/>
  <c r="D21" i="32"/>
  <c r="R162" i="32"/>
  <c r="J20" i="32"/>
  <c r="H20" i="32"/>
  <c r="F20" i="32"/>
  <c r="D20" i="32"/>
  <c r="H16" i="32"/>
  <c r="H12" i="32"/>
  <c r="H13" i="32"/>
  <c r="H14" i="32"/>
  <c r="H15" i="32"/>
  <c r="I15" i="32"/>
  <c r="I165" i="32" s="1"/>
  <c r="I14" i="32"/>
  <c r="I164" i="32" s="1"/>
  <c r="I13" i="32"/>
  <c r="I163" i="32" s="1"/>
  <c r="J12" i="32"/>
  <c r="J17" i="32" s="1"/>
  <c r="I12" i="32"/>
  <c r="F12" i="32"/>
  <c r="F17" i="32" s="1"/>
  <c r="D12" i="32"/>
  <c r="D162" i="32" s="1"/>
  <c r="K55" i="31"/>
  <c r="G55" i="31"/>
  <c r="Y52" i="31"/>
  <c r="Y55" i="31" s="1"/>
  <c r="I52" i="31"/>
  <c r="I55" i="31" s="1"/>
  <c r="D52" i="31"/>
  <c r="D45" i="31"/>
  <c r="D40" i="31"/>
  <c r="D32" i="31"/>
  <c r="D31" i="31"/>
  <c r="D30" i="31"/>
  <c r="D33" i="31" s="1"/>
  <c r="D26" i="31"/>
  <c r="D23" i="31"/>
  <c r="D20" i="31"/>
  <c r="X7" i="21"/>
  <c r="Z7" i="21" s="1"/>
  <c r="X10" i="21"/>
  <c r="Z10" i="21" s="1"/>
  <c r="X9" i="21"/>
  <c r="Z9" i="21" s="1"/>
  <c r="J73" i="32"/>
  <c r="D40" i="17"/>
  <c r="R167" i="32"/>
  <c r="F7" i="21"/>
  <c r="H7" i="21"/>
  <c r="X40" i="21"/>
  <c r="X41" i="21" s="1"/>
  <c r="F36" i="21"/>
  <c r="R41" i="21"/>
  <c r="R37" i="21"/>
  <c r="W41" i="21"/>
  <c r="V41" i="21"/>
  <c r="H37" i="17" s="1"/>
  <c r="T41" i="21"/>
  <c r="J41" i="21"/>
  <c r="H41" i="21"/>
  <c r="F41" i="21"/>
  <c r="D41" i="21"/>
  <c r="D43" i="21" s="1"/>
  <c r="AG40" i="21"/>
  <c r="AG41" i="21" s="1"/>
  <c r="W28" i="21"/>
  <c r="H28" i="21"/>
  <c r="F28" i="21"/>
  <c r="D28" i="21"/>
  <c r="R28" i="21"/>
  <c r="V28" i="21"/>
  <c r="H48" i="17" s="1"/>
  <c r="J19" i="21"/>
  <c r="J37" i="21"/>
  <c r="J43" i="21" s="1"/>
  <c r="H37" i="21"/>
  <c r="D37" i="21"/>
  <c r="F37" i="21"/>
  <c r="F19" i="21"/>
  <c r="F31" i="21"/>
  <c r="H17" i="21"/>
  <c r="H14" i="21"/>
  <c r="H15" i="21"/>
  <c r="H16" i="21"/>
  <c r="D17" i="21"/>
  <c r="D19" i="21"/>
  <c r="D31" i="21" s="1"/>
  <c r="V162" i="32"/>
  <c r="R163" i="32"/>
  <c r="P165" i="32"/>
  <c r="X18" i="31"/>
  <c r="Z18" i="31" s="1"/>
  <c r="X26" i="31"/>
  <c r="Z26" i="31" s="1"/>
  <c r="D15" i="17"/>
  <c r="X31" i="31"/>
  <c r="Z31" i="31" s="1"/>
  <c r="F164" i="32" l="1"/>
  <c r="F26" i="36"/>
  <c r="H117" i="32"/>
  <c r="D47" i="36"/>
  <c r="L31" i="21"/>
  <c r="J26" i="31"/>
  <c r="J27" i="31" s="1"/>
  <c r="J9" i="39"/>
  <c r="J48" i="17"/>
  <c r="J165" i="32"/>
  <c r="P163" i="32"/>
  <c r="P169" i="32" s="1"/>
  <c r="P174" i="32" s="1"/>
  <c r="L26" i="31"/>
  <c r="L27" i="31" s="1"/>
  <c r="N27" i="31"/>
  <c r="J26" i="36"/>
  <c r="J167" i="32"/>
  <c r="F33" i="31"/>
  <c r="D27" i="31"/>
  <c r="D50" i="31" s="1"/>
  <c r="D55" i="31" s="1"/>
  <c r="D61" i="31" s="1"/>
  <c r="D63" i="31" s="1"/>
  <c r="D45" i="21"/>
  <c r="D49" i="21" s="1"/>
  <c r="D51" i="21" s="1"/>
  <c r="R157" i="32"/>
  <c r="R52" i="31" s="1"/>
  <c r="H47" i="36"/>
  <c r="P157" i="32"/>
  <c r="P52" i="31" s="1"/>
  <c r="H33" i="31"/>
  <c r="J31" i="21"/>
  <c r="J45" i="21" s="1"/>
  <c r="J49" i="21" s="1"/>
  <c r="J51" i="21" s="1"/>
  <c r="F27" i="31"/>
  <c r="F50" i="31" s="1"/>
  <c r="F55" i="31" s="1"/>
  <c r="F61" i="31" s="1"/>
  <c r="H57" i="31" s="1"/>
  <c r="H26" i="31"/>
  <c r="J49" i="39"/>
  <c r="D34" i="17"/>
  <c r="J34" i="17" s="1"/>
  <c r="V157" i="32"/>
  <c r="D35" i="39"/>
  <c r="J35" i="39" s="1"/>
  <c r="T52" i="31"/>
  <c r="F25" i="32"/>
  <c r="H164" i="32"/>
  <c r="H167" i="32"/>
  <c r="H33" i="32"/>
  <c r="J93" i="32"/>
  <c r="H25" i="32"/>
  <c r="F165" i="32"/>
  <c r="R43" i="21"/>
  <c r="I17" i="32"/>
  <c r="I157" i="32" s="1"/>
  <c r="D163" i="32"/>
  <c r="J164" i="32"/>
  <c r="N43" i="21"/>
  <c r="N33" i="31"/>
  <c r="N157" i="32"/>
  <c r="N52" i="31" s="1"/>
  <c r="N47" i="36"/>
  <c r="F43" i="21"/>
  <c r="F45" i="21" s="1"/>
  <c r="F49" i="21" s="1"/>
  <c r="F51" i="21" s="1"/>
  <c r="D25" i="32"/>
  <c r="F163" i="32"/>
  <c r="D26" i="36"/>
  <c r="H26" i="36"/>
  <c r="H49" i="36" s="1"/>
  <c r="L43" i="21"/>
  <c r="F47" i="36"/>
  <c r="F49" i="36" s="1"/>
  <c r="H43" i="21"/>
  <c r="D165" i="32"/>
  <c r="H49" i="32"/>
  <c r="D164" i="32"/>
  <c r="H165" i="32"/>
  <c r="L26" i="36"/>
  <c r="N19" i="21"/>
  <c r="N31" i="21" s="1"/>
  <c r="L33" i="31"/>
  <c r="L157" i="32"/>
  <c r="L52" i="31" s="1"/>
  <c r="H163" i="32"/>
  <c r="F93" i="32"/>
  <c r="F157" i="32" s="1"/>
  <c r="T17" i="36"/>
  <c r="H162" i="32"/>
  <c r="J25" i="32"/>
  <c r="H93" i="32"/>
  <c r="J48" i="39"/>
  <c r="X65" i="32"/>
  <c r="H19" i="21"/>
  <c r="H31" i="21" s="1"/>
  <c r="J49" i="17"/>
  <c r="J8" i="17"/>
  <c r="X28" i="21"/>
  <c r="Z28" i="21" s="1"/>
  <c r="X23" i="21"/>
  <c r="Z23" i="21" s="1"/>
  <c r="X45" i="31"/>
  <c r="Z45" i="31" s="1"/>
  <c r="J14" i="39"/>
  <c r="D15" i="39"/>
  <c r="D19" i="39" s="1"/>
  <c r="H17" i="32"/>
  <c r="J49" i="32"/>
  <c r="H27" i="31"/>
  <c r="H50" i="31" s="1"/>
  <c r="H55" i="31" s="1"/>
  <c r="F162" i="32"/>
  <c r="J162" i="32"/>
  <c r="D93" i="32"/>
  <c r="N169" i="32"/>
  <c r="N174" i="32" s="1"/>
  <c r="D17" i="32"/>
  <c r="L169" i="32"/>
  <c r="F31" i="39"/>
  <c r="F43" i="39" s="1"/>
  <c r="X153" i="32"/>
  <c r="Z153" i="32" s="1"/>
  <c r="V43" i="21"/>
  <c r="T16" i="36"/>
  <c r="R31" i="21"/>
  <c r="L47" i="36"/>
  <c r="N50" i="31"/>
  <c r="V31" i="21"/>
  <c r="X149" i="32"/>
  <c r="Z149" i="32" s="1"/>
  <c r="X133" i="32"/>
  <c r="Z133" i="32" s="1"/>
  <c r="R42" i="36"/>
  <c r="T42" i="36" s="1"/>
  <c r="J50" i="31"/>
  <c r="J55" i="31" s="1"/>
  <c r="D16" i="17"/>
  <c r="J16" i="17" s="1"/>
  <c r="V50" i="31"/>
  <c r="J13" i="17"/>
  <c r="H15" i="17"/>
  <c r="J15" i="17" s="1"/>
  <c r="J37" i="17"/>
  <c r="X166" i="32"/>
  <c r="R169" i="32"/>
  <c r="D175" i="32" s="1"/>
  <c r="J17" i="39"/>
  <c r="T50" i="31"/>
  <c r="P47" i="36"/>
  <c r="P60" i="36" s="1"/>
  <c r="F33" i="17"/>
  <c r="F43" i="17" s="1"/>
  <c r="R24" i="36"/>
  <c r="T24" i="36" s="1"/>
  <c r="R13" i="36"/>
  <c r="T13" i="36" s="1"/>
  <c r="P26" i="36"/>
  <c r="F18" i="17"/>
  <c r="R35" i="36"/>
  <c r="T35" i="36" s="1"/>
  <c r="N26" i="36"/>
  <c r="F15" i="39"/>
  <c r="F19" i="39" s="1"/>
  <c r="J34" i="39"/>
  <c r="J16" i="39"/>
  <c r="H43" i="17"/>
  <c r="X37" i="21"/>
  <c r="Z37" i="21" s="1"/>
  <c r="H14" i="17"/>
  <c r="Z36" i="21"/>
  <c r="H43" i="39"/>
  <c r="J38" i="39"/>
  <c r="T43" i="21"/>
  <c r="T31" i="21"/>
  <c r="H19" i="39"/>
  <c r="X19" i="21"/>
  <c r="P43" i="21"/>
  <c r="Z43" i="31"/>
  <c r="X27" i="31"/>
  <c r="Z27" i="31" s="1"/>
  <c r="X125" i="32"/>
  <c r="Z125" i="32" s="1"/>
  <c r="X117" i="32"/>
  <c r="X109" i="32"/>
  <c r="Z109" i="32" s="1"/>
  <c r="X101" i="32"/>
  <c r="Z101" i="32" s="1"/>
  <c r="J33" i="39"/>
  <c r="J30" i="39"/>
  <c r="X73" i="32"/>
  <c r="Z73" i="32" s="1"/>
  <c r="Z68" i="32"/>
  <c r="X57" i="32"/>
  <c r="Z57" i="32" s="1"/>
  <c r="X49" i="32"/>
  <c r="Z49" i="32" s="1"/>
  <c r="Z44" i="32"/>
  <c r="J25" i="39"/>
  <c r="X41" i="32"/>
  <c r="Z41" i="32" s="1"/>
  <c r="X164" i="32"/>
  <c r="Z164" i="32" s="1"/>
  <c r="X25" i="32"/>
  <c r="Z25" i="32" s="1"/>
  <c r="X17" i="32"/>
  <c r="Z17" i="32" s="1"/>
  <c r="X167" i="32"/>
  <c r="Z167" i="32" s="1"/>
  <c r="X165" i="32"/>
  <c r="Z165" i="32" s="1"/>
  <c r="T169" i="32"/>
  <c r="T175" i="32" s="1"/>
  <c r="J22" i="39"/>
  <c r="J40" i="17"/>
  <c r="Z96" i="32"/>
  <c r="X93" i="32"/>
  <c r="Z93" i="32" s="1"/>
  <c r="X33" i="31"/>
  <c r="Z33" i="31" s="1"/>
  <c r="D14" i="17"/>
  <c r="J32" i="17"/>
  <c r="J29" i="17"/>
  <c r="X81" i="32"/>
  <c r="Z81" i="32" s="1"/>
  <c r="J28" i="17"/>
  <c r="V169" i="32"/>
  <c r="V178" i="32" s="1"/>
  <c r="X163" i="32"/>
  <c r="Z163" i="32" s="1"/>
  <c r="X33" i="32"/>
  <c r="Z33" i="32" s="1"/>
  <c r="J21" i="17"/>
  <c r="Z12" i="32"/>
  <c r="X162" i="32"/>
  <c r="T45" i="21" l="1"/>
  <c r="L45" i="21"/>
  <c r="L49" i="21" s="1"/>
  <c r="D49" i="36"/>
  <c r="D53" i="36" s="1"/>
  <c r="V52" i="31"/>
  <c r="V55" i="31" s="1"/>
  <c r="V61" i="31" s="1"/>
  <c r="V63" i="31" s="1"/>
  <c r="L50" i="31"/>
  <c r="L55" i="31" s="1"/>
  <c r="N45" i="21"/>
  <c r="J49" i="36"/>
  <c r="J53" i="36" s="1"/>
  <c r="R45" i="21"/>
  <c r="D43" i="17"/>
  <c r="D43" i="39"/>
  <c r="D45" i="39" s="1"/>
  <c r="D51" i="39" s="1"/>
  <c r="H45" i="21"/>
  <c r="H49" i="21" s="1"/>
  <c r="H51" i="21" s="1"/>
  <c r="N176" i="32"/>
  <c r="Z117" i="32"/>
  <c r="X157" i="32"/>
  <c r="Z157" i="32" s="1"/>
  <c r="D157" i="32"/>
  <c r="D169" i="32"/>
  <c r="H169" i="32"/>
  <c r="H176" i="32" s="1"/>
  <c r="H157" i="32"/>
  <c r="H158" i="32" s="1"/>
  <c r="N55" i="31"/>
  <c r="L49" i="36"/>
  <c r="J157" i="32"/>
  <c r="J158" i="32" s="1"/>
  <c r="H61" i="31"/>
  <c r="H63" i="31" s="1"/>
  <c r="F63" i="31"/>
  <c r="X31" i="21"/>
  <c r="Z31" i="21" s="1"/>
  <c r="X43" i="21"/>
  <c r="Z43" i="21" s="1"/>
  <c r="D18" i="17"/>
  <c r="V45" i="21"/>
  <c r="H18" i="17"/>
  <c r="H45" i="17" s="1"/>
  <c r="H51" i="17" s="1"/>
  <c r="J33" i="17"/>
  <c r="N170" i="32"/>
  <c r="N182" i="32" s="1"/>
  <c r="N175" i="32"/>
  <c r="N180" i="32"/>
  <c r="N177" i="32"/>
  <c r="N181" i="32"/>
  <c r="J31" i="39"/>
  <c r="J43" i="39" s="1"/>
  <c r="L178" i="32"/>
  <c r="L177" i="32"/>
  <c r="L180" i="32"/>
  <c r="L179" i="32"/>
  <c r="L176" i="32"/>
  <c r="L181" i="32"/>
  <c r="L174" i="32"/>
  <c r="L170" i="32"/>
  <c r="L182" i="32" s="1"/>
  <c r="J169" i="32"/>
  <c r="J174" i="32" s="1"/>
  <c r="N179" i="32"/>
  <c r="N178" i="32"/>
  <c r="L51" i="21"/>
  <c r="N47" i="21"/>
  <c r="N49" i="21" s="1"/>
  <c r="N51" i="21" s="1"/>
  <c r="F169" i="32"/>
  <c r="L175" i="32"/>
  <c r="R55" i="31"/>
  <c r="R174" i="32"/>
  <c r="R177" i="32"/>
  <c r="D179" i="32"/>
  <c r="R180" i="32"/>
  <c r="R179" i="32"/>
  <c r="D177" i="32"/>
  <c r="R175" i="32"/>
  <c r="D176" i="32"/>
  <c r="D180" i="32"/>
  <c r="D174" i="32"/>
  <c r="R176" i="32"/>
  <c r="R178" i="32"/>
  <c r="D178" i="32"/>
  <c r="R170" i="32"/>
  <c r="R182" i="32" s="1"/>
  <c r="T55" i="31"/>
  <c r="F45" i="17"/>
  <c r="F51" i="17" s="1"/>
  <c r="P49" i="36"/>
  <c r="R26" i="36"/>
  <c r="T26" i="36" s="1"/>
  <c r="F45" i="39"/>
  <c r="F51" i="39" s="1"/>
  <c r="R47" i="36"/>
  <c r="T47" i="36" s="1"/>
  <c r="N49" i="36"/>
  <c r="J15" i="39"/>
  <c r="J19" i="39" s="1"/>
  <c r="H45" i="39"/>
  <c r="H51" i="39" s="1"/>
  <c r="Z19" i="21"/>
  <c r="P45" i="21"/>
  <c r="T47" i="21" s="1"/>
  <c r="P179" i="32"/>
  <c r="P61" i="31"/>
  <c r="T57" i="31" s="1"/>
  <c r="D53" i="39" s="1"/>
  <c r="P176" i="32"/>
  <c r="P175" i="32"/>
  <c r="P177" i="32"/>
  <c r="P178" i="32"/>
  <c r="P180" i="32"/>
  <c r="P170" i="32"/>
  <c r="P182" i="32" s="1"/>
  <c r="T178" i="32"/>
  <c r="T177" i="32"/>
  <c r="T176" i="32"/>
  <c r="T179" i="32"/>
  <c r="T174" i="32"/>
  <c r="T180" i="32"/>
  <c r="T170" i="32"/>
  <c r="T182" i="32" s="1"/>
  <c r="X50" i="31"/>
  <c r="J14" i="17"/>
  <c r="J18" i="17" s="1"/>
  <c r="V177" i="32"/>
  <c r="V180" i="32"/>
  <c r="V179" i="32"/>
  <c r="V170" i="32"/>
  <c r="V182" i="32" s="1"/>
  <c r="V176" i="32"/>
  <c r="V175" i="32"/>
  <c r="V174" i="32"/>
  <c r="X169" i="32"/>
  <c r="Z162" i="32"/>
  <c r="V181" i="32" l="1"/>
  <c r="F51" i="36"/>
  <c r="F53" i="36" s="1"/>
  <c r="D55" i="36"/>
  <c r="H174" i="32"/>
  <c r="J57" i="31"/>
  <c r="J61" i="31" s="1"/>
  <c r="J63" i="31" s="1"/>
  <c r="H177" i="32"/>
  <c r="D45" i="17"/>
  <c r="D51" i="17" s="1"/>
  <c r="H175" i="32"/>
  <c r="H170" i="32"/>
  <c r="H182" i="32" s="1"/>
  <c r="H180" i="32"/>
  <c r="H179" i="32"/>
  <c r="H178" i="32"/>
  <c r="L55" i="36"/>
  <c r="J43" i="17"/>
  <c r="J45" i="17" s="1"/>
  <c r="J51" i="17" s="1"/>
  <c r="X45" i="21"/>
  <c r="Z45" i="21" s="1"/>
  <c r="T49" i="21"/>
  <c r="N53" i="36"/>
  <c r="N55" i="36" s="1"/>
  <c r="F178" i="32"/>
  <c r="F176" i="32"/>
  <c r="F170" i="32"/>
  <c r="F182" i="32" s="1"/>
  <c r="F180" i="32"/>
  <c r="F177" i="32"/>
  <c r="F179" i="32"/>
  <c r="F175" i="32"/>
  <c r="J177" i="32"/>
  <c r="J175" i="32"/>
  <c r="J170" i="32"/>
  <c r="J182" i="32" s="1"/>
  <c r="J180" i="32"/>
  <c r="J176" i="32"/>
  <c r="J179" i="32"/>
  <c r="J178" i="32"/>
  <c r="F174" i="32"/>
  <c r="R181" i="32"/>
  <c r="D181" i="32"/>
  <c r="R49" i="36"/>
  <c r="T49" i="36" s="1"/>
  <c r="M15" i="39"/>
  <c r="M14" i="39"/>
  <c r="M16" i="39"/>
  <c r="J45" i="39"/>
  <c r="J51" i="39" s="1"/>
  <c r="M17" i="39"/>
  <c r="H53" i="39"/>
  <c r="H55" i="39" s="1"/>
  <c r="H57" i="39" s="1"/>
  <c r="R47" i="21"/>
  <c r="R49" i="21" s="1"/>
  <c r="R51" i="21" s="1"/>
  <c r="P51" i="21"/>
  <c r="R57" i="31"/>
  <c r="R61" i="31" s="1"/>
  <c r="R63" i="31" s="1"/>
  <c r="D55" i="39"/>
  <c r="D57" i="39" s="1"/>
  <c r="T61" i="31"/>
  <c r="T63" i="31" s="1"/>
  <c r="P63" i="31"/>
  <c r="P181" i="32"/>
  <c r="Z50" i="31"/>
  <c r="L57" i="31"/>
  <c r="L61" i="31" s="1"/>
  <c r="T181" i="32"/>
  <c r="Z169" i="32"/>
  <c r="X170" i="32"/>
  <c r="Z170" i="32" s="1"/>
  <c r="X52" i="31"/>
  <c r="X55" i="31" s="1"/>
  <c r="Z55" i="31" s="1"/>
  <c r="M13" i="17"/>
  <c r="M15" i="17"/>
  <c r="M16" i="17"/>
  <c r="M14" i="17"/>
  <c r="F55" i="36" l="1"/>
  <c r="H51" i="36"/>
  <c r="H53" i="36" s="1"/>
  <c r="H55" i="36" s="1"/>
  <c r="H181" i="32"/>
  <c r="H53" i="17"/>
  <c r="H55" i="17" s="1"/>
  <c r="H57" i="17" s="1"/>
  <c r="J181" i="32"/>
  <c r="T51" i="21"/>
  <c r="F53" i="39"/>
  <c r="F55" i="39" s="1"/>
  <c r="F57" i="39" s="1"/>
  <c r="F53" i="17"/>
  <c r="F55" i="17" s="1"/>
  <c r="F57" i="17" s="1"/>
  <c r="F181" i="32"/>
  <c r="P51" i="36"/>
  <c r="R51" i="36" s="1"/>
  <c r="T51" i="36" s="1"/>
  <c r="D53" i="17"/>
  <c r="L63" i="31"/>
  <c r="N57" i="31"/>
  <c r="N61" i="31" s="1"/>
  <c r="N63" i="31" s="1"/>
  <c r="Z52" i="31"/>
  <c r="X47" i="21" l="1"/>
  <c r="Z47" i="21" s="1"/>
  <c r="V49" i="21"/>
  <c r="V51" i="21" s="1"/>
  <c r="J53" i="39"/>
  <c r="J55" i="39" s="1"/>
  <c r="P53" i="36"/>
  <c r="P55" i="36" s="1"/>
  <c r="J53" i="17"/>
  <c r="J55" i="17" s="1"/>
  <c r="D55" i="17"/>
  <c r="D57" i="17" s="1"/>
  <c r="X49" i="21" l="1"/>
  <c r="Z49" i="21" s="1"/>
  <c r="R53" i="36"/>
  <c r="T53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 Andrle</author>
  </authors>
  <commentList>
    <comment ref="T7" authorId="0" shapeId="0" xr:uid="{2A1A59D7-3B9D-4F8E-A6E6-B205EDE91DC9}">
      <text>
        <r>
          <rPr>
            <b/>
            <sz val="9"/>
            <color indexed="81"/>
            <rFont val="Tahoma"/>
            <family val="2"/>
          </rPr>
          <t>Marie Andrle:</t>
        </r>
        <r>
          <rPr>
            <sz val="9"/>
            <color indexed="81"/>
            <rFont val="Tahoma"/>
            <family val="2"/>
          </rPr>
          <t xml:space="preserve">
Certified Values
</t>
        </r>
      </text>
    </comment>
    <comment ref="A9" authorId="0" shapeId="0" xr:uid="{29788D35-7555-4B96-802D-25E6E68650E9}">
      <text>
        <r>
          <rPr>
            <b/>
            <sz val="9"/>
            <color indexed="81"/>
            <rFont val="Tahoma"/>
            <family val="2"/>
          </rPr>
          <t>Marie Andrle:</t>
        </r>
        <r>
          <rPr>
            <sz val="9"/>
            <color indexed="81"/>
            <rFont val="Tahoma"/>
            <family val="2"/>
          </rPr>
          <t xml:space="preserve">
State Funding Template (Audit Book)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Katie Bowman</author>
  </authors>
  <commentList>
    <comment ref="H12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includes ARRA funds
</t>
        </r>
      </text>
    </comment>
    <comment ref="J12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includes jobs money $1.2 million</t>
        </r>
      </text>
    </comment>
    <comment ref="H13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includes ARRA</t>
        </r>
      </text>
    </comment>
    <comment ref="H14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includes ARRA</t>
        </r>
      </text>
    </comment>
    <comment ref="H15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includes ARRA</t>
        </r>
      </text>
    </comment>
    <comment ref="H20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includes ARRA</t>
        </r>
      </text>
    </comment>
    <comment ref="H28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ARRA</t>
        </r>
      </text>
    </comment>
    <comment ref="H29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ARRA</t>
        </r>
      </text>
    </comment>
    <comment ref="H30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ARRA</t>
        </r>
      </text>
    </comment>
    <comment ref="H31" authorId="0" shapeId="0" xr:uid="{00000000-0006-0000-0500-00000A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ARRA</t>
        </r>
      </text>
    </comment>
    <comment ref="H44" authorId="0" shapeId="0" xr:uid="{00000000-0006-0000-0500-00000B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includes ARRA</t>
        </r>
      </text>
    </comment>
    <comment ref="H52" authorId="0" shapeId="0" xr:uid="{00000000-0006-0000-0500-00000C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includes ARRA</t>
        </r>
      </text>
    </comment>
    <comment ref="H61" authorId="0" shapeId="0" xr:uid="{00000000-0006-0000-0500-00000D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ARRA
</t>
        </r>
      </text>
    </comment>
    <comment ref="H68" authorId="0" shapeId="0" xr:uid="{00000000-0006-0000-0500-00000E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ARRA</t>
        </r>
      </text>
    </comment>
    <comment ref="H112" authorId="0" shapeId="0" xr:uid="{00000000-0006-0000-0500-00000F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ARRA</t>
        </r>
      </text>
    </comment>
    <comment ref="H120" authorId="0" shapeId="0" xr:uid="{00000000-0006-0000-0500-000010000000}">
      <text>
        <r>
          <rPr>
            <b/>
            <sz val="8"/>
            <color indexed="81"/>
            <rFont val="Tahoma"/>
            <family val="2"/>
          </rPr>
          <t>Katie Bowman:</t>
        </r>
        <r>
          <rPr>
            <sz val="8"/>
            <color indexed="81"/>
            <rFont val="Tahoma"/>
            <family val="2"/>
          </rPr>
          <t xml:space="preserve">
ARRA</t>
        </r>
      </text>
    </comment>
  </commentList>
</comments>
</file>

<file path=xl/sharedStrings.xml><?xml version="1.0" encoding="utf-8"?>
<sst xmlns="http://schemas.openxmlformats.org/spreadsheetml/2006/main" count="587" uniqueCount="226">
  <si>
    <t>2007-2008</t>
  </si>
  <si>
    <t>2008-2009</t>
  </si>
  <si>
    <t>Audited Financial Statements</t>
  </si>
  <si>
    <t>Adopted Budget</t>
  </si>
  <si>
    <t>EXPENDITURES</t>
  </si>
  <si>
    <t>Instruction</t>
  </si>
  <si>
    <t>Payroll</t>
  </si>
  <si>
    <t>Professional &amp; Contracted Services</t>
  </si>
  <si>
    <t>Supplies and Materials</t>
  </si>
  <si>
    <t>Other Operating Costs</t>
  </si>
  <si>
    <t>Capital Outlay</t>
  </si>
  <si>
    <t>Total</t>
  </si>
  <si>
    <t>Instructional Resources &amp; Media</t>
  </si>
  <si>
    <t>Staff Development</t>
  </si>
  <si>
    <t>Instructional Administration</t>
  </si>
  <si>
    <t>School Administration</t>
  </si>
  <si>
    <t>Guidance and Counseling</t>
  </si>
  <si>
    <t>Social Services</t>
  </si>
  <si>
    <t>Health Services</t>
  </si>
  <si>
    <t>Student Transportation</t>
  </si>
  <si>
    <t>Co-Curricular Activities</t>
  </si>
  <si>
    <t>General Administration</t>
  </si>
  <si>
    <t>Plant Maintenance &amp; Operations</t>
  </si>
  <si>
    <t>Security</t>
  </si>
  <si>
    <t>Data Processing</t>
  </si>
  <si>
    <t>Community Services</t>
  </si>
  <si>
    <t>Debt Service</t>
  </si>
  <si>
    <t>Payments to JJAEP</t>
  </si>
  <si>
    <t>Other Intergovernmental Charges</t>
  </si>
  <si>
    <t>00</t>
  </si>
  <si>
    <t>Operating Transfers</t>
  </si>
  <si>
    <t>TOTAL EXPENDITURES</t>
  </si>
  <si>
    <t>All Functions</t>
  </si>
  <si>
    <t xml:space="preserve"> Adopted Budget</t>
  </si>
  <si>
    <t>Property Value Estimates</t>
  </si>
  <si>
    <t>Tax Rate to Fund Operations</t>
  </si>
  <si>
    <t>REVENUES</t>
  </si>
  <si>
    <t>Local</t>
  </si>
  <si>
    <t>Property Taxes - Current</t>
  </si>
  <si>
    <t>Property Taxes - Delinquent</t>
  </si>
  <si>
    <t>Penalty and Interest</t>
  </si>
  <si>
    <t>Other Local Revenue</t>
  </si>
  <si>
    <t>Athletic Revenue</t>
  </si>
  <si>
    <t>Tuition</t>
  </si>
  <si>
    <t>Rental of Facilities</t>
  </si>
  <si>
    <t>Other Resources</t>
  </si>
  <si>
    <t>Interest on Investments</t>
  </si>
  <si>
    <t>State</t>
  </si>
  <si>
    <t>Foundation/Per Capita</t>
  </si>
  <si>
    <t>TRS On-Behalf</t>
  </si>
  <si>
    <t>Other State Revenues</t>
  </si>
  <si>
    <t>Federal</t>
  </si>
  <si>
    <t>Other Federal Revenue</t>
  </si>
  <si>
    <t>SHARS</t>
  </si>
  <si>
    <t>Operating Transfers &amp; Other Resources</t>
  </si>
  <si>
    <t xml:space="preserve"> Total Expenditures and Uses</t>
  </si>
  <si>
    <t>Revenues Over(Under) Expend.</t>
  </si>
  <si>
    <t xml:space="preserve">      and (Uses)</t>
  </si>
  <si>
    <t>Percent of Operating Expenditures</t>
  </si>
  <si>
    <t>Total Revenues</t>
  </si>
  <si>
    <t>Audited Data</t>
  </si>
  <si>
    <t>*</t>
  </si>
  <si>
    <t>Principal</t>
  </si>
  <si>
    <t xml:space="preserve">   </t>
  </si>
  <si>
    <t>Total Expenditures</t>
  </si>
  <si>
    <t>Increase / (Decrease) In Fund Balance</t>
  </si>
  <si>
    <t>99</t>
  </si>
  <si>
    <t>Totals</t>
  </si>
  <si>
    <t xml:space="preserve">ROTC </t>
  </si>
  <si>
    <t>COMBINED SUMMARY - GENERAL, CHILD NUTRITION AND DEBT SERVICE FUNDS</t>
  </si>
  <si>
    <t>Child</t>
  </si>
  <si>
    <t>Debt</t>
  </si>
  <si>
    <t>Fund</t>
  </si>
  <si>
    <t>Nutrition</t>
  </si>
  <si>
    <t>Service</t>
  </si>
  <si>
    <t>State Program Revenues</t>
  </si>
  <si>
    <t>Federal Program Revenues</t>
  </si>
  <si>
    <t>Food Service</t>
  </si>
  <si>
    <t>Community Service</t>
  </si>
  <si>
    <t>Other Resources / (Uses)</t>
  </si>
  <si>
    <t>Operating Transfers (Out)</t>
  </si>
  <si>
    <t>Net Increase / (Decrease) In Fund Balance</t>
  </si>
  <si>
    <t>State Matching</t>
  </si>
  <si>
    <t>USDA Commodities</t>
  </si>
  <si>
    <t>Contracted Services</t>
  </si>
  <si>
    <t xml:space="preserve"> </t>
  </si>
  <si>
    <t>Operating Transfer In</t>
  </si>
  <si>
    <t>Other Uses</t>
  </si>
  <si>
    <t>Total Revenues, Operating Transfers &amp;</t>
  </si>
  <si>
    <t>Total Expenditures and Other Uses</t>
  </si>
  <si>
    <t>Interest and Fiscal Charges</t>
  </si>
  <si>
    <t>2011-12</t>
  </si>
  <si>
    <t>General</t>
  </si>
  <si>
    <t>MIDLOTHIAN INDEPENDENT SCHOOL DISTRICT</t>
  </si>
  <si>
    <t>2008-09</t>
  </si>
  <si>
    <t>2009-10</t>
  </si>
  <si>
    <t>2010-11</t>
  </si>
  <si>
    <t>2012-13</t>
  </si>
  <si>
    <t>2013-14</t>
  </si>
  <si>
    <t xml:space="preserve">Incr / (Decr) </t>
  </si>
  <si>
    <t>Student ADA Actual/Estimates</t>
  </si>
  <si>
    <t>Student WADA Actual/Estimates</t>
  </si>
  <si>
    <t>TIRZ Tax Revenue</t>
  </si>
  <si>
    <t>Advertisng</t>
  </si>
  <si>
    <t>City Library Partnership</t>
  </si>
  <si>
    <t>District TIRZ Money</t>
  </si>
  <si>
    <t>Indirect Cost</t>
  </si>
  <si>
    <t>MAC</t>
  </si>
  <si>
    <t xml:space="preserve">Federal </t>
  </si>
  <si>
    <t>Operating Transfers In</t>
  </si>
  <si>
    <t>Estimated Fund Balance (July 1)</t>
  </si>
  <si>
    <t>Estimated Ending Fund Balance (June 30)</t>
  </si>
  <si>
    <t>Tax Increment Financing</t>
  </si>
  <si>
    <t>Totals less TIRZ</t>
  </si>
  <si>
    <t>Payroll % less TIRZ</t>
  </si>
  <si>
    <t>Fund Balance - July 1 (Beginning)</t>
  </si>
  <si>
    <t>Fund Balance - June 30 (Ending)</t>
  </si>
  <si>
    <t>Fund Balance -June 30 (Ending)  **</t>
  </si>
  <si>
    <t xml:space="preserve">**The August debt service payment is due after the new </t>
  </si>
  <si>
    <t xml:space="preserve">       budget has been passed in June.  Since the tax</t>
  </si>
  <si>
    <t xml:space="preserve">       collections for the new year do not begin until </t>
  </si>
  <si>
    <t xml:space="preserve">       October, the June 30 fund balance must be large </t>
  </si>
  <si>
    <t xml:space="preserve">       enough to cover the August payment.</t>
  </si>
  <si>
    <t>Meal Sales</t>
  </si>
  <si>
    <t>Federal Breakfast Reimbursement</t>
  </si>
  <si>
    <t>Federal Lunch Reimbursement</t>
  </si>
  <si>
    <t>Property Taxes</t>
  </si>
  <si>
    <t>REVISED BUDGETS</t>
  </si>
  <si>
    <t>Other Resources (Bond Refunding)</t>
  </si>
  <si>
    <t>Other Uses (Bond Refunding)</t>
  </si>
  <si>
    <t>Prior Period Adjustment</t>
  </si>
  <si>
    <t>-</t>
  </si>
  <si>
    <t>CBI Teacher-MHHS</t>
  </si>
  <si>
    <t>CBI Aide-MHHS</t>
  </si>
  <si>
    <t>.5 Diagnostician-MHHS</t>
  </si>
  <si>
    <t>4 Classroom Teachers-MHHS</t>
  </si>
  <si>
    <t>Aide-MHHS</t>
  </si>
  <si>
    <t>2015-16 Additional Request (included in expenditures above)</t>
  </si>
  <si>
    <t>Head Coach/Asst. Coord./Teacher - Female Prog.-MHHS teaching portion only</t>
  </si>
  <si>
    <t>Head Football Coach for MHHS-includes stipends</t>
  </si>
  <si>
    <t xml:space="preserve"> Personnel Request (Includes Benefits)</t>
  </si>
  <si>
    <t xml:space="preserve">Head Girls Soccer/Certified Teacher-MHHS teaching portion only </t>
  </si>
  <si>
    <t xml:space="preserve">Head Boys Soccer/Certified Teacher-MHHS teaching portion only </t>
  </si>
  <si>
    <t xml:space="preserve">Head Girls Basketball/Certified Teacher-MHHS teaching portion only </t>
  </si>
  <si>
    <t xml:space="preserve">Head Boys Basketball/Certified Teacher-MHHS teaching portion only </t>
  </si>
  <si>
    <t xml:space="preserve">Head Girls Softball/Certified Teacher-MHHS teaching portion only </t>
  </si>
  <si>
    <t xml:space="preserve">Head Boys Baseball/Certified Teacher-MHHS teaching portion only </t>
  </si>
  <si>
    <t xml:space="preserve">Head Track/Certified Teacher-MHHS teaching portion only </t>
  </si>
  <si>
    <t xml:space="preserve">Head Wrestling/Certified Teacher-MHHS teaching portion only </t>
  </si>
  <si>
    <t>Principal for Elementary #7 (starts January 2016)</t>
  </si>
  <si>
    <t>.5 Special Ed. Speech-MHHS</t>
  </si>
  <si>
    <t>2 Classroom Teachers/Coaches-MHHS-teaching portion only</t>
  </si>
  <si>
    <t>2 Maintenance Positions-MHHS</t>
  </si>
  <si>
    <t>3 Nurse Aides</t>
  </si>
  <si>
    <t>Assistant Athletic Director-includes benefits</t>
  </si>
  <si>
    <t>Extra 10 Days for coaches-20</t>
  </si>
  <si>
    <t>Extra 20 Days for coaches-1</t>
  </si>
  <si>
    <t>Extra 28 Days for coaches-1</t>
  </si>
  <si>
    <t>Stipend for Athletic Director</t>
  </si>
  <si>
    <t>Other Salary Adjustments</t>
  </si>
  <si>
    <t>Total New Positions/Salary Adjustments before Stipends</t>
  </si>
  <si>
    <t xml:space="preserve">  Stipends:</t>
  </si>
  <si>
    <t xml:space="preserve">   Cheer</t>
  </si>
  <si>
    <t xml:space="preserve">   Athletic-MHHS</t>
  </si>
  <si>
    <t xml:space="preserve">   Band</t>
  </si>
  <si>
    <t xml:space="preserve">  Activity Coordinator</t>
  </si>
  <si>
    <t xml:space="preserve">  DI Facilitator</t>
  </si>
  <si>
    <t xml:space="preserve">  FCCLA</t>
  </si>
  <si>
    <t xml:space="preserve">  GT</t>
  </si>
  <si>
    <t xml:space="preserve">  Honor Society</t>
  </si>
  <si>
    <t xml:space="preserve">  Math</t>
  </si>
  <si>
    <t xml:space="preserve">  Prom</t>
  </si>
  <si>
    <t xml:space="preserve">  Science</t>
  </si>
  <si>
    <t xml:space="preserve">  STAND</t>
  </si>
  <si>
    <t xml:space="preserve">  Student Council</t>
  </si>
  <si>
    <t xml:space="preserve">  UIL</t>
  </si>
  <si>
    <t xml:space="preserve">  UIL-MHS</t>
  </si>
  <si>
    <t xml:space="preserve">  UIL Coordinator</t>
  </si>
  <si>
    <t xml:space="preserve">  Yearbook</t>
  </si>
  <si>
    <t xml:space="preserve">  Total in payroll budget for stipends</t>
  </si>
  <si>
    <t>Total New Positions/Salary Adjustments</t>
  </si>
  <si>
    <t>1.5% TRS not funded in 2015-16</t>
  </si>
  <si>
    <t>Total New Personnel Included in 2015-16 Budget</t>
  </si>
  <si>
    <t xml:space="preserve">2 Curriculum Instructional Coaches/Teachers at 207 Days </t>
  </si>
  <si>
    <t>1 CTE District Coordinator</t>
  </si>
  <si>
    <t>6 Contingency Positions</t>
  </si>
  <si>
    <t>3% Raise</t>
  </si>
  <si>
    <t>Nurse for Special Ed</t>
  </si>
  <si>
    <t>Crossing Guard</t>
  </si>
  <si>
    <t>Program Assistant for Athletics/Teacher-adjustment to non-teaching salary</t>
  </si>
  <si>
    <t xml:space="preserve">      Amount added to Technology for license and phone</t>
  </si>
  <si>
    <t xml:space="preserve">      Additional Transportaion for Versatran fleet not in above budget</t>
  </si>
  <si>
    <t xml:space="preserve">      Amount added for REACH program</t>
  </si>
  <si>
    <t xml:space="preserve">      Amount  added to Athletics for officials, transportation, security &amp; supplies</t>
  </si>
  <si>
    <t xml:space="preserve">   Non-Personnel Request</t>
  </si>
  <si>
    <t>Preliminary Budget</t>
  </si>
  <si>
    <t>JULY 1, 2016 THROUGH JUNE 30, 2017</t>
  </si>
  <si>
    <t>Other Items Anticipated from Fund Balance</t>
  </si>
  <si>
    <t>Payroll Costs</t>
  </si>
  <si>
    <t>Supplies &amp; Materials</t>
  </si>
  <si>
    <t xml:space="preserve">    *Maximum Allowable Fund Balance (three months Operating Expenditures)</t>
  </si>
  <si>
    <t>EDA- Hold Harmless</t>
  </si>
  <si>
    <t>GENERAL FUND - SUPPLEMENTAL INFORMATION</t>
  </si>
  <si>
    <t>GENERAL FUND BUDGET - EXPENDITURES - SUPPLEMENTAL INFORMATION</t>
  </si>
  <si>
    <t>DEBT SERVICE FUND BUDGET-SUPPLEMENTAL INFORMATION</t>
  </si>
  <si>
    <t>CHILD NUTRITION FUND BUDGET-SUPPLEMENTAL INFORMATION</t>
  </si>
  <si>
    <t>Proposed Budget</t>
  </si>
  <si>
    <t xml:space="preserve">  </t>
  </si>
  <si>
    <t>Other Revenue</t>
  </si>
  <si>
    <t>Bond Premium/Discount</t>
  </si>
  <si>
    <t>Bond Ecrow Pay Down/Other Uses</t>
  </si>
  <si>
    <t>Food Services</t>
  </si>
  <si>
    <t>2022-23</t>
  </si>
  <si>
    <t>Insurance Recovery</t>
  </si>
  <si>
    <t>2023-24</t>
  </si>
  <si>
    <t>JULY 1, 2024 THROUGH JUNE 30, 2025</t>
  </si>
  <si>
    <t>2024-25</t>
  </si>
  <si>
    <t>Change to 24-25 Proposed Budget from 23-24 Revised Budget</t>
  </si>
  <si>
    <t>August 2024 Debt Payment</t>
  </si>
  <si>
    <t>Fund Balance -August 31, 2024</t>
  </si>
  <si>
    <t>2022-23 THROUGH 2024-25</t>
  </si>
  <si>
    <t xml:space="preserve"> Revised Budget (As of May 21, 2024) </t>
  </si>
  <si>
    <r>
      <t xml:space="preserve"> Revised Budget (As of May 21, 2024 </t>
    </r>
    <r>
      <rPr>
        <b/>
        <sz val="10"/>
        <color rgb="FFFF0000"/>
        <rFont val="Times New Roman"/>
        <family val="1"/>
      </rPr>
      <t>without</t>
    </r>
    <r>
      <rPr>
        <b/>
        <sz val="10"/>
        <rFont val="Times New Roman"/>
        <family val="1"/>
      </rPr>
      <t xml:space="preserve"> Certified Values, changes in Homestead Exemptions and 4th Six Weeks Enrollment)</t>
    </r>
  </si>
  <si>
    <t>Revised Budget   (As of 5/21/24)</t>
  </si>
  <si>
    <t xml:space="preserve"> Revised Budget (July 2022 Certified Values &amp; Revised Budget as of 5/21/24)</t>
  </si>
  <si>
    <t>Proposed Budget Based on 11,291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</si>
</sst>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??_);_(@_)"/>
    <numFmt numFmtId="166" formatCode="_(&quot;$&quot;* #,##0_);_(&quot;$&quot;* \(#,##0\);_(&quot;$&quot;* &quot;-&quot;??_);_(@_)"/>
    <numFmt numFmtId="167" formatCode="_(&quot;$&quot;* #,##0.000_);_(&quot;$&quot;* \(#,##0.000\);_(&quot;$&quot;* &quot;-&quot;_);_(@_)"/>
    <numFmt numFmtId="168" formatCode="_(* #,##0.000_);_(* \(#,##0.000\);_(* &quot;-&quot;??_);_(@_)"/>
    <numFmt numFmtId="169" formatCode="#,##0.00&quot; &quot;;&quot; (&quot;#,##0.00&quot;)&quot;;&quot; -&quot;#&quot; &quot;;@&quot; &quot;"/>
    <numFmt numFmtId="170" formatCode="&quot; $&quot;#,##0.00&quot; &quot;;&quot; $(&quot;#,##0.00&quot;)&quot;;&quot; $-&quot;#&quot; &quot;;@&quot; &quot;"/>
    <numFmt numFmtId="171" formatCode="[$-409]General"/>
    <numFmt numFmtId="172" formatCode="[$$-409]#,##0.00;[Red]&quot;-&quot;[$$-409]#,##0.00"/>
    <numFmt numFmtId="173" formatCode="_(&quot;$&quot;* #,##0.000_);_(&quot;$&quot;* \(#,##0.000\);_(&quot;$&quot;* &quot;-&quot;??_);_(@_)"/>
    <numFmt numFmtId="174" formatCode="_(* #,##0.0000_);_(* \(#,##0.0000\);_(* &quot;-&quot;??_);_(@_)"/>
    <numFmt numFmtId="175" formatCode="_(&quot;$&quot;* #,##0.0000_);_(&quot;$&quot;* \(#,##0.0000\);_(&quot;$&quot;* &quot;-&quot;??_);_(@_)"/>
    <numFmt numFmtId="176" formatCode="_(&quot;$&quot;* #,##0.0000_);_(&quot;$&quot;* \(#,##0.0000\);_(&quot;$&quot;* &quot;-&quot;_);_(@_)"/>
  </numFmts>
  <fonts count="3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 val="singleAccounting"/>
      <sz val="10"/>
      <name val="Times New Roman"/>
      <family val="1"/>
    </font>
    <font>
      <u/>
      <sz val="10"/>
      <name val="Times New Roman"/>
      <family val="1"/>
    </font>
    <font>
      <b/>
      <sz val="10"/>
      <name val="Arial Unicode MS"/>
      <family val="2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Arial MT"/>
    </font>
    <font>
      <sz val="10"/>
      <name val="MS Sans Serif"/>
      <family val="2"/>
    </font>
    <font>
      <sz val="14"/>
      <name val="Times New Roman"/>
      <family val="1"/>
    </font>
    <font>
      <sz val="10"/>
      <color theme="1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2">
    <xf numFmtId="0" fontId="0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169" fontId="20" fillId="0" borderId="0" applyBorder="0" applyProtection="0"/>
    <xf numFmtId="170" fontId="20" fillId="0" borderId="0" applyBorder="0" applyProtection="0"/>
    <xf numFmtId="171" fontId="20" fillId="0" borderId="0" applyBorder="0" applyProtection="0"/>
    <xf numFmtId="0" fontId="21" fillId="0" borderId="0" applyNumberFormat="0" applyBorder="0" applyProtection="0">
      <alignment horizontal="center"/>
    </xf>
    <xf numFmtId="0" fontId="21" fillId="0" borderId="0" applyNumberFormat="0" applyBorder="0" applyProtection="0">
      <alignment horizontal="center" textRotation="90"/>
    </xf>
    <xf numFmtId="0" fontId="13" fillId="0" borderId="0"/>
    <xf numFmtId="0" fontId="14" fillId="0" borderId="0"/>
    <xf numFmtId="0" fontId="16" fillId="2" borderId="0"/>
    <xf numFmtId="0" fontId="3" fillId="0" borderId="0"/>
    <xf numFmtId="0" fontId="22" fillId="0" borderId="0"/>
    <xf numFmtId="9" fontId="3" fillId="0" borderId="0" applyFont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0" fontId="23" fillId="0" borderId="0" applyNumberFormat="0" applyBorder="0" applyProtection="0"/>
    <xf numFmtId="172" fontId="23" fillId="0" borderId="0" applyBorder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28">
    <xf numFmtId="0" fontId="0" fillId="0" borderId="0" xfId="0"/>
    <xf numFmtId="0" fontId="5" fillId="0" borderId="0" xfId="0" applyFont="1"/>
    <xf numFmtId="42" fontId="5" fillId="0" borderId="0" xfId="0" applyNumberFormat="1" applyFont="1"/>
    <xf numFmtId="42" fontId="5" fillId="0" borderId="0" xfId="0" applyNumberFormat="1" applyFont="1" applyBorder="1"/>
    <xf numFmtId="42" fontId="5" fillId="0" borderId="0" xfId="0" applyNumberFormat="1" applyFont="1" applyFill="1" applyBorder="1"/>
    <xf numFmtId="10" fontId="5" fillId="0" borderId="0" xfId="0" applyNumberFormat="1" applyFont="1"/>
    <xf numFmtId="41" fontId="5" fillId="0" borderId="0" xfId="0" applyNumberFormat="1" applyFont="1"/>
    <xf numFmtId="42" fontId="6" fillId="0" borderId="0" xfId="0" applyNumberFormat="1" applyFont="1" applyAlignment="1">
      <alignment horizontal="center"/>
    </xf>
    <xf numFmtId="42" fontId="6" fillId="3" borderId="0" xfId="0" applyNumberFormat="1" applyFont="1" applyFill="1" applyAlignment="1">
      <alignment horizontal="center"/>
    </xf>
    <xf numFmtId="42" fontId="6" fillId="0" borderId="0" xfId="0" applyNumberFormat="1" applyFont="1" applyFill="1" applyBorder="1" applyAlignment="1">
      <alignment horizontal="center"/>
    </xf>
    <xf numFmtId="42" fontId="6" fillId="3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42" fontId="6" fillId="0" borderId="0" xfId="0" applyNumberFormat="1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left"/>
    </xf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Fill="1" applyAlignment="1">
      <alignment horizontal="center"/>
    </xf>
    <xf numFmtId="0" fontId="6" fillId="0" borderId="0" xfId="0" applyFont="1"/>
    <xf numFmtId="41" fontId="5" fillId="0" borderId="0" xfId="0" applyNumberFormat="1" applyFont="1" applyBorder="1"/>
    <xf numFmtId="41" fontId="5" fillId="0" borderId="0" xfId="0" applyNumberFormat="1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5" fontId="5" fillId="0" borderId="0" xfId="0" applyNumberFormat="1" applyFont="1"/>
    <xf numFmtId="41" fontId="5" fillId="0" borderId="1" xfId="0" applyNumberFormat="1" applyFont="1" applyBorder="1"/>
    <xf numFmtId="43" fontId="5" fillId="0" borderId="0" xfId="0" applyNumberFormat="1" applyFont="1" applyBorder="1"/>
    <xf numFmtId="43" fontId="5" fillId="0" borderId="0" xfId="0" applyNumberFormat="1" applyFont="1" applyFill="1" applyBorder="1"/>
    <xf numFmtId="43" fontId="5" fillId="0" borderId="0" xfId="0" applyNumberFormat="1" applyFont="1"/>
    <xf numFmtId="0" fontId="5" fillId="0" borderId="0" xfId="0" applyFont="1" applyBorder="1"/>
    <xf numFmtId="41" fontId="6" fillId="0" borderId="2" xfId="0" applyNumberFormat="1" applyFont="1" applyBorder="1"/>
    <xf numFmtId="41" fontId="6" fillId="0" borderId="0" xfId="0" applyNumberFormat="1" applyFont="1" applyFill="1" applyBorder="1"/>
    <xf numFmtId="0" fontId="5" fillId="0" borderId="0" xfId="0" applyFont="1" applyFill="1" applyBorder="1"/>
    <xf numFmtId="0" fontId="7" fillId="0" borderId="0" xfId="0" applyFont="1"/>
    <xf numFmtId="5" fontId="5" fillId="0" borderId="0" xfId="0" applyNumberFormat="1" applyFont="1" applyFill="1" applyBorder="1"/>
    <xf numFmtId="41" fontId="5" fillId="0" borderId="3" xfId="0" applyNumberFormat="1" applyFont="1" applyBorder="1"/>
    <xf numFmtId="5" fontId="5" fillId="0" borderId="4" xfId="0" applyNumberFormat="1" applyFont="1" applyBorder="1"/>
    <xf numFmtId="10" fontId="5" fillId="0" borderId="0" xfId="17" applyNumberFormat="1" applyFont="1"/>
    <xf numFmtId="43" fontId="5" fillId="0" borderId="0" xfId="1" applyFont="1"/>
    <xf numFmtId="10" fontId="6" fillId="0" borderId="0" xfId="0" applyNumberFormat="1" applyFont="1" applyBorder="1"/>
    <xf numFmtId="42" fontId="6" fillId="0" borderId="0" xfId="0" applyNumberFormat="1" applyFont="1" applyFill="1" applyAlignment="1">
      <alignment horizontal="center" vertical="center" wrapText="1"/>
    </xf>
    <xf numFmtId="164" fontId="5" fillId="0" borderId="0" xfId="1" applyNumberFormat="1" applyFont="1" applyBorder="1"/>
    <xf numFmtId="164" fontId="6" fillId="0" borderId="0" xfId="1" applyNumberFormat="1" applyFont="1" applyBorder="1"/>
    <xf numFmtId="164" fontId="5" fillId="0" borderId="1" xfId="1" applyNumberFormat="1" applyFont="1" applyBorder="1"/>
    <xf numFmtId="13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Alignment="1"/>
    <xf numFmtId="166" fontId="10" fillId="3" borderId="0" xfId="5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/>
    </xf>
    <xf numFmtId="164" fontId="10" fillId="3" borderId="0" xfId="1" applyNumberFormat="1" applyFont="1" applyFill="1" applyAlignment="1">
      <alignment horizontal="center"/>
    </xf>
    <xf numFmtId="42" fontId="5" fillId="0" borderId="0" xfId="0" applyNumberFormat="1" applyFont="1" applyFill="1"/>
    <xf numFmtId="0" fontId="6" fillId="0" borderId="0" xfId="0" applyFont="1" applyAlignment="1"/>
    <xf numFmtId="42" fontId="6" fillId="0" borderId="0" xfId="0" applyNumberFormat="1" applyFont="1"/>
    <xf numFmtId="41" fontId="5" fillId="0" borderId="0" xfId="0" applyNumberFormat="1" applyFont="1" applyFill="1"/>
    <xf numFmtId="164" fontId="5" fillId="0" borderId="0" xfId="0" applyNumberFormat="1" applyFont="1" applyBorder="1"/>
    <xf numFmtId="41" fontId="6" fillId="0" borderId="0" xfId="0" applyNumberFormat="1" applyFont="1" applyBorder="1"/>
    <xf numFmtId="41" fontId="6" fillId="0" borderId="0" xfId="0" applyNumberFormat="1" applyFont="1"/>
    <xf numFmtId="0" fontId="6" fillId="0" borderId="0" xfId="0" applyFont="1" applyBorder="1"/>
    <xf numFmtId="41" fontId="6" fillId="0" borderId="1" xfId="0" applyNumberFormat="1" applyFont="1" applyBorder="1"/>
    <xf numFmtId="164" fontId="6" fillId="0" borderId="3" xfId="1" applyNumberFormat="1" applyFont="1" applyBorder="1"/>
    <xf numFmtId="166" fontId="6" fillId="0" borderId="2" xfId="5" applyNumberFormat="1" applyFont="1" applyBorder="1"/>
    <xf numFmtId="166" fontId="5" fillId="0" borderId="0" xfId="5" applyNumberFormat="1" applyFont="1" applyBorder="1"/>
    <xf numFmtId="10" fontId="6" fillId="0" borderId="0" xfId="17" applyNumberFormat="1" applyFont="1"/>
    <xf numFmtId="0" fontId="6" fillId="0" borderId="0" xfId="0" applyFont="1" applyFill="1"/>
    <xf numFmtId="41" fontId="6" fillId="0" borderId="0" xfId="0" applyNumberFormat="1" applyFont="1" applyFill="1"/>
    <xf numFmtId="10" fontId="5" fillId="0" borderId="0" xfId="0" applyNumberFormat="1" applyFont="1" applyFill="1"/>
    <xf numFmtId="166" fontId="10" fillId="0" borderId="0" xfId="5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6" fontId="6" fillId="0" borderId="0" xfId="5" applyNumberFormat="1" applyFont="1" applyFill="1" applyBorder="1"/>
    <xf numFmtId="0" fontId="11" fillId="0" borderId="0" xfId="0" applyFont="1"/>
    <xf numFmtId="166" fontId="5" fillId="0" borderId="0" xfId="4" applyNumberFormat="1" applyFont="1" applyBorder="1"/>
    <xf numFmtId="41" fontId="6" fillId="0" borderId="5" xfId="0" applyNumberFormat="1" applyFont="1" applyBorder="1"/>
    <xf numFmtId="10" fontId="6" fillId="0" borderId="0" xfId="0" applyNumberFormat="1" applyFont="1"/>
    <xf numFmtId="42" fontId="6" fillId="0" borderId="2" xfId="0" applyNumberFormat="1" applyFont="1" applyBorder="1"/>
    <xf numFmtId="42" fontId="6" fillId="0" borderId="0" xfId="0" applyNumberFormat="1" applyFont="1" applyBorder="1"/>
    <xf numFmtId="165" fontId="10" fillId="0" borderId="0" xfId="0" applyNumberFormat="1" applyFont="1" applyFill="1" applyAlignment="1">
      <alignment horizontal="center"/>
    </xf>
    <xf numFmtId="0" fontId="11" fillId="0" borderId="0" xfId="0" quotePrefix="1" applyFont="1"/>
    <xf numFmtId="5" fontId="6" fillId="0" borderId="4" xfId="0" applyNumberFormat="1" applyFont="1" applyBorder="1"/>
    <xf numFmtId="5" fontId="6" fillId="0" borderId="0" xfId="0" applyNumberFormat="1" applyFont="1" applyFill="1" applyBorder="1"/>
    <xf numFmtId="0" fontId="5" fillId="0" borderId="0" xfId="13" applyFont="1"/>
    <xf numFmtId="42" fontId="5" fillId="0" borderId="0" xfId="13" applyNumberFormat="1" applyFont="1"/>
    <xf numFmtId="10" fontId="5" fillId="0" borderId="0" xfId="13" applyNumberFormat="1" applyFont="1"/>
    <xf numFmtId="0" fontId="6" fillId="0" borderId="0" xfId="13" applyFont="1" applyAlignment="1">
      <alignment horizontal="center"/>
    </xf>
    <xf numFmtId="42" fontId="5" fillId="0" borderId="0" xfId="13" applyNumberFormat="1" applyFont="1" applyBorder="1"/>
    <xf numFmtId="41" fontId="5" fillId="0" borderId="0" xfId="13" applyNumberFormat="1" applyFont="1" applyBorder="1"/>
    <xf numFmtId="41" fontId="5" fillId="0" borderId="0" xfId="13" applyNumberFormat="1" applyFont="1"/>
    <xf numFmtId="41" fontId="5" fillId="0" borderId="6" xfId="13" applyNumberFormat="1" applyFont="1" applyBorder="1"/>
    <xf numFmtId="10" fontId="5" fillId="0" borderId="0" xfId="13" applyNumberFormat="1" applyFont="1" applyBorder="1"/>
    <xf numFmtId="42" fontId="6" fillId="0" borderId="0" xfId="13" applyNumberFormat="1" applyFont="1" applyAlignment="1">
      <alignment horizontal="center"/>
    </xf>
    <xf numFmtId="13" fontId="6" fillId="3" borderId="0" xfId="13" applyNumberFormat="1" applyFont="1" applyFill="1" applyAlignment="1">
      <alignment horizontal="center"/>
    </xf>
    <xf numFmtId="13" fontId="6" fillId="0" borderId="0" xfId="13" applyNumberFormat="1" applyFont="1" applyFill="1" applyBorder="1" applyAlignment="1">
      <alignment horizontal="center"/>
    </xf>
    <xf numFmtId="42" fontId="6" fillId="3" borderId="0" xfId="13" applyNumberFormat="1" applyFont="1" applyFill="1" applyAlignment="1">
      <alignment horizontal="center"/>
    </xf>
    <xf numFmtId="42" fontId="6" fillId="0" borderId="0" xfId="13" applyNumberFormat="1" applyFont="1" applyFill="1" applyBorder="1" applyAlignment="1">
      <alignment horizontal="center"/>
    </xf>
    <xf numFmtId="10" fontId="6" fillId="3" borderId="0" xfId="13" applyNumberFormat="1" applyFont="1" applyFill="1" applyAlignment="1">
      <alignment horizontal="center"/>
    </xf>
    <xf numFmtId="10" fontId="6" fillId="0" borderId="0" xfId="13" applyNumberFormat="1" applyFont="1" applyFill="1" applyBorder="1" applyAlignment="1">
      <alignment horizontal="center"/>
    </xf>
    <xf numFmtId="41" fontId="6" fillId="3" borderId="0" xfId="13" applyNumberFormat="1" applyFont="1" applyFill="1" applyAlignment="1">
      <alignment horizontal="center"/>
    </xf>
    <xf numFmtId="165" fontId="6" fillId="0" borderId="0" xfId="13" applyNumberFormat="1" applyFont="1" applyAlignment="1"/>
    <xf numFmtId="165" fontId="6" fillId="0" borderId="0" xfId="13" applyNumberFormat="1" applyFont="1" applyAlignment="1">
      <alignment horizontal="center"/>
    </xf>
    <xf numFmtId="166" fontId="10" fillId="3" borderId="0" xfId="6" applyNumberFormat="1" applyFont="1" applyFill="1" applyAlignment="1">
      <alignment horizontal="center"/>
    </xf>
    <xf numFmtId="165" fontId="6" fillId="0" borderId="0" xfId="13" applyNumberFormat="1" applyFont="1" applyFill="1" applyBorder="1" applyAlignment="1">
      <alignment horizontal="center"/>
    </xf>
    <xf numFmtId="165" fontId="6" fillId="3" borderId="0" xfId="13" applyNumberFormat="1" applyFont="1" applyFill="1" applyAlignment="1">
      <alignment horizontal="center"/>
    </xf>
    <xf numFmtId="165" fontId="10" fillId="3" borderId="0" xfId="13" applyNumberFormat="1" applyFont="1" applyFill="1" applyAlignment="1">
      <alignment horizontal="center"/>
    </xf>
    <xf numFmtId="165" fontId="6" fillId="0" borderId="0" xfId="13" applyNumberFormat="1" applyFont="1" applyAlignment="1">
      <alignment horizontal="left"/>
    </xf>
    <xf numFmtId="164" fontId="10" fillId="0" borderId="0" xfId="3" applyNumberFormat="1" applyFont="1" applyFill="1" applyAlignment="1">
      <alignment horizontal="center"/>
    </xf>
    <xf numFmtId="165" fontId="6" fillId="0" borderId="0" xfId="13" applyNumberFormat="1" applyFont="1" applyFill="1" applyAlignment="1">
      <alignment horizontal="center"/>
    </xf>
    <xf numFmtId="0" fontId="6" fillId="0" borderId="0" xfId="13" applyFont="1"/>
    <xf numFmtId="41" fontId="5" fillId="0" borderId="3" xfId="13" applyNumberFormat="1" applyFont="1" applyBorder="1"/>
    <xf numFmtId="37" fontId="5" fillId="0" borderId="0" xfId="13" applyNumberFormat="1" applyFont="1" applyBorder="1"/>
    <xf numFmtId="0" fontId="5" fillId="0" borderId="0" xfId="13" applyFont="1" applyAlignment="1">
      <alignment horizontal="center"/>
    </xf>
    <xf numFmtId="0" fontId="5" fillId="0" borderId="0" xfId="13" applyFont="1" applyBorder="1"/>
    <xf numFmtId="49" fontId="5" fillId="0" borderId="0" xfId="3" applyNumberFormat="1" applyFont="1" applyAlignment="1">
      <alignment horizontal="center"/>
    </xf>
    <xf numFmtId="0" fontId="6" fillId="0" borderId="0" xfId="13" applyFont="1" applyFill="1"/>
    <xf numFmtId="42" fontId="6" fillId="0" borderId="0" xfId="13" applyNumberFormat="1" applyFont="1" applyFill="1"/>
    <xf numFmtId="41" fontId="6" fillId="0" borderId="0" xfId="13" applyNumberFormat="1" applyFont="1" applyFill="1" applyBorder="1"/>
    <xf numFmtId="0" fontId="5" fillId="0" borderId="0" xfId="13" applyFont="1" applyFill="1"/>
    <xf numFmtId="42" fontId="5" fillId="0" borderId="0" xfId="13" applyNumberFormat="1" applyFont="1" applyFill="1"/>
    <xf numFmtId="41" fontId="5" fillId="0" borderId="0" xfId="13" applyNumberFormat="1" applyFont="1" applyFill="1" applyBorder="1"/>
    <xf numFmtId="41" fontId="5" fillId="0" borderId="3" xfId="13" applyNumberFormat="1" applyFont="1" applyFill="1" applyBorder="1"/>
    <xf numFmtId="42" fontId="6" fillId="0" borderId="3" xfId="13" applyNumberFormat="1" applyFont="1" applyBorder="1"/>
    <xf numFmtId="42" fontId="6" fillId="0" borderId="0" xfId="13" applyNumberFormat="1" applyFont="1" applyBorder="1"/>
    <xf numFmtId="42" fontId="6" fillId="0" borderId="0" xfId="13" applyNumberFormat="1" applyFont="1"/>
    <xf numFmtId="168" fontId="5" fillId="0" borderId="0" xfId="13" applyNumberFormat="1" applyFont="1"/>
    <xf numFmtId="0" fontId="5" fillId="0" borderId="0" xfId="15" applyFont="1"/>
    <xf numFmtId="42" fontId="5" fillId="0" borderId="0" xfId="15" applyNumberFormat="1" applyFont="1"/>
    <xf numFmtId="42" fontId="5" fillId="0" borderId="0" xfId="15" applyNumberFormat="1" applyFont="1" applyBorder="1"/>
    <xf numFmtId="10" fontId="5" fillId="0" borderId="0" xfId="15" applyNumberFormat="1" applyFont="1"/>
    <xf numFmtId="10" fontId="5" fillId="0" borderId="0" xfId="15" applyNumberFormat="1" applyFont="1" applyBorder="1"/>
    <xf numFmtId="41" fontId="5" fillId="0" borderId="0" xfId="15" applyNumberFormat="1" applyFont="1"/>
    <xf numFmtId="42" fontId="6" fillId="0" borderId="0" xfId="15" applyNumberFormat="1" applyFont="1" applyAlignment="1">
      <alignment horizontal="center"/>
    </xf>
    <xf numFmtId="42" fontId="6" fillId="0" borderId="0" xfId="15" applyNumberFormat="1" applyFont="1" applyFill="1" applyBorder="1" applyAlignment="1">
      <alignment horizontal="center"/>
    </xf>
    <xf numFmtId="0" fontId="5" fillId="0" borderId="0" xfId="15" applyFont="1" applyFill="1"/>
    <xf numFmtId="42" fontId="6" fillId="0" borderId="0" xfId="15" applyNumberFormat="1" applyFont="1" applyFill="1" applyAlignment="1">
      <alignment horizontal="center"/>
    </xf>
    <xf numFmtId="10" fontId="6" fillId="0" borderId="0" xfId="15" applyNumberFormat="1" applyFont="1" applyFill="1" applyAlignment="1">
      <alignment horizontal="center"/>
    </xf>
    <xf numFmtId="0" fontId="6" fillId="0" borderId="0" xfId="15" applyFont="1" applyAlignment="1"/>
    <xf numFmtId="165" fontId="6" fillId="0" borderId="0" xfId="15" applyNumberFormat="1" applyFont="1" applyAlignment="1">
      <alignment horizontal="left"/>
    </xf>
    <xf numFmtId="165" fontId="6" fillId="0" borderId="0" xfId="15" applyNumberFormat="1" applyFont="1" applyAlignment="1">
      <alignment horizontal="center"/>
    </xf>
    <xf numFmtId="165" fontId="6" fillId="0" borderId="0" xfId="15" applyNumberFormat="1" applyFont="1" applyFill="1" applyAlignment="1">
      <alignment horizontal="center"/>
    </xf>
    <xf numFmtId="165" fontId="6" fillId="0" borderId="0" xfId="15" applyNumberFormat="1" applyFont="1" applyFill="1" applyBorder="1" applyAlignment="1">
      <alignment horizontal="center"/>
    </xf>
    <xf numFmtId="0" fontId="6" fillId="0" borderId="0" xfId="15" applyFont="1"/>
    <xf numFmtId="41" fontId="5" fillId="0" borderId="0" xfId="15" applyNumberFormat="1" applyFont="1" applyBorder="1"/>
    <xf numFmtId="41" fontId="5" fillId="0" borderId="3" xfId="15" applyNumberFormat="1" applyFont="1" applyBorder="1"/>
    <xf numFmtId="42" fontId="6" fillId="0" borderId="0" xfId="15" applyNumberFormat="1" applyFont="1"/>
    <xf numFmtId="41" fontId="6" fillId="0" borderId="0" xfId="15" applyNumberFormat="1" applyFont="1" applyBorder="1"/>
    <xf numFmtId="0" fontId="5" fillId="0" borderId="0" xfId="15" applyFont="1" applyBorder="1"/>
    <xf numFmtId="41" fontId="6" fillId="0" borderId="1" xfId="15" applyNumberFormat="1" applyFont="1" applyBorder="1"/>
    <xf numFmtId="41" fontId="5" fillId="0" borderId="0" xfId="15" applyNumberFormat="1" applyFont="1" applyFill="1" applyBorder="1"/>
    <xf numFmtId="42" fontId="6" fillId="0" borderId="0" xfId="15" applyNumberFormat="1" applyFont="1" applyBorder="1"/>
    <xf numFmtId="41" fontId="5" fillId="0" borderId="1" xfId="15" applyNumberFormat="1" applyFont="1" applyBorder="1"/>
    <xf numFmtId="41" fontId="5" fillId="0" borderId="0" xfId="15" applyNumberFormat="1" applyFont="1" applyFill="1"/>
    <xf numFmtId="42" fontId="5" fillId="0" borderId="0" xfId="15" applyNumberFormat="1" applyFont="1" applyFill="1"/>
    <xf numFmtId="10" fontId="5" fillId="0" borderId="0" xfId="17" applyNumberFormat="1" applyFont="1" applyBorder="1"/>
    <xf numFmtId="0" fontId="18" fillId="0" borderId="0" xfId="0" applyFont="1"/>
    <xf numFmtId="41" fontId="5" fillId="0" borderId="1" xfId="0" applyNumberFormat="1" applyFont="1" applyFill="1" applyBorder="1"/>
    <xf numFmtId="5" fontId="6" fillId="0" borderId="0" xfId="0" applyNumberFormat="1" applyFont="1"/>
    <xf numFmtId="173" fontId="10" fillId="3" borderId="0" xfId="6" applyNumberFormat="1" applyFont="1" applyFill="1" applyAlignment="1">
      <alignment horizontal="center"/>
    </xf>
    <xf numFmtId="42" fontId="6" fillId="3" borderId="0" xfId="0" quotePrefix="1" applyNumberFormat="1" applyFont="1" applyFill="1" applyAlignment="1">
      <alignment horizontal="center"/>
    </xf>
    <xf numFmtId="166" fontId="6" fillId="0" borderId="5" xfId="4" applyNumberFormat="1" applyFont="1" applyBorder="1"/>
    <xf numFmtId="166" fontId="6" fillId="0" borderId="0" xfId="4" applyNumberFormat="1" applyFont="1" applyBorder="1"/>
    <xf numFmtId="42" fontId="6" fillId="0" borderId="2" xfId="15" applyNumberFormat="1" applyFont="1" applyBorder="1"/>
    <xf numFmtId="42" fontId="6" fillId="3" borderId="0" xfId="0" applyNumberFormat="1" applyFont="1" applyFill="1" applyAlignment="1">
      <alignment horizontal="center" vertical="center" wrapText="1"/>
    </xf>
    <xf numFmtId="168" fontId="10" fillId="3" borderId="0" xfId="1" applyNumberFormat="1" applyFont="1" applyFill="1" applyAlignment="1">
      <alignment horizontal="center"/>
    </xf>
    <xf numFmtId="168" fontId="10" fillId="0" borderId="0" xfId="1" applyNumberFormat="1" applyFont="1" applyFill="1" applyAlignment="1">
      <alignment horizontal="center"/>
    </xf>
    <xf numFmtId="42" fontId="5" fillId="0" borderId="0" xfId="0" applyNumberFormat="1" applyFont="1" applyAlignment="1">
      <alignment vertical="top"/>
    </xf>
    <xf numFmtId="41" fontId="6" fillId="0" borderId="2" xfId="0" applyNumberFormat="1" applyFont="1" applyFill="1" applyBorder="1"/>
    <xf numFmtId="5" fontId="6" fillId="5" borderId="0" xfId="0" applyNumberFormat="1" applyFont="1" applyFill="1"/>
    <xf numFmtId="174" fontId="5" fillId="0" borderId="0" xfId="0" applyNumberFormat="1" applyFont="1" applyFill="1" applyBorder="1"/>
    <xf numFmtId="42" fontId="6" fillId="3" borderId="0" xfId="0" applyNumberFormat="1" applyFont="1" applyFill="1" applyAlignment="1">
      <alignment horizontal="center" vertical="center" wrapText="1"/>
    </xf>
    <xf numFmtId="10" fontId="5" fillId="0" borderId="0" xfId="17" applyNumberFormat="1" applyFont="1" applyFill="1"/>
    <xf numFmtId="166" fontId="5" fillId="0" borderId="0" xfId="4" applyNumberFormat="1" applyFont="1"/>
    <xf numFmtId="10" fontId="6" fillId="0" borderId="0" xfId="17" applyNumberFormat="1" applyFont="1" applyBorder="1"/>
    <xf numFmtId="44" fontId="10" fillId="3" borderId="0" xfId="4" applyFont="1" applyFill="1" applyAlignment="1">
      <alignment horizontal="center"/>
    </xf>
    <xf numFmtId="0" fontId="25" fillId="0" borderId="0" xfId="0" quotePrefix="1" applyFont="1" applyFill="1" applyAlignment="1"/>
    <xf numFmtId="164" fontId="6" fillId="0" borderId="5" xfId="1" applyNumberFormat="1" applyFont="1" applyBorder="1"/>
    <xf numFmtId="166" fontId="5" fillId="0" borderId="0" xfId="4" applyNumberFormat="1" applyFont="1" applyBorder="1"/>
    <xf numFmtId="41" fontId="5" fillId="0" borderId="0" xfId="0" applyNumberFormat="1" applyFont="1" applyBorder="1"/>
    <xf numFmtId="0" fontId="15" fillId="0" borderId="0" xfId="15" applyFont="1" applyFill="1" applyAlignment="1"/>
    <xf numFmtId="42" fontId="6" fillId="3" borderId="0" xfId="0" applyNumberFormat="1" applyFont="1" applyFill="1" applyAlignment="1">
      <alignment horizontal="center" vertical="center" wrapText="1"/>
    </xf>
    <xf numFmtId="41" fontId="5" fillId="4" borderId="0" xfId="0" applyNumberFormat="1" applyFont="1" applyFill="1" applyBorder="1"/>
    <xf numFmtId="41" fontId="5" fillId="4" borderId="3" xfId="0" applyNumberFormat="1" applyFont="1" applyFill="1" applyBorder="1"/>
    <xf numFmtId="164" fontId="5" fillId="0" borderId="0" xfId="0" applyNumberFormat="1" applyFont="1" applyFill="1" applyBorder="1"/>
    <xf numFmtId="164" fontId="6" fillId="0" borderId="3" xfId="1" applyNumberFormat="1" applyFont="1" applyFill="1" applyBorder="1"/>
    <xf numFmtId="164" fontId="6" fillId="0" borderId="0" xfId="1" applyNumberFormat="1" applyFont="1" applyFill="1" applyBorder="1"/>
    <xf numFmtId="166" fontId="6" fillId="0" borderId="2" xfId="5" applyNumberFormat="1" applyFont="1" applyFill="1" applyBorder="1"/>
    <xf numFmtId="10" fontId="6" fillId="0" borderId="0" xfId="17" applyNumberFormat="1" applyFont="1" applyFill="1"/>
    <xf numFmtId="42" fontId="6" fillId="6" borderId="0" xfId="0" quotePrefix="1" applyNumberFormat="1" applyFont="1" applyFill="1" applyAlignment="1">
      <alignment horizontal="center"/>
    </xf>
    <xf numFmtId="42" fontId="6" fillId="6" borderId="0" xfId="0" applyNumberFormat="1" applyFont="1" applyFill="1" applyAlignment="1">
      <alignment horizontal="center" vertical="center" wrapText="1"/>
    </xf>
    <xf numFmtId="166" fontId="10" fillId="6" borderId="0" xfId="5" applyNumberFormat="1" applyFont="1" applyFill="1" applyAlignment="1">
      <alignment horizontal="center"/>
    </xf>
    <xf numFmtId="165" fontId="10" fillId="6" borderId="0" xfId="0" applyNumberFormat="1" applyFont="1" applyFill="1" applyAlignment="1">
      <alignment horizontal="center"/>
    </xf>
    <xf numFmtId="168" fontId="10" fillId="6" borderId="0" xfId="1" applyNumberFormat="1" applyFont="1" applyFill="1" applyAlignment="1">
      <alignment horizontal="center"/>
    </xf>
    <xf numFmtId="0" fontId="6" fillId="0" borderId="0" xfId="0" applyFont="1" applyFill="1" applyBorder="1"/>
    <xf numFmtId="166" fontId="5" fillId="0" borderId="0" xfId="5" applyNumberFormat="1" applyFont="1" applyFill="1" applyBorder="1"/>
    <xf numFmtId="41" fontId="6" fillId="0" borderId="5" xfId="0" applyNumberFormat="1" applyFont="1" applyFill="1" applyBorder="1"/>
    <xf numFmtId="41" fontId="6" fillId="0" borderId="1" xfId="0" applyNumberFormat="1" applyFont="1" applyFill="1" applyBorder="1"/>
    <xf numFmtId="41" fontId="5" fillId="0" borderId="3" xfId="0" applyNumberFormat="1" applyFont="1" applyFill="1" applyBorder="1"/>
    <xf numFmtId="42" fontId="6" fillId="0" borderId="2" xfId="0" applyNumberFormat="1" applyFont="1" applyFill="1" applyBorder="1"/>
    <xf numFmtId="42" fontId="6" fillId="0" borderId="0" xfId="0" applyNumberFormat="1" applyFont="1" applyFill="1" applyBorder="1"/>
    <xf numFmtId="10" fontId="6" fillId="0" borderId="0" xfId="0" applyNumberFormat="1" applyFont="1" applyFill="1"/>
    <xf numFmtId="166" fontId="6" fillId="0" borderId="5" xfId="4" applyNumberFormat="1" applyFont="1" applyFill="1" applyBorder="1"/>
    <xf numFmtId="164" fontId="5" fillId="0" borderId="0" xfId="1" applyNumberFormat="1" applyFont="1" applyFill="1" applyBorder="1"/>
    <xf numFmtId="10" fontId="5" fillId="0" borderId="0" xfId="0" applyNumberFormat="1" applyFont="1" applyFill="1" applyBorder="1"/>
    <xf numFmtId="166" fontId="5" fillId="0" borderId="0" xfId="4" applyNumberFormat="1" applyFont="1" applyFill="1"/>
    <xf numFmtId="10" fontId="5" fillId="0" borderId="0" xfId="15" applyNumberFormat="1" applyFont="1" applyFill="1"/>
    <xf numFmtId="41" fontId="5" fillId="0" borderId="1" xfId="15" applyNumberFormat="1" applyFont="1" applyFill="1" applyBorder="1"/>
    <xf numFmtId="41" fontId="6" fillId="0" borderId="1" xfId="15" applyNumberFormat="1" applyFont="1" applyFill="1" applyBorder="1"/>
    <xf numFmtId="41" fontId="5" fillId="0" borderId="3" xfId="15" applyNumberFormat="1" applyFont="1" applyFill="1" applyBorder="1"/>
    <xf numFmtId="42" fontId="6" fillId="0" borderId="2" xfId="15" applyNumberFormat="1" applyFont="1" applyFill="1" applyBorder="1"/>
    <xf numFmtId="0" fontId="5" fillId="0" borderId="0" xfId="15" applyFont="1" applyFill="1" applyAlignment="1">
      <alignment horizontal="right"/>
    </xf>
    <xf numFmtId="42" fontId="5" fillId="0" borderId="0" xfId="15" applyNumberFormat="1" applyFont="1" applyFill="1" applyBorder="1"/>
    <xf numFmtId="166" fontId="5" fillId="0" borderId="0" xfId="4" applyNumberFormat="1" applyFont="1" applyFill="1" applyBorder="1"/>
    <xf numFmtId="166" fontId="6" fillId="0" borderId="0" xfId="4" applyNumberFormat="1" applyFont="1" applyFill="1" applyBorder="1"/>
    <xf numFmtId="0" fontId="5" fillId="0" borderId="0" xfId="15" applyFont="1" applyFill="1" applyBorder="1"/>
    <xf numFmtId="41" fontId="5" fillId="0" borderId="0" xfId="15" applyNumberFormat="1" applyFont="1" applyFill="1" applyBorder="1" applyAlignment="1">
      <alignment horizontal="center"/>
    </xf>
    <xf numFmtId="41" fontId="6" fillId="0" borderId="0" xfId="15" applyNumberFormat="1" applyFont="1" applyFill="1" applyBorder="1"/>
    <xf numFmtId="42" fontId="6" fillId="0" borderId="0" xfId="15" applyNumberFormat="1" applyFont="1" applyFill="1" applyBorder="1"/>
    <xf numFmtId="10" fontId="5" fillId="0" borderId="0" xfId="15" applyNumberFormat="1" applyFont="1" applyFill="1" applyBorder="1"/>
    <xf numFmtId="42" fontId="6" fillId="0" borderId="0" xfId="0" applyNumberFormat="1" applyFont="1" applyFill="1" applyBorder="1" applyAlignment="1">
      <alignment horizontal="center" vertical="center" wrapText="1"/>
    </xf>
    <xf numFmtId="41" fontId="6" fillId="0" borderId="0" xfId="15" applyNumberFormat="1" applyFont="1" applyFill="1" applyAlignment="1">
      <alignment horizontal="center"/>
    </xf>
    <xf numFmtId="164" fontId="5" fillId="0" borderId="0" xfId="1" applyNumberFormat="1" applyFont="1" applyFill="1"/>
    <xf numFmtId="10" fontId="5" fillId="0" borderId="1" xfId="15" applyNumberFormat="1" applyFont="1" applyFill="1" applyBorder="1"/>
    <xf numFmtId="166" fontId="6" fillId="0" borderId="0" xfId="4" applyNumberFormat="1" applyFont="1" applyFill="1"/>
    <xf numFmtId="10" fontId="5" fillId="0" borderId="5" xfId="15" applyNumberFormat="1" applyFont="1" applyFill="1" applyBorder="1"/>
    <xf numFmtId="0" fontId="6" fillId="0" borderId="0" xfId="15" applyFont="1" applyFill="1"/>
    <xf numFmtId="10" fontId="6" fillId="0" borderId="1" xfId="15" applyNumberFormat="1" applyFont="1" applyFill="1" applyBorder="1"/>
    <xf numFmtId="164" fontId="6" fillId="0" borderId="0" xfId="1" applyNumberFormat="1" applyFont="1" applyFill="1"/>
    <xf numFmtId="10" fontId="6" fillId="0" borderId="2" xfId="17" applyNumberFormat="1" applyFont="1" applyFill="1" applyBorder="1"/>
    <xf numFmtId="10" fontId="5" fillId="0" borderId="3" xfId="15" applyNumberFormat="1" applyFont="1" applyFill="1" applyBorder="1"/>
    <xf numFmtId="0" fontId="5" fillId="0" borderId="0" xfId="15" applyFont="1" applyFill="1" applyAlignment="1">
      <alignment horizontal="center"/>
    </xf>
    <xf numFmtId="10" fontId="6" fillId="0" borderId="2" xfId="15" applyNumberFormat="1" applyFont="1" applyFill="1" applyBorder="1"/>
    <xf numFmtId="0" fontId="26" fillId="0" borderId="0" xfId="15" applyFont="1" applyFill="1"/>
    <xf numFmtId="165" fontId="27" fillId="0" borderId="0" xfId="15" applyNumberFormat="1" applyFont="1" applyFill="1" applyAlignment="1">
      <alignment horizontal="center"/>
    </xf>
    <xf numFmtId="42" fontId="26" fillId="0" borderId="0" xfId="15" applyNumberFormat="1" applyFont="1" applyFill="1" applyBorder="1"/>
    <xf numFmtId="41" fontId="26" fillId="0" borderId="0" xfId="15" applyNumberFormat="1" applyFont="1" applyFill="1" applyBorder="1"/>
    <xf numFmtId="166" fontId="27" fillId="0" borderId="0" xfId="4" applyNumberFormat="1" applyFont="1" applyFill="1" applyBorder="1"/>
    <xf numFmtId="0" fontId="26" fillId="0" borderId="0" xfId="15" applyFont="1" applyFill="1" applyBorder="1"/>
    <xf numFmtId="41" fontId="27" fillId="0" borderId="0" xfId="15" applyNumberFormat="1" applyFont="1" applyFill="1" applyBorder="1"/>
    <xf numFmtId="0" fontId="26" fillId="0" borderId="0" xfId="13" applyFont="1" applyFill="1"/>
    <xf numFmtId="41" fontId="26" fillId="0" borderId="0" xfId="0" applyNumberFormat="1" applyFont="1" applyFill="1" applyBorder="1"/>
    <xf numFmtId="41" fontId="27" fillId="0" borderId="0" xfId="0" applyNumberFormat="1" applyFont="1" applyFill="1" applyBorder="1"/>
    <xf numFmtId="10" fontId="26" fillId="0" borderId="0" xfId="15" applyNumberFormat="1" applyFont="1" applyFill="1" applyBorder="1"/>
    <xf numFmtId="42" fontId="27" fillId="0" borderId="0" xfId="15" applyNumberFormat="1" applyFont="1" applyFill="1" applyBorder="1"/>
    <xf numFmtId="0" fontId="26" fillId="0" borderId="0" xfId="0" applyFont="1" applyFill="1"/>
    <xf numFmtId="164" fontId="6" fillId="0" borderId="1" xfId="1" applyNumberFormat="1" applyFont="1" applyFill="1" applyBorder="1"/>
    <xf numFmtId="0" fontId="6" fillId="0" borderId="0" xfId="0" applyFont="1" applyFill="1" applyAlignment="1">
      <alignment horizontal="right"/>
    </xf>
    <xf numFmtId="168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/>
    <xf numFmtId="42" fontId="5" fillId="0" borderId="0" xfId="0" applyNumberFormat="1" applyFont="1" applyFill="1" applyBorder="1" applyAlignment="1">
      <alignment horizontal="center"/>
    </xf>
    <xf numFmtId="10" fontId="5" fillId="0" borderId="1" xfId="0" applyNumberFormat="1" applyFont="1" applyFill="1" applyBorder="1"/>
    <xf numFmtId="10" fontId="6" fillId="0" borderId="5" xfId="0" applyNumberFormat="1" applyFont="1" applyFill="1" applyBorder="1"/>
    <xf numFmtId="10" fontId="6" fillId="0" borderId="1" xfId="0" applyNumberFormat="1" applyFont="1" applyFill="1" applyBorder="1"/>
    <xf numFmtId="10" fontId="6" fillId="0" borderId="1" xfId="17" applyNumberFormat="1" applyFont="1" applyFill="1" applyBorder="1"/>
    <xf numFmtId="10" fontId="5" fillId="0" borderId="3" xfId="0" applyNumberFormat="1" applyFont="1" applyFill="1" applyBorder="1"/>
    <xf numFmtId="10" fontId="6" fillId="0" borderId="2" xfId="0" applyNumberFormat="1" applyFont="1" applyFill="1" applyBorder="1"/>
    <xf numFmtId="167" fontId="10" fillId="6" borderId="0" xfId="0" applyNumberFormat="1" applyFont="1" applyFill="1" applyAlignment="1">
      <alignment horizontal="center"/>
    </xf>
    <xf numFmtId="164" fontId="10" fillId="6" borderId="0" xfId="1" applyNumberFormat="1" applyFont="1" applyFill="1" applyAlignment="1">
      <alignment horizontal="center"/>
    </xf>
    <xf numFmtId="10" fontId="6" fillId="6" borderId="3" xfId="17" applyNumberFormat="1" applyFont="1" applyFill="1" applyBorder="1"/>
    <xf numFmtId="10" fontId="6" fillId="6" borderId="3" xfId="0" applyNumberFormat="1" applyFont="1" applyFill="1" applyBorder="1"/>
    <xf numFmtId="10" fontId="6" fillId="6" borderId="1" xfId="17" applyNumberFormat="1" applyFont="1" applyFill="1" applyBorder="1" applyAlignment="1">
      <alignment horizontal="right"/>
    </xf>
    <xf numFmtId="5" fontId="5" fillId="0" borderId="0" xfId="0" applyNumberFormat="1" applyFont="1" applyFill="1"/>
    <xf numFmtId="5" fontId="6" fillId="0" borderId="4" xfId="0" applyNumberFormat="1" applyFont="1" applyFill="1" applyBorder="1"/>
    <xf numFmtId="0" fontId="15" fillId="0" borderId="0" xfId="0" applyFont="1" applyFill="1" applyAlignment="1"/>
    <xf numFmtId="10" fontId="5" fillId="0" borderId="0" xfId="17" applyNumberFormat="1" applyFont="1" applyFill="1" applyBorder="1"/>
    <xf numFmtId="16" fontId="11" fillId="0" borderId="0" xfId="0" quotePrefix="1" applyNumberFormat="1" applyFont="1"/>
    <xf numFmtId="10" fontId="6" fillId="0" borderId="0" xfId="17" applyNumberFormat="1" applyFont="1" applyFill="1" applyBorder="1"/>
    <xf numFmtId="0" fontId="5" fillId="0" borderId="0" xfId="0" quotePrefix="1" applyFont="1"/>
    <xf numFmtId="41" fontId="5" fillId="0" borderId="0" xfId="15" applyNumberFormat="1" applyFont="1" applyBorder="1" applyAlignment="1">
      <alignment horizontal="right"/>
    </xf>
    <xf numFmtId="16" fontId="11" fillId="0" borderId="0" xfId="0" applyNumberFormat="1" applyFont="1"/>
    <xf numFmtId="42" fontId="6" fillId="0" borderId="0" xfId="0" quotePrefix="1" applyNumberFormat="1" applyFont="1" applyFill="1" applyAlignment="1">
      <alignment horizontal="center"/>
    </xf>
    <xf numFmtId="0" fontId="7" fillId="4" borderId="0" xfId="0" applyFont="1" applyFill="1"/>
    <xf numFmtId="0" fontId="5" fillId="4" borderId="0" xfId="0" applyFont="1" applyFill="1" applyBorder="1"/>
    <xf numFmtId="0" fontId="5" fillId="4" borderId="0" xfId="0" applyFont="1" applyFill="1"/>
    <xf numFmtId="0" fontId="6" fillId="4" borderId="0" xfId="0" applyFont="1" applyFill="1"/>
    <xf numFmtId="41" fontId="6" fillId="4" borderId="0" xfId="0" applyNumberFormat="1" applyFont="1" applyFill="1"/>
    <xf numFmtId="10" fontId="6" fillId="4" borderId="0" xfId="17" applyNumberFormat="1" applyFont="1" applyFill="1"/>
    <xf numFmtId="10" fontId="5" fillId="4" borderId="0" xfId="17" applyNumberFormat="1" applyFont="1" applyFill="1"/>
    <xf numFmtId="0" fontId="15" fillId="3" borderId="0" xfId="0" quotePrefix="1" applyFont="1" applyFill="1" applyAlignment="1">
      <alignment horizontal="center"/>
    </xf>
    <xf numFmtId="41" fontId="5" fillId="0" borderId="0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0" xfId="0" applyFont="1" applyFill="1"/>
    <xf numFmtId="42" fontId="5" fillId="0" borderId="0" xfId="1" applyNumberFormat="1" applyFont="1" applyFill="1" applyBorder="1"/>
    <xf numFmtId="0" fontId="5" fillId="0" borderId="0" xfId="0" applyFon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15" fillId="6" borderId="0" xfId="0" applyFont="1" applyFill="1" applyAlignment="1">
      <alignment horizontal="left"/>
    </xf>
    <xf numFmtId="0" fontId="15" fillId="3" borderId="0" xfId="0" quotePrefix="1" applyFont="1" applyFill="1" applyAlignment="1">
      <alignment horizontal="left"/>
    </xf>
    <xf numFmtId="0" fontId="15" fillId="3" borderId="0" xfId="0" applyFont="1" applyFill="1" applyAlignment="1">
      <alignment horizontal="center"/>
    </xf>
    <xf numFmtId="0" fontId="5" fillId="6" borderId="0" xfId="0" applyFont="1" applyFill="1"/>
    <xf numFmtId="0" fontId="15" fillId="3" borderId="0" xfId="0" applyFont="1" applyFill="1" applyAlignment="1"/>
    <xf numFmtId="0" fontId="5" fillId="6" borderId="0" xfId="0" applyFont="1" applyFill="1" applyBorder="1"/>
    <xf numFmtId="0" fontId="15" fillId="3" borderId="0" xfId="0" applyFont="1" applyFill="1" applyAlignment="1">
      <alignment horizontal="right"/>
    </xf>
    <xf numFmtId="0" fontId="18" fillId="6" borderId="0" xfId="0" applyFont="1" applyFill="1"/>
    <xf numFmtId="167" fontId="10" fillId="0" borderId="0" xfId="0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0" fontId="6" fillId="0" borderId="0" xfId="17" applyNumberFormat="1" applyFont="1" applyFill="1" applyBorder="1" applyAlignment="1">
      <alignment horizontal="right"/>
    </xf>
    <xf numFmtId="42" fontId="6" fillId="6" borderId="0" xfId="0" applyNumberFormat="1" applyFont="1" applyFill="1" applyBorder="1" applyAlignment="1">
      <alignment horizontal="center" vertical="center" wrapText="1"/>
    </xf>
    <xf numFmtId="42" fontId="6" fillId="6" borderId="0" xfId="0" quotePrefix="1" applyNumberFormat="1" applyFont="1" applyFill="1" applyBorder="1" applyAlignment="1">
      <alignment horizontal="center"/>
    </xf>
    <xf numFmtId="0" fontId="0" fillId="0" borderId="3" xfId="0" applyBorder="1"/>
    <xf numFmtId="0" fontId="5" fillId="0" borderId="3" xfId="0" applyFont="1" applyBorder="1"/>
    <xf numFmtId="10" fontId="6" fillId="0" borderId="2" xfId="17" applyNumberFormat="1" applyFont="1" applyFill="1" applyBorder="1" applyAlignment="1">
      <alignment horizontal="right"/>
    </xf>
    <xf numFmtId="0" fontId="15" fillId="6" borderId="0" xfId="0" applyFont="1" applyFill="1" applyAlignment="1"/>
    <xf numFmtId="166" fontId="6" fillId="0" borderId="0" xfId="5" applyNumberFormat="1" applyFont="1" applyFill="1" applyBorder="1" applyAlignment="1">
      <alignment horizontal="center"/>
    </xf>
    <xf numFmtId="37" fontId="5" fillId="0" borderId="1" xfId="4" applyNumberFormat="1" applyFont="1" applyBorder="1"/>
    <xf numFmtId="41" fontId="5" fillId="0" borderId="1" xfId="4" applyNumberFormat="1" applyFont="1" applyBorder="1"/>
    <xf numFmtId="10" fontId="5" fillId="0" borderId="2" xfId="0" applyNumberFormat="1" applyFont="1" applyFill="1" applyBorder="1"/>
    <xf numFmtId="10" fontId="6" fillId="0" borderId="4" xfId="0" applyNumberFormat="1" applyFont="1" applyFill="1" applyBorder="1"/>
    <xf numFmtId="5" fontId="6" fillId="0" borderId="0" xfId="0" applyNumberFormat="1" applyFont="1" applyFill="1"/>
    <xf numFmtId="176" fontId="10" fillId="6" borderId="0" xfId="0" applyNumberFormat="1" applyFont="1" applyFill="1" applyAlignment="1">
      <alignment horizontal="center"/>
    </xf>
    <xf numFmtId="166" fontId="10" fillId="0" borderId="0" xfId="6" applyNumberFormat="1" applyFont="1" applyFill="1" applyAlignment="1">
      <alignment horizontal="center"/>
    </xf>
    <xf numFmtId="175" fontId="10" fillId="0" borderId="0" xfId="4" applyNumberFormat="1" applyFont="1" applyFill="1" applyAlignment="1">
      <alignment horizontal="center"/>
    </xf>
    <xf numFmtId="173" fontId="10" fillId="0" borderId="0" xfId="6" applyNumberFormat="1" applyFont="1" applyFill="1" applyAlignment="1">
      <alignment horizontal="center"/>
    </xf>
    <xf numFmtId="37" fontId="5" fillId="0" borderId="0" xfId="4" applyNumberFormat="1" applyFont="1" applyBorder="1"/>
    <xf numFmtId="41" fontId="5" fillId="0" borderId="0" xfId="15" applyNumberFormat="1" applyFont="1" applyFill="1" applyBorder="1" applyAlignment="1">
      <alignment horizontal="right"/>
    </xf>
    <xf numFmtId="166" fontId="5" fillId="0" borderId="2" xfId="4" applyNumberFormat="1" applyFont="1" applyFill="1" applyBorder="1"/>
    <xf numFmtId="41" fontId="5" fillId="4" borderId="1" xfId="0" applyNumberFormat="1" applyFont="1" applyFill="1" applyBorder="1"/>
    <xf numFmtId="164" fontId="5" fillId="0" borderId="0" xfId="1" applyNumberFormat="1" applyFont="1"/>
    <xf numFmtId="0" fontId="5" fillId="0" borderId="0" xfId="0" applyNumberFormat="1" applyFont="1" applyFill="1"/>
    <xf numFmtId="164" fontId="5" fillId="0" borderId="1" xfId="1" applyNumberFormat="1" applyFont="1" applyFill="1" applyBorder="1"/>
    <xf numFmtId="164" fontId="6" fillId="0" borderId="5" xfId="1" applyNumberFormat="1" applyFont="1" applyFill="1" applyBorder="1"/>
    <xf numFmtId="173" fontId="10" fillId="6" borderId="0" xfId="4" applyNumberFormat="1" applyFont="1" applyFill="1" applyAlignment="1">
      <alignment horizontal="center"/>
    </xf>
    <xf numFmtId="10" fontId="6" fillId="6" borderId="0" xfId="0" applyNumberFormat="1" applyFont="1" applyFill="1" applyAlignment="1">
      <alignment horizontal="center"/>
    </xf>
    <xf numFmtId="41" fontId="6" fillId="0" borderId="3" xfId="0" applyNumberFormat="1" applyFont="1" applyFill="1" applyBorder="1"/>
    <xf numFmtId="41" fontId="5" fillId="0" borderId="0" xfId="23" applyNumberFormat="1" applyFont="1"/>
    <xf numFmtId="41" fontId="5" fillId="4" borderId="0" xfId="0" applyNumberFormat="1" applyFont="1" applyFill="1"/>
    <xf numFmtId="164" fontId="5" fillId="0" borderId="0" xfId="0" applyNumberFormat="1" applyFont="1"/>
    <xf numFmtId="41" fontId="32" fillId="0" borderId="0" xfId="0" applyNumberFormat="1" applyFont="1" applyBorder="1"/>
    <xf numFmtId="0" fontId="4" fillId="3" borderId="0" xfId="13" applyFont="1" applyFill="1" applyAlignment="1">
      <alignment horizontal="center"/>
    </xf>
    <xf numFmtId="42" fontId="24" fillId="0" borderId="0" xfId="0" applyNumberFormat="1" applyFont="1" applyFill="1" applyAlignment="1">
      <alignment horizontal="center"/>
    </xf>
    <xf numFmtId="0" fontId="5" fillId="0" borderId="0" xfId="15" applyFont="1" applyAlignment="1">
      <alignment horizontal="right" wrapText="1"/>
    </xf>
    <xf numFmtId="0" fontId="25" fillId="3" borderId="0" xfId="15" applyFont="1" applyFill="1" applyAlignment="1">
      <alignment horizontal="center"/>
    </xf>
    <xf numFmtId="0" fontId="25" fillId="3" borderId="0" xfId="0" quotePrefix="1" applyFont="1" applyFill="1" applyAlignment="1">
      <alignment horizontal="center"/>
    </xf>
    <xf numFmtId="0" fontId="15" fillId="3" borderId="0" xfId="0" applyFont="1" applyFill="1" applyAlignment="1">
      <alignment horizontal="center"/>
    </xf>
  </cellXfs>
  <cellStyles count="32">
    <cellStyle name="Comma" xfId="1" builtinId="3"/>
    <cellStyle name="Comma 2" xfId="2" xr:uid="{00000000-0005-0000-0000-000001000000}"/>
    <cellStyle name="Comma 3" xfId="3" xr:uid="{00000000-0005-0000-0000-000002000000}"/>
    <cellStyle name="Comma 3 2" xfId="21" xr:uid="{00000000-0005-0000-0000-000003000000}"/>
    <cellStyle name="Currency" xfId="4" builtinId="4"/>
    <cellStyle name="Currency 2" xfId="5" xr:uid="{00000000-0005-0000-0000-000005000000}"/>
    <cellStyle name="Currency 3" xfId="6" xr:uid="{00000000-0005-0000-0000-000006000000}"/>
    <cellStyle name="Currency 3 2" xfId="22" xr:uid="{00000000-0005-0000-0000-000007000000}"/>
    <cellStyle name="Excel Built-in Comma" xfId="7" xr:uid="{00000000-0005-0000-0000-000008000000}"/>
    <cellStyle name="Excel Built-in Currency" xfId="8" xr:uid="{00000000-0005-0000-0000-000009000000}"/>
    <cellStyle name="Excel Built-in Normal" xfId="9" xr:uid="{00000000-0005-0000-0000-00000A000000}"/>
    <cellStyle name="Followed Hyperlink" xfId="27" builtinId="9" hidden="1"/>
    <cellStyle name="Followed Hyperlink" xfId="29" builtinId="9" hidden="1"/>
    <cellStyle name="Followed Hyperlink" xfId="31" builtinId="9" hidden="1"/>
    <cellStyle name="Heading" xfId="10" xr:uid="{00000000-0005-0000-0000-00000E000000}"/>
    <cellStyle name="Heading1" xfId="11" xr:uid="{00000000-0005-0000-0000-00000F000000}"/>
    <cellStyle name="Hyperlink" xfId="26" builtinId="8" hidden="1"/>
    <cellStyle name="Hyperlink" xfId="28" builtinId="8" hidden="1"/>
    <cellStyle name="Hyperlink" xfId="30" builtinId="8" hidden="1"/>
    <cellStyle name="Normal" xfId="0" builtinId="0"/>
    <cellStyle name="Normal 2" xfId="12" xr:uid="{00000000-0005-0000-0000-000014000000}"/>
    <cellStyle name="Normal 3" xfId="13" xr:uid="{00000000-0005-0000-0000-000015000000}"/>
    <cellStyle name="Normal 3 2" xfId="23" xr:uid="{00000000-0005-0000-0000-000016000000}"/>
    <cellStyle name="Normal 4" xfId="14" xr:uid="{00000000-0005-0000-0000-000017000000}"/>
    <cellStyle name="Normal 4 2" xfId="15" xr:uid="{00000000-0005-0000-0000-000018000000}"/>
    <cellStyle name="Normal 5" xfId="16" xr:uid="{00000000-0005-0000-0000-000019000000}"/>
    <cellStyle name="Normal 6" xfId="24" xr:uid="{00000000-0005-0000-0000-00001A000000}"/>
    <cellStyle name="Normal 7" xfId="25" xr:uid="{00000000-0005-0000-0000-00001B000000}"/>
    <cellStyle name="Percent" xfId="17" builtinId="5"/>
    <cellStyle name="PSChar" xfId="18" xr:uid="{00000000-0005-0000-0000-00001D000000}"/>
    <cellStyle name="Result" xfId="19" xr:uid="{00000000-0005-0000-0000-00001E000000}"/>
    <cellStyle name="Result2" xfId="20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8-09%20Updated%20Budget%20Worksheets%209-8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idlothian%20ISD%20Budget%20Analysis%204-18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09-10_budget_worksheets%206-24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9-10_budget_worksheets%209-29-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08-09%20TB%2010-7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"/>
      <sheetName val="Combined 08-09"/>
      <sheetName val="08-09 GF Summary +100 stud"/>
      <sheetName val="08-09 Revised GF"/>
      <sheetName val="08-09 Revised DSF Summary"/>
      <sheetName val="Revenue Chart"/>
      <sheetName val="08-09 GF Exp with Obj am payrol"/>
      <sheetName val="Expenditure Chart"/>
      <sheetName val="08-09 CN Summary"/>
      <sheetName val="08-09 HB1 Schedule "/>
      <sheetName val="08-09 Expenses-Adj"/>
      <sheetName val="07-08 &amp; 08-09 Payroll revised"/>
      <sheetName val="Budget Amendment"/>
      <sheetName val="08-09 GF Detailed Summary"/>
      <sheetName val="08-09 GF Summary "/>
      <sheetName val="07-08 GF Revenue"/>
      <sheetName val="08-09 GF Expend with Object"/>
      <sheetName val="GF Expend with Object"/>
      <sheetName val="GF Expenditures"/>
      <sheetName val="07-08 CN Summary"/>
      <sheetName val="07-08 DSF Summary"/>
      <sheetName val="08-09 Expenses"/>
      <sheetName val="Cuts 08-09"/>
      <sheetName val="08-09 Expenses-Adj working"/>
      <sheetName val="08-09 Payroll proj 07-08"/>
      <sheetName val="08-09 Payroll Data Entry"/>
      <sheetName val="Co Curricular"/>
      <sheetName val="07-08 Payroll Data Entry"/>
      <sheetName val="KB Payroll Analysis"/>
      <sheetName val="08-09 comparison "/>
      <sheetName val="HB1 Schedule"/>
      <sheetName val="Revenue and Expense table"/>
      <sheetName val="07-08 4-8-09"/>
      <sheetName val="07-08 4-8-09 (2)"/>
    </sheetNames>
    <sheetDataSet>
      <sheetData sheetId="0" refreshError="1"/>
      <sheetData sheetId="1" refreshError="1"/>
      <sheetData sheetId="2" refreshError="1"/>
      <sheetData sheetId="3" refreshError="1">
        <row r="7">
          <cell r="H7">
            <v>7239391080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3">
          <cell r="F23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Fund Summary"/>
      <sheetName val="General Fund Expenditures"/>
    </sheetNames>
    <sheetDataSet>
      <sheetData sheetId="0">
        <row r="30">
          <cell r="H30">
            <v>3002487</v>
          </cell>
          <cell r="J30">
            <v>1205300</v>
          </cell>
        </row>
      </sheetData>
      <sheetData sheetId="1">
        <row r="165">
          <cell r="D165">
            <v>55221106.460000001</v>
          </cell>
          <cell r="F165">
            <v>57706498.169999994</v>
          </cell>
          <cell r="J165">
            <v>54729974.250000015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09-10"/>
      <sheetName val="GF below the line new leg Board"/>
      <sheetName val="New Revenue Chart"/>
      <sheetName val="Exp Budget Sum"/>
      <sheetName val="New Exp Chart"/>
      <sheetName val="09-10 CN Summary"/>
      <sheetName val="09-10 DSF Summary Revised"/>
      <sheetName val="09-10 HB1 Schedule "/>
      <sheetName val="09-10 DSF Summary"/>
      <sheetName val="GF Rev"/>
      <sheetName val="GF below the line new leg"/>
      <sheetName val="GF below the line"/>
      <sheetName val="GF below the line half new rev"/>
      <sheetName val="GF below the line no new rev"/>
      <sheetName val="Revenue Chart"/>
      <sheetName val="Expenditure Chart"/>
      <sheetName val="DS TB 07-08"/>
      <sheetName val="07-08 exp"/>
      <sheetName val="07-08 TB"/>
      <sheetName val="08-09 budget"/>
      <sheetName val="08-09 personnel"/>
      <sheetName val="Combined 08-09"/>
      <sheetName val="08-09 GF Summary +100 stud"/>
      <sheetName val="08-09 Revised Rev bud"/>
      <sheetName val="08-09 Revised DSF Summary"/>
      <sheetName val="08-09 CN Summary"/>
      <sheetName val="08-09 Expenses-Adj"/>
      <sheetName val="07-08 &amp; 08-09 Payroll revised"/>
      <sheetName val="Budget Amendment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>
        <row r="3213">
          <cell r="K3213">
            <v>-91888490</v>
          </cell>
        </row>
        <row r="3559">
          <cell r="K3559">
            <v>-957554.85</v>
          </cell>
        </row>
        <row r="4942">
          <cell r="K4942">
            <v>-3230058.1899999995</v>
          </cell>
        </row>
        <row r="5172">
          <cell r="K5172">
            <v>-339525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6">
          <cell r="C6">
            <v>73342394.06300126</v>
          </cell>
        </row>
        <row r="7">
          <cell r="H7">
            <v>0</v>
          </cell>
        </row>
      </sheetData>
      <sheetData sheetId="27">
        <row r="6">
          <cell r="G6">
            <v>71726323</v>
          </cell>
        </row>
      </sheetData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09-10"/>
      <sheetName val="GF below the line new leg Board"/>
      <sheetName val="New Revenue Chart"/>
      <sheetName val="Exp Budget Sum"/>
      <sheetName val="New Exp Chart"/>
      <sheetName val="09-10 CN Summary"/>
      <sheetName val="09-10 GF revised audit"/>
      <sheetName val="09-10 GF revised"/>
      <sheetName val="09-10 DSF Summary Revised audit"/>
      <sheetName val="09-10 DSF Summary Revised"/>
      <sheetName val="09-10 HB1 Schedule "/>
      <sheetName val="09-10 DSF Summary"/>
      <sheetName val="GF Rev"/>
      <sheetName val="GF below the line new leg"/>
      <sheetName val="GF below the line"/>
      <sheetName val="GF below the line half new rev"/>
      <sheetName val="GF below the line no new rev"/>
      <sheetName val="Revenue Chart"/>
      <sheetName val="Expenditure Chart"/>
      <sheetName val="DS TB 07-08"/>
      <sheetName val="07-08 exp"/>
      <sheetName val="07-08 TB"/>
      <sheetName val="08-09 budget"/>
      <sheetName val="08-09 personnel"/>
      <sheetName val="Combined 08-09"/>
      <sheetName val="08-09 GF Summary +100 stud"/>
      <sheetName val="08-09 Revised Rev bud"/>
      <sheetName val="08-09 Revised DSF Summary"/>
      <sheetName val="08-09 CN Summary"/>
      <sheetName val="08-09 Expenses-Adj"/>
      <sheetName val="07-08 &amp; 08-09 Payroll revised"/>
      <sheetName val="Budget Amendment"/>
    </sheetNames>
    <sheetDataSet>
      <sheetData sheetId="0"/>
      <sheetData sheetId="1"/>
      <sheetData sheetId="2"/>
      <sheetData sheetId="3">
        <row r="165">
          <cell r="G165">
            <v>152967513</v>
          </cell>
        </row>
      </sheetData>
      <sheetData sheetId="4"/>
      <sheetData sheetId="5"/>
      <sheetData sheetId="6"/>
      <sheetData sheetId="7">
        <row r="7">
          <cell r="N7">
            <v>7576055149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F"/>
      <sheetName val="DS"/>
      <sheetName val="Summary GF"/>
    </sheetNames>
    <sheetDataSet>
      <sheetData sheetId="0"/>
      <sheetData sheetId="1"/>
      <sheetData sheetId="2">
        <row r="10">
          <cell r="I10">
            <v>-26886958.984000001</v>
          </cell>
        </row>
        <row r="11">
          <cell r="I11">
            <v>-156612.15299999999</v>
          </cell>
        </row>
        <row r="12">
          <cell r="I12">
            <v>-203995.52799999999</v>
          </cell>
        </row>
        <row r="13">
          <cell r="I13">
            <v>-47960.39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showGridLines="0" topLeftCell="A40" workbookViewId="0">
      <selection activeCell="D8" sqref="D8"/>
    </sheetView>
  </sheetViews>
  <sheetFormatPr defaultColWidth="8.85546875" defaultRowHeight="12.75"/>
  <cols>
    <col min="1" max="1" width="5.42578125" style="78" customWidth="1"/>
    <col min="2" max="2" width="2.7109375" style="78" customWidth="1"/>
    <col min="3" max="3" width="25.85546875" style="78" bestFit="1" customWidth="1"/>
    <col min="4" max="4" width="15.85546875" style="78" customWidth="1"/>
    <col min="5" max="5" width="1.42578125" style="108" customWidth="1"/>
    <col min="6" max="6" width="13.42578125" style="78" customWidth="1"/>
    <col min="7" max="7" width="1.42578125" style="108" customWidth="1"/>
    <col min="8" max="8" width="15.42578125" style="78" bestFit="1" customWidth="1"/>
    <col min="9" max="9" width="1.42578125" style="108" customWidth="1"/>
    <col min="10" max="10" width="15.42578125" style="84" bestFit="1" customWidth="1"/>
    <col min="11" max="16384" width="8.85546875" style="78"/>
  </cols>
  <sheetData>
    <row r="1" spans="1:13" ht="15.75">
      <c r="A1" s="322" t="s">
        <v>93</v>
      </c>
      <c r="B1" s="322"/>
      <c r="C1" s="322"/>
      <c r="D1" s="322"/>
      <c r="E1" s="322"/>
      <c r="F1" s="322"/>
      <c r="G1" s="322"/>
      <c r="H1" s="322"/>
      <c r="I1" s="322"/>
      <c r="J1" s="322"/>
    </row>
    <row r="2" spans="1:13" ht="15.75">
      <c r="A2" s="322" t="s">
        <v>69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3" ht="15.75">
      <c r="A3" s="322" t="s">
        <v>127</v>
      </c>
      <c r="B3" s="322"/>
      <c r="C3" s="322"/>
      <c r="D3" s="322"/>
      <c r="E3" s="322"/>
      <c r="F3" s="322"/>
      <c r="G3" s="322"/>
      <c r="H3" s="322"/>
      <c r="I3" s="322"/>
      <c r="J3" s="322"/>
    </row>
    <row r="4" spans="1:13" ht="15.75">
      <c r="A4" s="322" t="s">
        <v>196</v>
      </c>
      <c r="B4" s="322"/>
      <c r="C4" s="322"/>
      <c r="D4" s="322"/>
      <c r="E4" s="322"/>
      <c r="F4" s="322"/>
      <c r="G4" s="322"/>
      <c r="H4" s="322"/>
      <c r="I4" s="322"/>
      <c r="J4" s="322"/>
    </row>
    <row r="5" spans="1:13">
      <c r="C5" s="79"/>
      <c r="D5" s="79"/>
      <c r="E5" s="82"/>
      <c r="F5" s="79"/>
      <c r="G5" s="82"/>
      <c r="H5" s="80"/>
      <c r="I5" s="86"/>
    </row>
    <row r="6" spans="1:13">
      <c r="B6" s="87"/>
      <c r="D6" s="88" t="s">
        <v>92</v>
      </c>
      <c r="E6" s="89"/>
      <c r="F6" s="90" t="s">
        <v>70</v>
      </c>
      <c r="G6" s="91"/>
      <c r="H6" s="92" t="s">
        <v>71</v>
      </c>
      <c r="I6" s="93"/>
      <c r="J6" s="94" t="s">
        <v>11</v>
      </c>
    </row>
    <row r="7" spans="1:13">
      <c r="B7" s="81"/>
      <c r="C7" s="87"/>
      <c r="D7" s="90" t="s">
        <v>72</v>
      </c>
      <c r="E7" s="91"/>
      <c r="F7" s="90" t="s">
        <v>73</v>
      </c>
      <c r="G7" s="91"/>
      <c r="H7" s="92" t="s">
        <v>74</v>
      </c>
      <c r="I7" s="93"/>
      <c r="J7" s="94"/>
    </row>
    <row r="8" spans="1:13" s="96" customFormat="1" ht="15">
      <c r="A8" s="45" t="s">
        <v>34</v>
      </c>
      <c r="D8" s="97">
        <f>'General Fund Summary'!T7</f>
        <v>9480684300</v>
      </c>
      <c r="E8" s="98"/>
      <c r="F8" s="99"/>
      <c r="G8" s="98"/>
      <c r="H8" s="97">
        <f>' Prop DS '!T7</f>
        <v>9480684300</v>
      </c>
      <c r="I8" s="98"/>
      <c r="J8" s="97">
        <f>+D8</f>
        <v>9480684300</v>
      </c>
    </row>
    <row r="9" spans="1:13" s="96" customFormat="1" ht="15">
      <c r="A9" s="45" t="s">
        <v>35</v>
      </c>
      <c r="D9" s="169">
        <f>'General Fund Summary'!T8</f>
        <v>0.66920000000000002</v>
      </c>
      <c r="E9" s="98"/>
      <c r="F9" s="99"/>
      <c r="G9" s="98"/>
      <c r="H9" s="153">
        <f>' Prop DS '!T8</f>
        <v>0.44</v>
      </c>
      <c r="I9" s="98"/>
      <c r="J9" s="100">
        <f>+D9+H9</f>
        <v>1.1092</v>
      </c>
    </row>
    <row r="10" spans="1:13" s="96" customFormat="1" ht="15">
      <c r="A10" s="45" t="s">
        <v>100</v>
      </c>
      <c r="B10" s="101"/>
      <c r="D10" s="159">
        <f>'General Fund Summary'!T9</f>
        <v>10382.814</v>
      </c>
      <c r="E10" s="98"/>
      <c r="F10" s="99"/>
      <c r="G10" s="98"/>
      <c r="H10" s="159">
        <f>' Prop DS '!T9</f>
        <v>10382.814</v>
      </c>
      <c r="I10" s="98"/>
      <c r="J10" s="159">
        <f>+H10</f>
        <v>10382.814</v>
      </c>
    </row>
    <row r="11" spans="1:13" s="96" customFormat="1" ht="15">
      <c r="A11" s="45" t="s">
        <v>101</v>
      </c>
      <c r="B11" s="101"/>
      <c r="D11" s="159">
        <f>'General Fund Summary'!T10</f>
        <v>13485.616</v>
      </c>
      <c r="E11" s="98"/>
      <c r="F11" s="99"/>
      <c r="G11" s="98"/>
      <c r="H11" s="159">
        <f>' Prop DS '!T10</f>
        <v>13485.616</v>
      </c>
      <c r="I11" s="98"/>
      <c r="J11" s="159">
        <f>+H11</f>
        <v>13485.616</v>
      </c>
    </row>
    <row r="12" spans="1:13" s="96" customFormat="1" ht="15">
      <c r="A12" s="95"/>
      <c r="B12" s="101"/>
      <c r="D12" s="102"/>
      <c r="E12" s="98"/>
      <c r="F12" s="103"/>
      <c r="G12" s="98"/>
      <c r="H12" s="102"/>
      <c r="I12" s="98"/>
      <c r="J12" s="102"/>
    </row>
    <row r="13" spans="1:13">
      <c r="A13" s="104" t="s">
        <v>36</v>
      </c>
      <c r="C13" s="79"/>
      <c r="D13" s="79"/>
      <c r="E13" s="82"/>
      <c r="F13" s="79"/>
      <c r="G13" s="82"/>
      <c r="H13" s="80"/>
      <c r="I13" s="86"/>
    </row>
    <row r="14" spans="1:13">
      <c r="B14" s="78" t="s">
        <v>126</v>
      </c>
      <c r="C14" s="79"/>
      <c r="D14" s="79">
        <f>'General Fund Summary'!T14:T15</f>
        <v>54498637</v>
      </c>
      <c r="E14" s="82"/>
      <c r="F14" s="79">
        <v>0</v>
      </c>
      <c r="G14" s="82"/>
      <c r="H14" s="79">
        <f>+' Prop DS '!T14+' Prop DS '!T15</f>
        <v>41702370</v>
      </c>
      <c r="I14" s="82"/>
      <c r="J14" s="79">
        <f>SUM(D14:H14)</f>
        <v>96201007</v>
      </c>
      <c r="M14" s="120">
        <f>+J14/$J$19</f>
        <v>0.56622974224926537</v>
      </c>
    </row>
    <row r="15" spans="1:13">
      <c r="B15" s="78" t="s">
        <v>41</v>
      </c>
      <c r="C15" s="79"/>
      <c r="D15" s="84">
        <f>'General Fund Summary'!T27-'Revised 15-16'!D14</f>
        <v>15924561.219999999</v>
      </c>
      <c r="E15" s="83"/>
      <c r="F15" s="84">
        <f>' CN Summary Board'!N13</f>
        <v>2612016</v>
      </c>
      <c r="G15" s="83"/>
      <c r="H15" s="84">
        <f>+' Prop DS '!T19-' Prop DS '!T14-' Prop DS '!T15</f>
        <v>850000</v>
      </c>
      <c r="I15" s="82"/>
      <c r="J15" s="84">
        <f>SUM(D15:H15)</f>
        <v>19386577.219999999</v>
      </c>
      <c r="M15" s="120">
        <f>+J15/$J$19</f>
        <v>0.11410750224658332</v>
      </c>
    </row>
    <row r="16" spans="1:13">
      <c r="B16" s="78" t="s">
        <v>75</v>
      </c>
      <c r="C16" s="79"/>
      <c r="D16" s="84">
        <f>'General Fund Summary'!T33</f>
        <v>50997667</v>
      </c>
      <c r="E16" s="83"/>
      <c r="F16" s="84">
        <f>' CN Summary Board'!N17</f>
        <v>19200</v>
      </c>
      <c r="G16" s="83"/>
      <c r="H16" s="84">
        <v>0</v>
      </c>
      <c r="I16" s="83"/>
      <c r="J16" s="84">
        <f>SUM(D16:H16)</f>
        <v>51016867</v>
      </c>
      <c r="M16" s="120">
        <f>+J16/$J$19</f>
        <v>0.3002803021778665</v>
      </c>
    </row>
    <row r="17" spans="1:13">
      <c r="B17" s="78" t="s">
        <v>76</v>
      </c>
      <c r="C17" s="79"/>
      <c r="D17" s="105">
        <f>'General Fund Summary'!T45</f>
        <v>997969</v>
      </c>
      <c r="E17" s="83"/>
      <c r="F17" s="105">
        <f>' CN Summary Board'!N24</f>
        <v>2295061</v>
      </c>
      <c r="G17" s="83"/>
      <c r="H17" s="105">
        <f>'[1]07-08 DSF Summary'!F23</f>
        <v>0</v>
      </c>
      <c r="I17" s="106"/>
      <c r="J17" s="105">
        <f>SUM(D17:H17)</f>
        <v>3293030</v>
      </c>
      <c r="M17" s="120">
        <f>+J17/$J$19</f>
        <v>1.9382453326284809E-2</v>
      </c>
    </row>
    <row r="18" spans="1:13">
      <c r="C18" s="79"/>
      <c r="D18" s="83"/>
      <c r="E18" s="83"/>
      <c r="F18" s="83"/>
      <c r="G18" s="83"/>
      <c r="H18" s="83"/>
      <c r="I18" s="83"/>
      <c r="J18" s="83"/>
    </row>
    <row r="19" spans="1:13">
      <c r="C19" s="79" t="s">
        <v>59</v>
      </c>
      <c r="D19" s="105">
        <f>SUM(D14:D17)</f>
        <v>122418834.22</v>
      </c>
      <c r="E19" s="83"/>
      <c r="F19" s="105">
        <f>SUM(F15:F17)</f>
        <v>4926277</v>
      </c>
      <c r="G19" s="83"/>
      <c r="H19" s="105">
        <f>SUM(H14:H17)</f>
        <v>42552370</v>
      </c>
      <c r="I19" s="83"/>
      <c r="J19" s="105">
        <f>SUM(J14:J17)</f>
        <v>169897481.22</v>
      </c>
    </row>
    <row r="20" spans="1:13">
      <c r="C20" s="79"/>
      <c r="D20" s="84"/>
      <c r="E20" s="83"/>
      <c r="F20" s="84"/>
      <c r="G20" s="83"/>
      <c r="H20" s="84"/>
      <c r="I20" s="83"/>
    </row>
    <row r="21" spans="1:13">
      <c r="A21" s="104" t="s">
        <v>4</v>
      </c>
      <c r="C21" s="79"/>
      <c r="D21" s="84"/>
      <c r="E21" s="83"/>
      <c r="F21" s="84"/>
      <c r="G21" s="83"/>
      <c r="H21" s="84"/>
      <c r="I21" s="83"/>
    </row>
    <row r="22" spans="1:13">
      <c r="A22" s="107">
        <v>11</v>
      </c>
      <c r="B22" s="78" t="s">
        <v>5</v>
      </c>
      <c r="D22" s="83">
        <f>'General Fund Expenditures'!T17</f>
        <v>59699853.880000003</v>
      </c>
      <c r="E22" s="83"/>
      <c r="F22" s="83"/>
      <c r="G22" s="83"/>
      <c r="J22" s="84">
        <f t="shared" ref="J22:J41" si="0">SUM(D22:H22)</f>
        <v>59699853.880000003</v>
      </c>
    </row>
    <row r="23" spans="1:13">
      <c r="A23" s="107">
        <v>12</v>
      </c>
      <c r="B23" s="78" t="s">
        <v>12</v>
      </c>
      <c r="D23" s="83">
        <f>'General Fund Expenditures'!T25</f>
        <v>1326220</v>
      </c>
      <c r="E23" s="83"/>
      <c r="F23" s="83"/>
      <c r="G23" s="83"/>
      <c r="H23" s="83"/>
      <c r="I23" s="83"/>
      <c r="J23" s="84">
        <f t="shared" si="0"/>
        <v>1326220</v>
      </c>
    </row>
    <row r="24" spans="1:13">
      <c r="A24" s="107">
        <v>13</v>
      </c>
      <c r="B24" s="78" t="s">
        <v>13</v>
      </c>
      <c r="D24" s="83">
        <f>'General Fund Expenditures'!T33</f>
        <v>1535588</v>
      </c>
      <c r="E24" s="83"/>
      <c r="F24" s="83"/>
      <c r="G24" s="83"/>
      <c r="H24" s="83"/>
      <c r="I24" s="83"/>
      <c r="J24" s="84">
        <f t="shared" si="0"/>
        <v>1535588</v>
      </c>
    </row>
    <row r="25" spans="1:13">
      <c r="A25" s="107">
        <v>21</v>
      </c>
      <c r="B25" s="78" t="s">
        <v>14</v>
      </c>
      <c r="D25" s="83">
        <f>'General Fund Expenditures'!T41</f>
        <v>1298288</v>
      </c>
      <c r="E25" s="83"/>
      <c r="F25" s="83"/>
      <c r="G25" s="83"/>
      <c r="H25" s="83"/>
      <c r="I25" s="83"/>
      <c r="J25" s="84">
        <f t="shared" si="0"/>
        <v>1298288</v>
      </c>
    </row>
    <row r="26" spans="1:13" ht="13.5" customHeight="1">
      <c r="A26" s="107">
        <v>23</v>
      </c>
      <c r="B26" s="78" t="s">
        <v>15</v>
      </c>
      <c r="D26" s="83">
        <f>'General Fund Expenditures'!T49</f>
        <v>5734031.8399999999</v>
      </c>
      <c r="E26" s="83"/>
      <c r="F26" s="83"/>
      <c r="G26" s="83"/>
      <c r="H26" s="83"/>
      <c r="I26" s="83"/>
      <c r="J26" s="84">
        <f t="shared" si="0"/>
        <v>5734031.8399999999</v>
      </c>
    </row>
    <row r="27" spans="1:13" ht="13.5" customHeight="1">
      <c r="A27" s="107">
        <v>31</v>
      </c>
      <c r="B27" s="78" t="s">
        <v>16</v>
      </c>
      <c r="D27" s="83">
        <f>'General Fund Expenditures'!T57</f>
        <v>4586947</v>
      </c>
      <c r="E27" s="83"/>
      <c r="F27" s="83"/>
      <c r="G27" s="83"/>
      <c r="H27" s="83"/>
      <c r="I27" s="83"/>
      <c r="J27" s="84">
        <f t="shared" si="0"/>
        <v>4586947</v>
      </c>
    </row>
    <row r="28" spans="1:13" ht="13.5" customHeight="1">
      <c r="A28" s="107">
        <v>32</v>
      </c>
      <c r="B28" s="78" t="s">
        <v>17</v>
      </c>
      <c r="D28" s="83">
        <f>'General Fund Expenditures'!T65</f>
        <v>0</v>
      </c>
      <c r="E28" s="83"/>
      <c r="F28" s="83"/>
      <c r="G28" s="83"/>
      <c r="H28" s="83"/>
      <c r="I28" s="83"/>
      <c r="J28" s="84">
        <f t="shared" si="0"/>
        <v>0</v>
      </c>
    </row>
    <row r="29" spans="1:13" ht="13.5" customHeight="1">
      <c r="A29" s="107">
        <v>33</v>
      </c>
      <c r="B29" s="78" t="s">
        <v>18</v>
      </c>
      <c r="D29" s="83">
        <f>'General Fund Expenditures'!T73</f>
        <v>1277925</v>
      </c>
      <c r="E29" s="83"/>
      <c r="F29" s="83"/>
      <c r="G29" s="83"/>
      <c r="H29" s="83"/>
      <c r="I29" s="83"/>
      <c r="J29" s="84">
        <f t="shared" si="0"/>
        <v>1277925</v>
      </c>
    </row>
    <row r="30" spans="1:13" ht="13.5" customHeight="1">
      <c r="A30" s="107">
        <v>34</v>
      </c>
      <c r="B30" s="78" t="s">
        <v>19</v>
      </c>
      <c r="D30" s="83">
        <f>'General Fund Expenditures'!T81</f>
        <v>4026866</v>
      </c>
      <c r="E30" s="83"/>
      <c r="F30" s="83"/>
      <c r="G30" s="83"/>
      <c r="H30" s="83"/>
      <c r="I30" s="83"/>
      <c r="J30" s="84">
        <f t="shared" si="0"/>
        <v>4026866</v>
      </c>
    </row>
    <row r="31" spans="1:13" ht="13.5" customHeight="1">
      <c r="A31" s="107">
        <v>35</v>
      </c>
      <c r="B31" s="78" t="s">
        <v>77</v>
      </c>
      <c r="D31" s="83">
        <v>0</v>
      </c>
      <c r="E31" s="83"/>
      <c r="F31" s="83">
        <f>' CN Summary Board'!N35</f>
        <v>5530881</v>
      </c>
      <c r="G31" s="83"/>
      <c r="H31" s="83"/>
      <c r="I31" s="83"/>
      <c r="J31" s="84">
        <f t="shared" si="0"/>
        <v>5530881</v>
      </c>
    </row>
    <row r="32" spans="1:13" ht="13.5" customHeight="1">
      <c r="A32" s="107">
        <v>36</v>
      </c>
      <c r="B32" s="78" t="s">
        <v>20</v>
      </c>
      <c r="D32" s="83">
        <f>'General Fund Expenditures'!T93</f>
        <v>4835148.5</v>
      </c>
      <c r="E32" s="83"/>
      <c r="F32" s="83"/>
      <c r="G32" s="83"/>
      <c r="H32" s="83"/>
      <c r="I32" s="83"/>
      <c r="J32" s="84">
        <f t="shared" si="0"/>
        <v>4835148.5</v>
      </c>
    </row>
    <row r="33" spans="1:10" ht="13.5" customHeight="1">
      <c r="A33" s="107">
        <v>41</v>
      </c>
      <c r="B33" s="78" t="s">
        <v>21</v>
      </c>
      <c r="D33" s="83">
        <f>'General Fund Expenditures'!T101</f>
        <v>3673104</v>
      </c>
      <c r="E33" s="83"/>
      <c r="F33" s="83"/>
      <c r="G33" s="83"/>
      <c r="H33" s="83"/>
      <c r="I33" s="83"/>
      <c r="J33" s="84">
        <f t="shared" si="0"/>
        <v>3673104</v>
      </c>
    </row>
    <row r="34" spans="1:10" ht="13.5" customHeight="1">
      <c r="A34" s="107">
        <v>51</v>
      </c>
      <c r="B34" s="78" t="s">
        <v>22</v>
      </c>
      <c r="D34" s="83">
        <f>'General Fund Expenditures'!T109</f>
        <v>13711398</v>
      </c>
      <c r="E34" s="83"/>
      <c r="F34" s="83">
        <f>' CN Summary Board'!N42</f>
        <v>129560</v>
      </c>
      <c r="G34" s="83"/>
      <c r="H34" s="83"/>
      <c r="I34" s="83"/>
      <c r="J34" s="84">
        <f t="shared" si="0"/>
        <v>13840958</v>
      </c>
    </row>
    <row r="35" spans="1:10" ht="13.5" customHeight="1">
      <c r="A35" s="107">
        <v>52</v>
      </c>
      <c r="B35" s="78" t="s">
        <v>23</v>
      </c>
      <c r="D35" s="83">
        <f>'General Fund Expenditures'!T117</f>
        <v>2133993</v>
      </c>
      <c r="E35" s="83"/>
      <c r="F35" s="83">
        <f>' CN Summary Board'!N44</f>
        <v>0</v>
      </c>
      <c r="G35" s="83"/>
      <c r="H35" s="83"/>
      <c r="I35" s="83"/>
      <c r="J35" s="84">
        <f t="shared" si="0"/>
        <v>2133993</v>
      </c>
    </row>
    <row r="36" spans="1:10" ht="13.5" customHeight="1">
      <c r="A36" s="107">
        <v>53</v>
      </c>
      <c r="B36" s="78" t="s">
        <v>24</v>
      </c>
      <c r="D36" s="83">
        <f>'General Fund Expenditures'!T125</f>
        <v>1764288</v>
      </c>
      <c r="E36" s="83"/>
      <c r="F36" s="83"/>
      <c r="G36" s="83"/>
      <c r="H36" s="83"/>
      <c r="I36" s="83"/>
      <c r="J36" s="84">
        <f t="shared" si="0"/>
        <v>1764288</v>
      </c>
    </row>
    <row r="37" spans="1:10" ht="13.5" customHeight="1">
      <c r="A37" s="107">
        <v>61</v>
      </c>
      <c r="B37" s="78" t="s">
        <v>78</v>
      </c>
      <c r="D37" s="83">
        <f>'General Fund Expenditures'!T133</f>
        <v>0</v>
      </c>
      <c r="E37" s="83"/>
      <c r="F37" s="83"/>
      <c r="G37" s="83"/>
      <c r="H37" s="83"/>
      <c r="I37" s="83"/>
      <c r="J37" s="84">
        <f t="shared" si="0"/>
        <v>0</v>
      </c>
    </row>
    <row r="38" spans="1:10">
      <c r="A38" s="107">
        <v>71</v>
      </c>
      <c r="B38" s="78" t="s">
        <v>26</v>
      </c>
      <c r="D38" s="83">
        <f>'General Fund Expenditures'!T137</f>
        <v>0</v>
      </c>
      <c r="E38" s="83"/>
      <c r="F38" s="83"/>
      <c r="G38" s="83"/>
      <c r="H38" s="83">
        <f>' Prop DS '!T37</f>
        <v>28483765</v>
      </c>
      <c r="I38" s="83"/>
      <c r="J38" s="84">
        <f t="shared" si="0"/>
        <v>28483765</v>
      </c>
    </row>
    <row r="39" spans="1:10">
      <c r="A39" s="107">
        <v>81</v>
      </c>
      <c r="B39" s="78" t="s">
        <v>10</v>
      </c>
      <c r="D39" s="83">
        <f>'General Fund Expenditures'!T141</f>
        <v>0</v>
      </c>
      <c r="E39" s="83"/>
      <c r="F39" s="83"/>
      <c r="G39" s="83"/>
      <c r="H39" s="83"/>
      <c r="I39" s="83"/>
      <c r="J39" s="84">
        <f t="shared" si="0"/>
        <v>0</v>
      </c>
    </row>
    <row r="40" spans="1:10">
      <c r="A40" s="107">
        <v>97</v>
      </c>
      <c r="B40" s="1" t="s">
        <v>112</v>
      </c>
      <c r="C40" s="79"/>
      <c r="D40" s="83">
        <f>'General Fund Expenditures'!T149</f>
        <v>20158511</v>
      </c>
      <c r="E40" s="83"/>
      <c r="F40" s="83"/>
      <c r="G40" s="83"/>
      <c r="H40" s="83"/>
      <c r="I40" s="83"/>
      <c r="J40" s="84">
        <f t="shared" si="0"/>
        <v>20158511</v>
      </c>
    </row>
    <row r="41" spans="1:10">
      <c r="A41" s="109" t="s">
        <v>66</v>
      </c>
      <c r="B41" s="78" t="s">
        <v>28</v>
      </c>
      <c r="C41" s="79"/>
      <c r="D41" s="83">
        <f>'General Fund Expenditures'!T153</f>
        <v>969000</v>
      </c>
      <c r="E41" s="83"/>
      <c r="F41" s="83"/>
      <c r="G41" s="83"/>
      <c r="H41" s="83"/>
      <c r="I41" s="83"/>
      <c r="J41" s="84">
        <f t="shared" si="0"/>
        <v>969000</v>
      </c>
    </row>
    <row r="42" spans="1:10">
      <c r="C42" s="79"/>
      <c r="D42" s="85"/>
      <c r="E42" s="83"/>
      <c r="F42" s="85"/>
      <c r="G42" s="83"/>
      <c r="H42" s="85"/>
      <c r="I42" s="83"/>
      <c r="J42" s="85"/>
    </row>
    <row r="43" spans="1:10">
      <c r="B43" s="79" t="s">
        <v>64</v>
      </c>
      <c r="C43" s="79"/>
      <c r="D43" s="105">
        <f>SUM(D22:D41)</f>
        <v>126731162.22</v>
      </c>
      <c r="E43" s="83"/>
      <c r="F43" s="105">
        <f>SUM(F22:F41)</f>
        <v>5660441</v>
      </c>
      <c r="G43" s="83"/>
      <c r="H43" s="105">
        <f>SUM(H22:H41)</f>
        <v>28483765</v>
      </c>
      <c r="I43" s="83"/>
      <c r="J43" s="105">
        <f>SUM(J22:J41)</f>
        <v>160875368.22</v>
      </c>
    </row>
    <row r="44" spans="1:10">
      <c r="D44" s="83"/>
      <c r="E44" s="83"/>
      <c r="F44" s="83"/>
      <c r="G44" s="83"/>
      <c r="H44" s="83"/>
      <c r="I44" s="83"/>
      <c r="J44" s="83"/>
    </row>
    <row r="45" spans="1:10" s="104" customFormat="1">
      <c r="A45" s="110" t="s">
        <v>65</v>
      </c>
      <c r="B45" s="111"/>
      <c r="C45" s="111"/>
      <c r="D45" s="112">
        <f>D19-D43</f>
        <v>-4312328</v>
      </c>
      <c r="E45" s="112"/>
      <c r="F45" s="112">
        <f>F19-F43</f>
        <v>-734164</v>
      </c>
      <c r="G45" s="112"/>
      <c r="H45" s="112">
        <f>H19-H43</f>
        <v>14068605</v>
      </c>
      <c r="I45" s="112"/>
      <c r="J45" s="112">
        <f>J19-J43</f>
        <v>9022113</v>
      </c>
    </row>
    <row r="46" spans="1:10">
      <c r="A46" s="113"/>
      <c r="B46" s="114"/>
      <c r="C46" s="114"/>
      <c r="D46" s="115"/>
      <c r="E46" s="115"/>
      <c r="F46" s="115"/>
      <c r="G46" s="115"/>
      <c r="H46" s="115"/>
      <c r="I46" s="115"/>
      <c r="J46" s="115"/>
    </row>
    <row r="47" spans="1:10">
      <c r="A47" s="110" t="s">
        <v>79</v>
      </c>
      <c r="B47" s="113"/>
      <c r="C47" s="113"/>
      <c r="D47" s="115"/>
      <c r="E47" s="115"/>
      <c r="F47" s="115"/>
      <c r="G47" s="115"/>
      <c r="H47" s="115"/>
      <c r="I47" s="115"/>
      <c r="J47" s="115"/>
    </row>
    <row r="48" spans="1:10">
      <c r="A48" s="113" t="s">
        <v>128</v>
      </c>
      <c r="B48" s="113"/>
      <c r="C48" s="113"/>
      <c r="D48" s="115">
        <f>'General Fund Summary'!T59</f>
        <v>0</v>
      </c>
      <c r="E48" s="115"/>
      <c r="F48" s="115">
        <v>0</v>
      </c>
      <c r="G48" s="115"/>
      <c r="H48" s="115">
        <f>' Prop DS '!T26</f>
        <v>0</v>
      </c>
      <c r="I48" s="115"/>
      <c r="J48" s="115">
        <f>SUM(D48:H48)</f>
        <v>0</v>
      </c>
    </row>
    <row r="49" spans="1:11">
      <c r="A49" s="113" t="s">
        <v>129</v>
      </c>
      <c r="B49" s="113"/>
      <c r="C49" s="114"/>
      <c r="D49" s="116">
        <f>'General Fund Expenditures'!T155</f>
        <v>0</v>
      </c>
      <c r="E49" s="115"/>
      <c r="F49" s="116">
        <v>0</v>
      </c>
      <c r="G49" s="115"/>
      <c r="H49" s="116">
        <f>-' Prop DS '!T40</f>
        <v>-17176165</v>
      </c>
      <c r="I49" s="115"/>
      <c r="J49" s="116">
        <f>SUM(D49:H49)</f>
        <v>-17176165</v>
      </c>
    </row>
    <row r="50" spans="1:11">
      <c r="A50" s="113"/>
      <c r="B50" s="113"/>
      <c r="C50" s="114"/>
      <c r="D50" s="115"/>
      <c r="E50" s="115"/>
      <c r="F50" s="115"/>
      <c r="G50" s="115"/>
      <c r="H50" s="115"/>
      <c r="I50" s="115"/>
      <c r="J50" s="115"/>
    </row>
    <row r="51" spans="1:11" s="104" customFormat="1">
      <c r="A51" s="110" t="s">
        <v>81</v>
      </c>
      <c r="B51" s="111"/>
      <c r="C51" s="111"/>
      <c r="D51" s="112">
        <f>+D45+D48+D49</f>
        <v>-4312328</v>
      </c>
      <c r="E51" s="112"/>
      <c r="F51" s="112">
        <f t="shared" ref="F51" si="1">+F45+F48+F49</f>
        <v>-734164</v>
      </c>
      <c r="G51" s="112"/>
      <c r="H51" s="112">
        <f t="shared" ref="H51" si="2">+H45+H48+H49</f>
        <v>-3107560</v>
      </c>
      <c r="I51" s="112"/>
      <c r="J51" s="112">
        <f t="shared" ref="J51" si="3">+J45+J48+J49</f>
        <v>-8154052</v>
      </c>
      <c r="K51" s="112"/>
    </row>
    <row r="52" spans="1:11">
      <c r="D52" s="83"/>
      <c r="E52" s="83"/>
      <c r="F52" s="83"/>
      <c r="G52" s="83"/>
      <c r="H52" s="83"/>
      <c r="I52" s="83"/>
      <c r="J52" s="83"/>
    </row>
    <row r="53" spans="1:11">
      <c r="A53" s="78" t="s">
        <v>115</v>
      </c>
      <c r="C53" s="79"/>
      <c r="D53" s="105">
        <f>'General Fund Summary'!T57</f>
        <v>33612990.88000001</v>
      </c>
      <c r="E53" s="83"/>
      <c r="F53" s="105">
        <f>' CN Summary Board'!N51</f>
        <v>1608482.7000000002</v>
      </c>
      <c r="G53" s="83"/>
      <c r="H53" s="105">
        <f>' Prop DS '!T47</f>
        <v>16074133.569999993</v>
      </c>
      <c r="I53" s="83"/>
      <c r="J53" s="105">
        <f>SUM(D53:H53)</f>
        <v>51295607.150000006</v>
      </c>
    </row>
    <row r="54" spans="1:11">
      <c r="C54" s="79"/>
      <c r="D54" s="79"/>
      <c r="E54" s="82"/>
      <c r="F54" s="79"/>
      <c r="G54" s="82"/>
      <c r="H54" s="80"/>
      <c r="I54" s="86"/>
    </row>
    <row r="55" spans="1:11">
      <c r="A55" s="104" t="s">
        <v>116</v>
      </c>
      <c r="C55" s="79"/>
      <c r="D55" s="117">
        <f>+D53+D51</f>
        <v>29300662.88000001</v>
      </c>
      <c r="E55" s="118"/>
      <c r="F55" s="117">
        <f>+F53+F51</f>
        <v>874318.70000000019</v>
      </c>
      <c r="G55" s="118"/>
      <c r="H55" s="117">
        <f>+H53+H51</f>
        <v>12966573.569999993</v>
      </c>
      <c r="I55" s="118"/>
      <c r="J55" s="117">
        <f>+J53+J51</f>
        <v>43141555.150000006</v>
      </c>
    </row>
    <row r="56" spans="1:11">
      <c r="C56" s="119"/>
    </row>
    <row r="57" spans="1:11">
      <c r="A57" s="78" t="s">
        <v>58</v>
      </c>
      <c r="D57" s="80">
        <f>+D55/D43</f>
        <v>0.23120329969936901</v>
      </c>
      <c r="E57" s="86"/>
      <c r="F57" s="80">
        <f>+F55/F43</f>
        <v>0.15446123367419609</v>
      </c>
      <c r="G57" s="86"/>
      <c r="H57" s="80">
        <f>+H55/H43</f>
        <v>0.45522681323905012</v>
      </c>
      <c r="I57" s="86"/>
    </row>
    <row r="58" spans="1:11">
      <c r="C58" s="78" t="s">
        <v>63</v>
      </c>
    </row>
  </sheetData>
  <mergeCells count="4">
    <mergeCell ref="A1:J1"/>
    <mergeCell ref="A2:J2"/>
    <mergeCell ref="A4:J4"/>
    <mergeCell ref="A3:J3"/>
  </mergeCells>
  <printOptions horizontalCentered="1"/>
  <pageMargins left="0.44" right="0.44" top="0.54" bottom="0.67" header="0.5" footer="0.5"/>
  <pageSetup scale="94" orientation="portrait" useFirstPageNumber="1" r:id="rId1"/>
  <headerFooter alignWithMargins="0">
    <oddFooter>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8"/>
  <sheetViews>
    <sheetView showGridLines="0" tabSelected="1" workbookViewId="0">
      <selection sqref="A1:J1"/>
    </sheetView>
  </sheetViews>
  <sheetFormatPr defaultColWidth="8.85546875" defaultRowHeight="12.75"/>
  <cols>
    <col min="1" max="1" width="5.42578125" style="78" customWidth="1"/>
    <col min="2" max="2" width="2.7109375" style="78" customWidth="1"/>
    <col min="3" max="3" width="25.85546875" style="78" bestFit="1" customWidth="1"/>
    <col min="4" max="4" width="15.85546875" style="78" customWidth="1"/>
    <col min="5" max="5" width="1.42578125" style="108" customWidth="1"/>
    <col min="6" max="6" width="13.42578125" style="78" customWidth="1"/>
    <col min="7" max="7" width="1.42578125" style="108" customWidth="1"/>
    <col min="8" max="8" width="17.85546875" style="78" customWidth="1"/>
    <col min="9" max="9" width="9.85546875" style="108" customWidth="1"/>
    <col min="10" max="10" width="8.42578125" style="84" hidden="1" customWidth="1"/>
    <col min="11" max="12" width="8.85546875" style="78"/>
    <col min="13" max="13" width="0" style="78" hidden="1" customWidth="1"/>
    <col min="14" max="16384" width="8.85546875" style="78"/>
  </cols>
  <sheetData>
    <row r="1" spans="1:13" ht="15.75">
      <c r="A1" s="322" t="s">
        <v>93</v>
      </c>
      <c r="B1" s="322"/>
      <c r="C1" s="322"/>
      <c r="D1" s="322"/>
      <c r="E1" s="322"/>
      <c r="F1" s="322"/>
      <c r="G1" s="322"/>
      <c r="H1" s="322"/>
      <c r="I1" s="322"/>
      <c r="J1" s="322"/>
    </row>
    <row r="2" spans="1:13" ht="15.75">
      <c r="A2" s="322" t="s">
        <v>69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3" ht="15.75">
      <c r="A3" s="322" t="s">
        <v>215</v>
      </c>
      <c r="B3" s="322"/>
      <c r="C3" s="322"/>
      <c r="D3" s="322"/>
      <c r="E3" s="322"/>
      <c r="F3" s="322"/>
      <c r="G3" s="322"/>
      <c r="H3" s="322"/>
      <c r="I3" s="322"/>
      <c r="J3" s="322"/>
    </row>
    <row r="4" spans="1:13">
      <c r="C4" s="79"/>
      <c r="D4" s="79"/>
      <c r="E4" s="82"/>
      <c r="F4" s="79"/>
      <c r="G4" s="82"/>
      <c r="H4" s="80"/>
      <c r="I4" s="86"/>
      <c r="J4" s="84" t="s">
        <v>85</v>
      </c>
    </row>
    <row r="5" spans="1:13">
      <c r="B5" s="87"/>
      <c r="D5" s="88" t="s">
        <v>92</v>
      </c>
      <c r="E5" s="89"/>
      <c r="F5" s="90" t="s">
        <v>70</v>
      </c>
      <c r="G5" s="91"/>
      <c r="H5" s="92" t="s">
        <v>71</v>
      </c>
      <c r="I5" s="93"/>
      <c r="J5" s="94" t="s">
        <v>11</v>
      </c>
    </row>
    <row r="6" spans="1:13">
      <c r="B6" s="81"/>
      <c r="C6" s="87"/>
      <c r="D6" s="90" t="s">
        <v>72</v>
      </c>
      <c r="E6" s="91"/>
      <c r="F6" s="90" t="s">
        <v>73</v>
      </c>
      <c r="G6" s="91"/>
      <c r="H6" s="92" t="s">
        <v>74</v>
      </c>
      <c r="I6" s="93"/>
      <c r="J6" s="94"/>
    </row>
    <row r="7" spans="1:13" s="96" customFormat="1" ht="15">
      <c r="A7" s="45" t="s">
        <v>34</v>
      </c>
      <c r="D7" s="304">
        <f>+'General Fund Summary'!V7</f>
        <v>10780920478</v>
      </c>
      <c r="E7" s="98"/>
      <c r="F7" s="103"/>
      <c r="G7" s="98"/>
      <c r="H7" s="304">
        <f>+' Prop DS '!V7</f>
        <v>10780920478</v>
      </c>
      <c r="I7" s="98"/>
      <c r="J7" s="97">
        <f>+D7</f>
        <v>10780920478</v>
      </c>
    </row>
    <row r="8" spans="1:13" s="96" customFormat="1" ht="15">
      <c r="A8" s="45" t="s">
        <v>35</v>
      </c>
      <c r="D8" s="305">
        <f>+'General Fund Summary'!V8</f>
        <v>0.66690000000000005</v>
      </c>
      <c r="E8" s="98"/>
      <c r="F8" s="103"/>
      <c r="G8" s="98"/>
      <c r="H8" s="306">
        <f>+' Prop DS '!V8</f>
        <v>0.41</v>
      </c>
      <c r="I8" s="98"/>
      <c r="J8" s="100">
        <f>+D8+H8</f>
        <v>1.0769</v>
      </c>
    </row>
    <row r="9" spans="1:13" s="96" customFormat="1" ht="15">
      <c r="A9" s="45" t="s">
        <v>100</v>
      </c>
      <c r="B9" s="101"/>
      <c r="D9" s="160">
        <f>+'General Fund Summary'!V9</f>
        <v>10782.905000000001</v>
      </c>
      <c r="E9" s="98"/>
      <c r="F9" s="103"/>
      <c r="G9" s="98"/>
      <c r="H9" s="160">
        <f>+' Prop DS '!V9</f>
        <v>10782.905000000001</v>
      </c>
      <c r="I9" s="98"/>
      <c r="J9" s="159">
        <f>+H9</f>
        <v>10782.905000000001</v>
      </c>
    </row>
    <row r="10" spans="1:13" s="96" customFormat="1" ht="15">
      <c r="A10" s="45" t="s">
        <v>101</v>
      </c>
      <c r="B10" s="101"/>
      <c r="D10" s="160">
        <f>+'General Fund Summary'!V10</f>
        <v>13929.583000000001</v>
      </c>
      <c r="E10" s="98"/>
      <c r="F10" s="103"/>
      <c r="G10" s="98"/>
      <c r="H10" s="160">
        <f>+' Prop DS '!V10</f>
        <v>13929.583000000001</v>
      </c>
      <c r="I10" s="98"/>
      <c r="J10" s="159">
        <f>+H10</f>
        <v>13929.583000000001</v>
      </c>
    </row>
    <row r="11" spans="1:13" s="96" customFormat="1" ht="15">
      <c r="A11" s="95"/>
      <c r="B11" s="101"/>
      <c r="D11" s="102"/>
      <c r="E11" s="98"/>
      <c r="F11" s="103"/>
      <c r="G11" s="98"/>
      <c r="H11" s="102"/>
      <c r="I11" s="98"/>
      <c r="J11" s="102"/>
    </row>
    <row r="12" spans="1:13">
      <c r="A12" s="104" t="s">
        <v>36</v>
      </c>
      <c r="C12" s="79"/>
      <c r="D12" s="79"/>
      <c r="E12" s="82"/>
      <c r="F12" s="79"/>
      <c r="G12" s="82"/>
      <c r="H12" s="80"/>
      <c r="I12" s="86"/>
    </row>
    <row r="13" spans="1:13">
      <c r="B13" s="78" t="s">
        <v>126</v>
      </c>
      <c r="C13" s="79"/>
      <c r="D13" s="79">
        <f>'General Fund Summary'!V14+'General Fund Summary'!V15</f>
        <v>59253798</v>
      </c>
      <c r="E13" s="82"/>
      <c r="F13" s="79">
        <v>0</v>
      </c>
      <c r="G13" s="82"/>
      <c r="H13" s="79">
        <f>' Prop DS '!V19</f>
        <v>42663367</v>
      </c>
      <c r="I13" s="82"/>
      <c r="J13" s="79">
        <f>SUM(D13:H13)</f>
        <v>101917165</v>
      </c>
      <c r="M13" s="120">
        <f>+J13/$J$18</f>
        <v>0.58561786293570517</v>
      </c>
    </row>
    <row r="14" spans="1:13">
      <c r="B14" s="78" t="s">
        <v>41</v>
      </c>
      <c r="C14" s="79"/>
      <c r="D14" s="84">
        <f>'General Fund Summary'!V27-D13</f>
        <v>15438091</v>
      </c>
      <c r="E14" s="83"/>
      <c r="F14" s="84">
        <f>' CN Summary Board'!P13</f>
        <v>2642940</v>
      </c>
      <c r="G14" s="83"/>
      <c r="H14" s="84">
        <f>+' Prop DS '!V19-'Combined 24-25'!H13</f>
        <v>0</v>
      </c>
      <c r="I14" s="82"/>
      <c r="J14" s="84">
        <f>SUM(D14:H14)</f>
        <v>18081031</v>
      </c>
      <c r="M14" s="120">
        <f>+J14/$J$18</f>
        <v>0.10389392928947971</v>
      </c>
    </row>
    <row r="15" spans="1:13">
      <c r="B15" s="78" t="s">
        <v>75</v>
      </c>
      <c r="C15" s="79"/>
      <c r="D15" s="84">
        <f>+'General Fund Summary'!V33</f>
        <v>47357213</v>
      </c>
      <c r="E15" s="83"/>
      <c r="F15" s="84">
        <f>' CN Summary Board'!P17</f>
        <v>24362</v>
      </c>
      <c r="G15" s="83"/>
      <c r="H15" s="84">
        <f>+' Prop DS '!V23</f>
        <v>3303386</v>
      </c>
      <c r="I15" s="83"/>
      <c r="J15" s="84">
        <f>SUM(D15:H15)</f>
        <v>50684961</v>
      </c>
      <c r="M15" s="120">
        <f>+J15/$J$18</f>
        <v>0.29123669740813102</v>
      </c>
    </row>
    <row r="16" spans="1:13">
      <c r="B16" s="78" t="s">
        <v>76</v>
      </c>
      <c r="C16" s="79"/>
      <c r="D16" s="105">
        <f>'General Fund Summary'!V45</f>
        <v>979000</v>
      </c>
      <c r="E16" s="83"/>
      <c r="F16" s="105">
        <f>' CN Summary Board'!P24</f>
        <v>2371409</v>
      </c>
      <c r="G16" s="83"/>
      <c r="H16" s="105">
        <v>0</v>
      </c>
      <c r="I16" s="106"/>
      <c r="J16" s="105">
        <f>SUM(D16:H16)</f>
        <v>3350409</v>
      </c>
      <c r="M16" s="120">
        <f>+J16/$J$18</f>
        <v>1.9251510366684092E-2</v>
      </c>
    </row>
    <row r="17" spans="1:10">
      <c r="C17" s="79"/>
      <c r="D17" s="83"/>
      <c r="E17" s="83"/>
      <c r="F17" s="83"/>
      <c r="G17" s="83"/>
      <c r="H17" s="83"/>
      <c r="I17" s="83"/>
      <c r="J17" s="83"/>
    </row>
    <row r="18" spans="1:10">
      <c r="C18" s="79" t="s">
        <v>59</v>
      </c>
      <c r="D18" s="105">
        <f>SUM(D13:D16)</f>
        <v>123028102</v>
      </c>
      <c r="E18" s="83"/>
      <c r="F18" s="105">
        <f>SUM(F14:F16)</f>
        <v>5038711</v>
      </c>
      <c r="G18" s="83"/>
      <c r="H18" s="105">
        <f>SUM(H13:H16)</f>
        <v>45966753</v>
      </c>
      <c r="I18" s="83"/>
      <c r="J18" s="105">
        <f>SUM(J13:J16)</f>
        <v>174033566</v>
      </c>
    </row>
    <row r="19" spans="1:10">
      <c r="C19" s="79"/>
      <c r="D19" s="84"/>
      <c r="E19" s="83"/>
      <c r="F19" s="84"/>
      <c r="G19" s="83"/>
      <c r="H19" s="84"/>
      <c r="I19" s="83"/>
    </row>
    <row r="20" spans="1:10">
      <c r="A20" s="104" t="s">
        <v>4</v>
      </c>
      <c r="C20" s="79"/>
      <c r="D20" s="84"/>
      <c r="E20" s="83"/>
      <c r="F20" s="84"/>
      <c r="G20" s="83"/>
      <c r="H20" s="84"/>
      <c r="I20" s="83"/>
    </row>
    <row r="21" spans="1:10">
      <c r="A21" s="107">
        <v>11</v>
      </c>
      <c r="B21" s="78" t="s">
        <v>5</v>
      </c>
      <c r="D21" s="83">
        <f>'General Fund Expenditures'!V17</f>
        <v>61582954</v>
      </c>
      <c r="E21" s="83"/>
      <c r="F21" s="83"/>
      <c r="G21" s="83"/>
      <c r="J21" s="84">
        <f t="shared" ref="J21:J41" si="0">SUM(D21:H21)</f>
        <v>61582954</v>
      </c>
    </row>
    <row r="22" spans="1:10">
      <c r="A22" s="107">
        <v>12</v>
      </c>
      <c r="B22" s="78" t="s">
        <v>12</v>
      </c>
      <c r="D22" s="83">
        <f>'General Fund Expenditures'!V25</f>
        <v>1248700</v>
      </c>
      <c r="E22" s="83"/>
      <c r="F22" s="83"/>
      <c r="G22" s="83"/>
      <c r="H22" s="83"/>
      <c r="I22" s="83"/>
      <c r="J22" s="84">
        <f t="shared" si="0"/>
        <v>1248700</v>
      </c>
    </row>
    <row r="23" spans="1:10">
      <c r="A23" s="107">
        <v>13</v>
      </c>
      <c r="B23" s="78" t="s">
        <v>13</v>
      </c>
      <c r="D23" s="83">
        <f>'General Fund Expenditures'!V33</f>
        <v>1431216</v>
      </c>
      <c r="E23" s="83"/>
      <c r="F23" s="83"/>
      <c r="G23" s="83"/>
      <c r="H23" s="83"/>
      <c r="I23" s="83"/>
      <c r="J23" s="84">
        <f t="shared" si="0"/>
        <v>1431216</v>
      </c>
    </row>
    <row r="24" spans="1:10">
      <c r="A24" s="107">
        <v>21</v>
      </c>
      <c r="B24" s="78" t="s">
        <v>14</v>
      </c>
      <c r="D24" s="83">
        <f>'General Fund Expenditures'!V41</f>
        <v>1352464</v>
      </c>
      <c r="E24" s="83"/>
      <c r="F24" s="83"/>
      <c r="G24" s="83"/>
      <c r="H24" s="83"/>
      <c r="I24" s="83"/>
      <c r="J24" s="84">
        <f t="shared" si="0"/>
        <v>1352464</v>
      </c>
    </row>
    <row r="25" spans="1:10" ht="13.5" customHeight="1">
      <c r="A25" s="107">
        <v>23</v>
      </c>
      <c r="B25" s="78" t="s">
        <v>15</v>
      </c>
      <c r="D25" s="83">
        <f>'General Fund Expenditures'!V49</f>
        <v>5842692</v>
      </c>
      <c r="E25" s="83"/>
      <c r="F25" s="83"/>
      <c r="G25" s="83"/>
      <c r="H25" s="83"/>
      <c r="I25" s="83"/>
      <c r="J25" s="84">
        <f t="shared" si="0"/>
        <v>5842692</v>
      </c>
    </row>
    <row r="26" spans="1:10" ht="13.5" customHeight="1">
      <c r="A26" s="107">
        <v>31</v>
      </c>
      <c r="B26" s="78" t="s">
        <v>16</v>
      </c>
      <c r="D26" s="83">
        <f>'General Fund Expenditures'!V57</f>
        <v>4475991</v>
      </c>
      <c r="E26" s="83"/>
      <c r="F26" s="83"/>
      <c r="G26" s="83"/>
      <c r="H26" s="83"/>
      <c r="I26" s="83"/>
      <c r="J26" s="84">
        <f t="shared" si="0"/>
        <v>4475991</v>
      </c>
    </row>
    <row r="27" spans="1:10" ht="13.5" customHeight="1">
      <c r="A27" s="107">
        <v>32</v>
      </c>
      <c r="B27" s="78" t="s">
        <v>17</v>
      </c>
      <c r="D27" s="83">
        <f>'General Fund Expenditures'!V65</f>
        <v>0</v>
      </c>
      <c r="E27" s="83"/>
      <c r="F27" s="83"/>
      <c r="G27" s="83"/>
      <c r="H27" s="83"/>
      <c r="I27" s="83"/>
      <c r="J27" s="84">
        <f t="shared" si="0"/>
        <v>0</v>
      </c>
    </row>
    <row r="28" spans="1:10" ht="13.5" customHeight="1">
      <c r="A28" s="107">
        <v>33</v>
      </c>
      <c r="B28" s="78" t="s">
        <v>18</v>
      </c>
      <c r="D28" s="83">
        <f>'General Fund Expenditures'!V73</f>
        <v>1369453</v>
      </c>
      <c r="E28" s="83"/>
      <c r="F28" s="83"/>
      <c r="G28" s="83"/>
      <c r="H28" s="83"/>
      <c r="I28" s="83"/>
      <c r="J28" s="84">
        <f t="shared" si="0"/>
        <v>1369453</v>
      </c>
    </row>
    <row r="29" spans="1:10" ht="13.5" customHeight="1">
      <c r="A29" s="107">
        <v>34</v>
      </c>
      <c r="B29" s="78" t="s">
        <v>19</v>
      </c>
      <c r="D29" s="83">
        <f>'General Fund Expenditures'!V81</f>
        <v>4031343</v>
      </c>
      <c r="E29" s="83"/>
      <c r="F29" s="83"/>
      <c r="G29" s="83"/>
      <c r="H29" s="83"/>
      <c r="I29" s="83"/>
      <c r="J29" s="84">
        <f t="shared" si="0"/>
        <v>4031343</v>
      </c>
    </row>
    <row r="30" spans="1:10" ht="13.5" customHeight="1">
      <c r="A30" s="107">
        <v>35</v>
      </c>
      <c r="B30" s="78" t="s">
        <v>77</v>
      </c>
      <c r="D30" s="83">
        <f>+'General Fund Expenditures'!V84</f>
        <v>0</v>
      </c>
      <c r="E30" s="83"/>
      <c r="F30" s="83">
        <f>' CN Summary Board'!P35</f>
        <v>4816906</v>
      </c>
      <c r="G30" s="83"/>
      <c r="H30" s="83"/>
      <c r="I30" s="83"/>
      <c r="J30" s="84">
        <f t="shared" si="0"/>
        <v>4816906</v>
      </c>
    </row>
    <row r="31" spans="1:10" ht="13.5" customHeight="1">
      <c r="A31" s="107">
        <v>36</v>
      </c>
      <c r="B31" s="78" t="s">
        <v>20</v>
      </c>
      <c r="D31" s="83">
        <f>'General Fund Expenditures'!V93</f>
        <v>4771275</v>
      </c>
      <c r="E31" s="83"/>
      <c r="F31" s="83"/>
      <c r="G31" s="83"/>
      <c r="H31" s="83"/>
      <c r="I31" s="83"/>
      <c r="J31" s="84">
        <f t="shared" si="0"/>
        <v>4771275</v>
      </c>
    </row>
    <row r="32" spans="1:10" ht="13.5" customHeight="1">
      <c r="A32" s="107">
        <v>41</v>
      </c>
      <c r="B32" s="78" t="s">
        <v>21</v>
      </c>
      <c r="D32" s="83">
        <f>'General Fund Expenditures'!V101</f>
        <v>3805470</v>
      </c>
      <c r="E32" s="83"/>
      <c r="F32" s="83"/>
      <c r="G32" s="83"/>
      <c r="H32" s="83"/>
      <c r="I32" s="83"/>
      <c r="J32" s="84">
        <f t="shared" si="0"/>
        <v>3805470</v>
      </c>
    </row>
    <row r="33" spans="1:10" ht="13.5" customHeight="1">
      <c r="A33" s="107">
        <v>51</v>
      </c>
      <c r="B33" s="78" t="s">
        <v>22</v>
      </c>
      <c r="D33" s="83">
        <f>'General Fund Expenditures'!V109</f>
        <v>13655542</v>
      </c>
      <c r="E33" s="83"/>
      <c r="F33" s="83">
        <f>' CN Summary Board'!P42</f>
        <v>121805</v>
      </c>
      <c r="G33" s="83"/>
      <c r="H33" s="83"/>
      <c r="I33" s="83"/>
      <c r="J33" s="84">
        <f t="shared" si="0"/>
        <v>13777347</v>
      </c>
    </row>
    <row r="34" spans="1:10" ht="13.5" customHeight="1">
      <c r="A34" s="107">
        <v>52</v>
      </c>
      <c r="B34" s="78" t="s">
        <v>23</v>
      </c>
      <c r="D34" s="83">
        <f>'General Fund Expenditures'!V117</f>
        <v>2547567</v>
      </c>
      <c r="E34" s="83"/>
      <c r="F34" s="83">
        <f>' CN Summary Board'!P44</f>
        <v>0</v>
      </c>
      <c r="G34" s="83"/>
      <c r="H34" s="83"/>
      <c r="I34" s="83"/>
      <c r="J34" s="84">
        <f t="shared" si="0"/>
        <v>2547567</v>
      </c>
    </row>
    <row r="35" spans="1:10" ht="13.5" customHeight="1">
      <c r="A35" s="107">
        <v>53</v>
      </c>
      <c r="B35" s="78" t="s">
        <v>24</v>
      </c>
      <c r="D35" s="83">
        <f>'General Fund Expenditures'!V125</f>
        <v>1665706</v>
      </c>
      <c r="E35" s="83"/>
      <c r="F35" s="83"/>
      <c r="G35" s="83"/>
      <c r="H35" s="83"/>
      <c r="I35" s="83"/>
      <c r="J35" s="84">
        <f t="shared" si="0"/>
        <v>1665706</v>
      </c>
    </row>
    <row r="36" spans="1:10" ht="13.5" customHeight="1">
      <c r="A36" s="107">
        <v>61</v>
      </c>
      <c r="B36" s="78" t="s">
        <v>78</v>
      </c>
      <c r="D36" s="83">
        <f>'General Fund Expenditures'!V133</f>
        <v>0</v>
      </c>
      <c r="E36" s="83"/>
      <c r="F36" s="83"/>
      <c r="G36" s="83"/>
      <c r="H36" s="83"/>
      <c r="I36" s="83"/>
      <c r="J36" s="84">
        <f t="shared" si="0"/>
        <v>0</v>
      </c>
    </row>
    <row r="37" spans="1:10">
      <c r="A37" s="107">
        <v>71</v>
      </c>
      <c r="B37" s="78" t="s">
        <v>26</v>
      </c>
      <c r="D37" s="83">
        <f>'General Fund Expenditures'!V137</f>
        <v>0</v>
      </c>
      <c r="E37" s="83"/>
      <c r="F37" s="83"/>
      <c r="G37" s="83"/>
      <c r="H37" s="83">
        <f>' Prop DS '!V37+' Prop DS '!V41</f>
        <v>45966753</v>
      </c>
      <c r="I37" s="83"/>
      <c r="J37" s="84">
        <f t="shared" si="0"/>
        <v>45966753</v>
      </c>
    </row>
    <row r="38" spans="1:10">
      <c r="A38" s="107">
        <v>81</v>
      </c>
      <c r="B38" s="78" t="s">
        <v>10</v>
      </c>
      <c r="D38" s="83">
        <f>'General Fund Expenditures'!V141</f>
        <v>0</v>
      </c>
      <c r="E38" s="83"/>
      <c r="F38" s="83"/>
      <c r="G38" s="83"/>
      <c r="H38" s="83"/>
      <c r="I38" s="83"/>
      <c r="J38" s="84">
        <f t="shared" si="0"/>
        <v>0</v>
      </c>
    </row>
    <row r="39" spans="1:10">
      <c r="A39" s="23">
        <v>95</v>
      </c>
      <c r="B39" s="1" t="s">
        <v>27</v>
      </c>
      <c r="C39" s="1"/>
      <c r="D39" s="83">
        <f>+'General Fund Expenditures'!V144</f>
        <v>40000</v>
      </c>
      <c r="E39" s="83"/>
      <c r="F39" s="83"/>
      <c r="G39" s="83"/>
      <c r="H39" s="83"/>
      <c r="I39" s="83"/>
    </row>
    <row r="40" spans="1:10">
      <c r="A40" s="107">
        <v>97</v>
      </c>
      <c r="B40" s="1" t="s">
        <v>112</v>
      </c>
      <c r="C40" s="79"/>
      <c r="D40" s="83">
        <f>'General Fund Expenditures'!V149</f>
        <v>20453616</v>
      </c>
      <c r="E40" s="83"/>
      <c r="F40" s="83"/>
      <c r="G40" s="83"/>
      <c r="H40" s="83"/>
      <c r="I40" s="83"/>
      <c r="J40" s="84">
        <f t="shared" si="0"/>
        <v>20453616</v>
      </c>
    </row>
    <row r="41" spans="1:10">
      <c r="A41" s="109" t="s">
        <v>66</v>
      </c>
      <c r="B41" s="78" t="s">
        <v>28</v>
      </c>
      <c r="C41" s="79"/>
      <c r="D41" s="83">
        <f>'General Fund Expenditures'!V153</f>
        <v>1094615</v>
      </c>
      <c r="E41" s="83"/>
      <c r="F41" s="83"/>
      <c r="G41" s="83"/>
      <c r="H41" s="83"/>
      <c r="I41" s="83"/>
      <c r="J41" s="84">
        <f t="shared" si="0"/>
        <v>1094615</v>
      </c>
    </row>
    <row r="42" spans="1:10">
      <c r="C42" s="79"/>
      <c r="D42" s="85"/>
      <c r="E42" s="83"/>
      <c r="F42" s="85"/>
      <c r="G42" s="83"/>
      <c r="H42" s="85"/>
      <c r="I42" s="83"/>
      <c r="J42" s="85"/>
    </row>
    <row r="43" spans="1:10">
      <c r="B43" s="79" t="s">
        <v>64</v>
      </c>
      <c r="C43" s="79"/>
      <c r="D43" s="105">
        <f>SUM(D21:D41)</f>
        <v>129368604</v>
      </c>
      <c r="E43" s="83"/>
      <c r="F43" s="105">
        <f>SUM(F21:F41)</f>
        <v>4938711</v>
      </c>
      <c r="G43" s="83"/>
      <c r="H43" s="105">
        <f>SUM(H21:H41)</f>
        <v>45966753</v>
      </c>
      <c r="I43" s="83"/>
      <c r="J43" s="105">
        <f>SUM(J21:J41)</f>
        <v>180234068</v>
      </c>
    </row>
    <row r="44" spans="1:10">
      <c r="D44" s="83"/>
      <c r="E44" s="83"/>
      <c r="F44" s="83"/>
      <c r="G44" s="83"/>
      <c r="H44" s="83"/>
      <c r="I44" s="83"/>
      <c r="J44" s="83"/>
    </row>
    <row r="45" spans="1:10" s="104" customFormat="1">
      <c r="A45" s="110" t="s">
        <v>65</v>
      </c>
      <c r="B45" s="111"/>
      <c r="C45" s="111"/>
      <c r="D45" s="112">
        <f>D18-D43</f>
        <v>-6340502</v>
      </c>
      <c r="E45" s="112"/>
      <c r="F45" s="112">
        <f>F18-F43</f>
        <v>100000</v>
      </c>
      <c r="G45" s="112"/>
      <c r="H45" s="112">
        <f>H18-H43</f>
        <v>0</v>
      </c>
      <c r="I45" s="112"/>
      <c r="J45" s="112">
        <f>J18-J43</f>
        <v>-6200502</v>
      </c>
    </row>
    <row r="46" spans="1:10">
      <c r="A46" s="113"/>
      <c r="B46" s="114"/>
      <c r="C46" s="114"/>
      <c r="D46" s="115"/>
      <c r="E46" s="115"/>
      <c r="F46" s="115"/>
      <c r="G46" s="115"/>
      <c r="H46" s="115"/>
      <c r="I46" s="115"/>
      <c r="J46" s="115"/>
    </row>
    <row r="47" spans="1:10">
      <c r="A47" s="110" t="s">
        <v>79</v>
      </c>
      <c r="B47" s="113"/>
      <c r="C47" s="113"/>
      <c r="D47" s="115"/>
      <c r="E47" s="115"/>
      <c r="F47" s="115"/>
      <c r="G47" s="115"/>
      <c r="H47" s="115"/>
      <c r="I47" s="115"/>
      <c r="J47" s="115"/>
    </row>
    <row r="48" spans="1:10">
      <c r="A48" s="113" t="s">
        <v>45</v>
      </c>
      <c r="B48" s="113"/>
      <c r="C48" s="113"/>
      <c r="D48" s="115">
        <f>'General Fund Summary'!V48</f>
        <v>0</v>
      </c>
      <c r="E48" s="115"/>
      <c r="F48" s="115">
        <v>0</v>
      </c>
      <c r="G48" s="115"/>
      <c r="H48" s="115">
        <f>' Prop DS '!V28</f>
        <v>0</v>
      </c>
      <c r="I48" s="115"/>
      <c r="J48" s="115">
        <f>SUM(D48:H48)</f>
        <v>0</v>
      </c>
    </row>
    <row r="49" spans="1:10">
      <c r="A49" s="113" t="s">
        <v>80</v>
      </c>
      <c r="B49" s="113"/>
      <c r="C49" s="114"/>
      <c r="D49" s="116">
        <f>'General Fund Expenditures'!V155</f>
        <v>0</v>
      </c>
      <c r="E49" s="115"/>
      <c r="F49" s="116">
        <v>0</v>
      </c>
      <c r="G49" s="115"/>
      <c r="H49" s="116">
        <v>0</v>
      </c>
      <c r="I49" s="115"/>
      <c r="J49" s="116">
        <f>SUM(D49:H49)</f>
        <v>0</v>
      </c>
    </row>
    <row r="50" spans="1:10">
      <c r="A50" s="113"/>
      <c r="B50" s="113"/>
      <c r="C50" s="114"/>
      <c r="D50" s="115"/>
      <c r="E50" s="115"/>
      <c r="F50" s="115"/>
      <c r="G50" s="115"/>
      <c r="H50" s="115"/>
      <c r="I50" s="115"/>
      <c r="J50" s="115"/>
    </row>
    <row r="51" spans="1:10" s="104" customFormat="1">
      <c r="A51" s="110" t="s">
        <v>81</v>
      </c>
      <c r="B51" s="111"/>
      <c r="C51" s="111"/>
      <c r="D51" s="112">
        <f>SUM(D45:D49)</f>
        <v>-6340502</v>
      </c>
      <c r="E51" s="112"/>
      <c r="F51" s="112">
        <f>SUM(F45:F49)</f>
        <v>100000</v>
      </c>
      <c r="G51" s="112"/>
      <c r="H51" s="112">
        <f>+H45-H49</f>
        <v>0</v>
      </c>
      <c r="I51" s="112"/>
      <c r="J51" s="112">
        <f>SUM(J45:J49)</f>
        <v>-6200502</v>
      </c>
    </row>
    <row r="52" spans="1:10">
      <c r="D52" s="83"/>
      <c r="E52" s="83"/>
      <c r="F52" s="83"/>
      <c r="G52" s="83"/>
      <c r="H52" s="83"/>
      <c r="I52" s="83"/>
      <c r="J52" s="83"/>
    </row>
    <row r="53" spans="1:10">
      <c r="A53" s="78" t="s">
        <v>115</v>
      </c>
      <c r="C53" s="79"/>
      <c r="D53" s="105">
        <f>'General Fund Summary'!V57</f>
        <v>29290662.88000001</v>
      </c>
      <c r="E53" s="83"/>
      <c r="F53" s="105">
        <f>+' CN Summary Board'!N53</f>
        <v>874318.70000000019</v>
      </c>
      <c r="G53" s="83"/>
      <c r="H53" s="105">
        <f>' Prop DS '!V47</f>
        <v>15984098.569999993</v>
      </c>
      <c r="I53" s="83"/>
      <c r="J53" s="105">
        <f>SUM(D53:H53)</f>
        <v>46149080.150000006</v>
      </c>
    </row>
    <row r="54" spans="1:10">
      <c r="C54" s="79"/>
      <c r="D54" s="79"/>
      <c r="E54" s="82"/>
      <c r="F54" s="79"/>
      <c r="G54" s="82"/>
      <c r="H54" s="80"/>
      <c r="I54" s="86"/>
    </row>
    <row r="55" spans="1:10">
      <c r="A55" s="104" t="s">
        <v>116</v>
      </c>
      <c r="C55" s="79"/>
      <c r="D55" s="117">
        <f>+D53+D51</f>
        <v>22950160.88000001</v>
      </c>
      <c r="E55" s="118"/>
      <c r="F55" s="117">
        <f>+F53+F51</f>
        <v>974318.70000000019</v>
      </c>
      <c r="G55" s="118"/>
      <c r="H55" s="117">
        <f>+H53+H51</f>
        <v>15984098.569999993</v>
      </c>
      <c r="I55" s="118"/>
      <c r="J55" s="117">
        <f>+J53+J51</f>
        <v>39948578.150000006</v>
      </c>
    </row>
    <row r="56" spans="1:10">
      <c r="C56" s="119"/>
    </row>
    <row r="57" spans="1:10">
      <c r="A57" s="78" t="s">
        <v>58</v>
      </c>
      <c r="D57" s="80">
        <f>+D55/D43</f>
        <v>0.17740131817453955</v>
      </c>
      <c r="E57" s="86"/>
      <c r="F57" s="80">
        <f>+F55/F43</f>
        <v>0.19728198309234943</v>
      </c>
      <c r="G57" s="86"/>
      <c r="H57" s="80">
        <f>+H55/H43</f>
        <v>0.34773173058362405</v>
      </c>
      <c r="I57" s="86"/>
    </row>
    <row r="58" spans="1:10">
      <c r="C58" s="78" t="s">
        <v>63</v>
      </c>
    </row>
  </sheetData>
  <mergeCells count="3">
    <mergeCell ref="A1:J1"/>
    <mergeCell ref="A2:J2"/>
    <mergeCell ref="A3:J3"/>
  </mergeCells>
  <printOptions horizontalCentered="1"/>
  <pageMargins left="0.7" right="0.7" top="0.75" bottom="0.75" header="0.3" footer="0.3"/>
  <pageSetup scale="30" orientation="portrait" useFirstPageNumber="1" r:id="rId1"/>
  <headerFooter alignWithMargins="0">
    <oddFooter xml:space="preserve">&amp;L&amp;8&amp;Z&amp;F&amp;R&amp;8&amp;D  &amp;T&amp;10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7"/>
    <pageSetUpPr fitToPage="1"/>
  </sheetPr>
  <dimension ref="A1:AH163"/>
  <sheetViews>
    <sheetView showGridLines="0" zoomScaleSheetLayoutView="85" workbookViewId="0"/>
  </sheetViews>
  <sheetFormatPr defaultColWidth="8.85546875" defaultRowHeight="12.75"/>
  <cols>
    <col min="1" max="1" width="3.85546875" style="1" customWidth="1"/>
    <col min="2" max="2" width="3.140625" style="1" customWidth="1"/>
    <col min="3" max="3" width="34.7109375" style="1" customWidth="1"/>
    <col min="4" max="4" width="16" style="1" hidden="1" customWidth="1"/>
    <col min="5" max="5" width="7.140625" style="29" hidden="1" customWidth="1"/>
    <col min="6" max="6" width="16.7109375" style="1" hidden="1" customWidth="1"/>
    <col min="7" max="7" width="2" style="29" hidden="1" customWidth="1"/>
    <col min="8" max="8" width="14.28515625" style="1" hidden="1" customWidth="1"/>
    <col min="9" max="9" width="1" style="29" hidden="1" customWidth="1"/>
    <col min="10" max="10" width="0.140625" style="1" customWidth="1"/>
    <col min="11" max="11" width="0.140625" style="29" customWidth="1"/>
    <col min="12" max="12" width="15.42578125" style="29" hidden="1" customWidth="1"/>
    <col min="13" max="13" width="1.140625" style="29" hidden="1" customWidth="1"/>
    <col min="14" max="14" width="15.42578125" style="29" hidden="1" customWidth="1"/>
    <col min="15" max="15" width="1.140625" style="29" hidden="1" customWidth="1"/>
    <col min="16" max="16" width="15.42578125" style="29" customWidth="1"/>
    <col min="17" max="17" width="1.140625" style="29" customWidth="1"/>
    <col min="18" max="18" width="15.42578125" style="11" customWidth="1"/>
    <col min="19" max="19" width="1" style="32" customWidth="1"/>
    <col min="20" max="20" width="15.42578125" style="32" customWidth="1"/>
    <col min="21" max="21" width="1.28515625" style="32" customWidth="1"/>
    <col min="22" max="22" width="15.42578125" style="32" customWidth="1"/>
    <col min="23" max="23" width="1" style="32" customWidth="1"/>
    <col min="24" max="24" width="14.85546875" customWidth="1"/>
    <col min="25" max="25" width="1" style="32" customWidth="1"/>
    <col min="26" max="26" width="16.5703125" style="1" customWidth="1"/>
    <col min="27" max="27" width="8.85546875" style="1"/>
    <col min="28" max="28" width="12" style="1" bestFit="1" customWidth="1"/>
    <col min="29" max="29" width="9.85546875" style="1" bestFit="1" customWidth="1"/>
    <col min="30" max="31" width="16.7109375" style="1" customWidth="1"/>
    <col min="32" max="32" width="12.42578125" style="1" bestFit="1" customWidth="1"/>
    <col min="33" max="16384" width="8.85546875" style="1"/>
  </cols>
  <sheetData>
    <row r="1" spans="1:32" ht="15.75" customHeight="1"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85"/>
      <c r="Q1" s="279"/>
      <c r="R1" s="282" t="s">
        <v>93</v>
      </c>
      <c r="S1" s="279"/>
      <c r="T1" s="279"/>
      <c r="U1" s="279"/>
      <c r="V1" s="279"/>
      <c r="W1" s="279"/>
      <c r="X1" s="279"/>
      <c r="Y1" s="279"/>
      <c r="Z1" s="279"/>
    </row>
    <row r="2" spans="1:32" s="150" customFormat="1" ht="15.75" customHeight="1">
      <c r="B2" s="279"/>
      <c r="C2" s="286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87"/>
      <c r="Q2" s="279"/>
      <c r="R2" s="282" t="s">
        <v>202</v>
      </c>
      <c r="S2" s="284"/>
      <c r="T2" s="279"/>
      <c r="U2" s="279"/>
      <c r="V2" s="279"/>
      <c r="W2" s="279"/>
      <c r="X2" s="279"/>
      <c r="Y2" s="279"/>
      <c r="Z2" s="279"/>
    </row>
    <row r="3" spans="1:32" s="150" customFormat="1" ht="15.75" customHeight="1"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7"/>
      <c r="Q3" s="281"/>
      <c r="R3" s="273" t="s">
        <v>220</v>
      </c>
      <c r="S3" s="281"/>
      <c r="T3" s="281"/>
      <c r="U3" s="281"/>
      <c r="V3" s="281"/>
      <c r="W3" s="281"/>
      <c r="X3" s="281"/>
      <c r="Y3" s="281"/>
      <c r="Z3" s="281"/>
    </row>
    <row r="4" spans="1:32">
      <c r="B4" s="323"/>
      <c r="C4" s="323"/>
      <c r="D4" s="2"/>
      <c r="E4" s="3"/>
      <c r="F4" s="2"/>
      <c r="G4" s="3"/>
      <c r="H4" s="2"/>
      <c r="I4" s="3"/>
      <c r="J4" s="2"/>
      <c r="K4" s="3"/>
      <c r="L4" s="3"/>
      <c r="M4" s="3"/>
      <c r="N4" s="3"/>
      <c r="O4" s="3"/>
      <c r="P4" s="3"/>
      <c r="Q4" s="3"/>
      <c r="R4" s="49"/>
      <c r="S4" s="4"/>
      <c r="T4" s="4"/>
      <c r="U4" s="4"/>
      <c r="V4" s="4"/>
      <c r="W4" s="4"/>
      <c r="Y4" s="4"/>
    </row>
    <row r="5" spans="1:32" ht="18.75" customHeight="1">
      <c r="B5" s="323"/>
      <c r="C5" s="323"/>
      <c r="D5" s="154" t="s">
        <v>94</v>
      </c>
      <c r="E5" s="44"/>
      <c r="F5" s="154" t="s">
        <v>95</v>
      </c>
      <c r="G5" s="9"/>
      <c r="H5" s="154" t="s">
        <v>96</v>
      </c>
      <c r="I5" s="9"/>
      <c r="J5" s="154" t="s">
        <v>91</v>
      </c>
      <c r="K5" s="9"/>
      <c r="L5" s="154" t="s">
        <v>97</v>
      </c>
      <c r="M5" s="9"/>
      <c r="N5" s="154" t="s">
        <v>98</v>
      </c>
      <c r="O5" s="9"/>
      <c r="P5" s="154" t="s">
        <v>212</v>
      </c>
      <c r="Q5" s="9"/>
      <c r="R5" s="183" t="s">
        <v>214</v>
      </c>
      <c r="S5" s="9"/>
      <c r="T5" s="183" t="s">
        <v>214</v>
      </c>
      <c r="U5" s="265"/>
      <c r="V5" s="183" t="s">
        <v>216</v>
      </c>
      <c r="W5" s="9"/>
      <c r="X5" s="183" t="s">
        <v>216</v>
      </c>
      <c r="Y5" s="11"/>
      <c r="Z5" s="183"/>
    </row>
    <row r="6" spans="1:32" ht="119.25" customHeight="1">
      <c r="B6" s="7"/>
      <c r="D6" s="158" t="s">
        <v>2</v>
      </c>
      <c r="E6" s="9"/>
      <c r="F6" s="158" t="s">
        <v>2</v>
      </c>
      <c r="G6" s="9"/>
      <c r="H6" s="158" t="s">
        <v>2</v>
      </c>
      <c r="I6" s="9"/>
      <c r="J6" s="158" t="s">
        <v>2</v>
      </c>
      <c r="K6" s="9"/>
      <c r="L6" s="175" t="s">
        <v>2</v>
      </c>
      <c r="M6" s="9"/>
      <c r="N6" s="175" t="s">
        <v>2</v>
      </c>
      <c r="O6" s="9"/>
      <c r="P6" s="175" t="s">
        <v>2</v>
      </c>
      <c r="Q6" s="9"/>
      <c r="R6" s="184" t="s">
        <v>33</v>
      </c>
      <c r="S6" s="9"/>
      <c r="T6" s="184" t="s">
        <v>222</v>
      </c>
      <c r="U6" s="40"/>
      <c r="V6" s="184" t="s">
        <v>225</v>
      </c>
      <c r="W6" s="9"/>
      <c r="X6" s="184" t="s">
        <v>217</v>
      </c>
      <c r="Y6" s="11"/>
      <c r="Z6" s="184" t="s">
        <v>99</v>
      </c>
      <c r="AC6" s="1" t="s">
        <v>85</v>
      </c>
    </row>
    <row r="7" spans="1:32" s="14" customFormat="1" ht="15">
      <c r="A7" s="45" t="s">
        <v>34</v>
      </c>
      <c r="D7" s="46">
        <v>2858422463</v>
      </c>
      <c r="E7" s="17"/>
      <c r="F7" s="46">
        <v>3133905259</v>
      </c>
      <c r="G7" s="17"/>
      <c r="H7" s="46">
        <v>3023047719</v>
      </c>
      <c r="J7" s="46">
        <v>2976022018</v>
      </c>
      <c r="L7" s="46">
        <v>2994973429</v>
      </c>
      <c r="N7" s="46">
        <v>3039898030</v>
      </c>
      <c r="P7" s="185">
        <v>8420486267</v>
      </c>
      <c r="Q7" s="65"/>
      <c r="R7" s="185">
        <v>10666730000</v>
      </c>
      <c r="S7" s="16"/>
      <c r="T7" s="185">
        <v>9480684300</v>
      </c>
      <c r="U7" s="40"/>
      <c r="V7" s="185">
        <v>10780920478</v>
      </c>
      <c r="W7" s="16"/>
      <c r="X7" s="185">
        <f>+V7-T7</f>
        <v>1300236178</v>
      </c>
      <c r="Y7" s="16"/>
      <c r="Z7" s="253">
        <f>+X7/T7</f>
        <v>0.1371458153078676</v>
      </c>
    </row>
    <row r="8" spans="1:32" s="14" customFormat="1" ht="15">
      <c r="A8" s="45" t="s">
        <v>35</v>
      </c>
      <c r="D8" s="47">
        <v>1.04</v>
      </c>
      <c r="E8" s="17"/>
      <c r="F8" s="47">
        <v>1.04</v>
      </c>
      <c r="G8" s="17"/>
      <c r="H8" s="47">
        <v>1.04</v>
      </c>
      <c r="I8" s="16"/>
      <c r="J8" s="47">
        <v>1.04</v>
      </c>
      <c r="L8" s="47">
        <v>1.04</v>
      </c>
      <c r="N8" s="47">
        <v>1.04</v>
      </c>
      <c r="P8" s="186">
        <v>0.85460000000000003</v>
      </c>
      <c r="Q8" s="74"/>
      <c r="R8" s="186">
        <v>0.66920000000000002</v>
      </c>
      <c r="S8" s="16"/>
      <c r="T8" s="186">
        <v>0.66920000000000002</v>
      </c>
      <c r="U8" s="40"/>
      <c r="V8" s="186">
        <v>0.66690000000000005</v>
      </c>
      <c r="W8" s="16"/>
      <c r="X8" s="303">
        <f>+V8-T8</f>
        <v>-2.2999999999999687E-3</v>
      </c>
      <c r="Y8" s="16"/>
      <c r="Z8" s="254" t="s">
        <v>85</v>
      </c>
    </row>
    <row r="9" spans="1:32" s="14" customFormat="1" ht="15">
      <c r="A9" s="45" t="s">
        <v>100</v>
      </c>
      <c r="B9" s="15"/>
      <c r="D9" s="159">
        <v>6810.6859999999997</v>
      </c>
      <c r="E9" s="17"/>
      <c r="F9" s="159">
        <v>6982.8389999999999</v>
      </c>
      <c r="G9" s="160"/>
      <c r="H9" s="159">
        <v>7192.9780000000001</v>
      </c>
      <c r="I9" s="160"/>
      <c r="J9" s="159">
        <v>7201.857</v>
      </c>
      <c r="K9" s="160"/>
      <c r="L9" s="159">
        <v>7222</v>
      </c>
      <c r="M9" s="160"/>
      <c r="N9" s="159">
        <v>7618</v>
      </c>
      <c r="O9" s="160"/>
      <c r="P9" s="187">
        <v>10264.019</v>
      </c>
      <c r="Q9" s="160"/>
      <c r="R9" s="187">
        <v>10885.1</v>
      </c>
      <c r="S9" s="160"/>
      <c r="T9" s="187">
        <v>10382.814</v>
      </c>
      <c r="U9" s="40"/>
      <c r="V9" s="187">
        <v>10782.905000000001</v>
      </c>
      <c r="W9" s="16"/>
      <c r="X9" s="252">
        <f>+V9-T9</f>
        <v>400.09100000000035</v>
      </c>
      <c r="Y9" s="16"/>
      <c r="Z9" s="255">
        <f>+X9/T9</f>
        <v>3.8533965840089245E-2</v>
      </c>
    </row>
    <row r="10" spans="1:32" s="14" customFormat="1" ht="21.75" customHeight="1">
      <c r="A10" s="45" t="s">
        <v>101</v>
      </c>
      <c r="B10" s="15"/>
      <c r="D10" s="159">
        <v>8244.8160000000007</v>
      </c>
      <c r="E10" s="17"/>
      <c r="F10" s="159">
        <v>8441.2960000000003</v>
      </c>
      <c r="G10" s="160"/>
      <c r="H10" s="159">
        <v>8721.1759999999995</v>
      </c>
      <c r="I10" s="160"/>
      <c r="J10" s="159">
        <v>8201.0540000000001</v>
      </c>
      <c r="K10" s="160"/>
      <c r="L10" s="159">
        <v>8611</v>
      </c>
      <c r="M10" s="160"/>
      <c r="N10" s="159">
        <v>8830</v>
      </c>
      <c r="O10" s="160"/>
      <c r="P10" s="187">
        <v>13235.14</v>
      </c>
      <c r="Q10" s="160"/>
      <c r="R10" s="187">
        <v>13999.638000000001</v>
      </c>
      <c r="S10" s="160"/>
      <c r="T10" s="187">
        <v>13485.616</v>
      </c>
      <c r="U10" s="40"/>
      <c r="V10" s="187">
        <v>13929.583000000001</v>
      </c>
      <c r="W10" s="16"/>
      <c r="X10" s="252">
        <f>+V10-T10</f>
        <v>443.96700000000055</v>
      </c>
      <c r="Y10" s="16"/>
      <c r="Z10" s="255">
        <f>+X10/T10</f>
        <v>3.292152171617526E-2</v>
      </c>
    </row>
    <row r="11" spans="1:32" s="11" customFormat="1">
      <c r="B11" s="12"/>
      <c r="D11" s="12"/>
      <c r="E11" s="9"/>
      <c r="F11" s="12"/>
      <c r="G11" s="9"/>
      <c r="H11" s="12"/>
      <c r="I11" s="9"/>
      <c r="J11" s="12"/>
      <c r="K11" s="9"/>
      <c r="L11" s="12"/>
      <c r="M11" s="9"/>
      <c r="N11" s="12"/>
      <c r="O11" s="9"/>
      <c r="P11" s="9"/>
      <c r="Q11" s="9"/>
      <c r="R11" s="12"/>
      <c r="S11" s="9"/>
      <c r="T11" s="9"/>
      <c r="U11" s="9"/>
      <c r="V11" s="9"/>
      <c r="W11" s="9"/>
      <c r="Y11" s="9"/>
    </row>
    <row r="12" spans="1:32" s="14" customFormat="1">
      <c r="A12" s="50" t="s">
        <v>36</v>
      </c>
      <c r="B12" s="15"/>
      <c r="D12" s="16"/>
      <c r="E12" s="17"/>
      <c r="F12" s="16"/>
      <c r="G12" s="17"/>
      <c r="H12" s="16"/>
      <c r="I12" s="17"/>
      <c r="J12" s="16"/>
      <c r="K12" s="17"/>
      <c r="L12" s="16"/>
      <c r="M12" s="17"/>
      <c r="N12" s="16"/>
      <c r="O12" s="17"/>
      <c r="P12" s="17"/>
      <c r="Q12" s="17"/>
      <c r="R12" s="16"/>
      <c r="S12" s="17"/>
      <c r="T12" s="17"/>
      <c r="U12" s="17"/>
      <c r="V12" s="17"/>
      <c r="W12" s="17"/>
      <c r="Y12" s="17"/>
    </row>
    <row r="13" spans="1:32">
      <c r="A13" s="50" t="s">
        <v>37</v>
      </c>
      <c r="C13" s="2"/>
      <c r="D13" s="2"/>
      <c r="E13" s="3"/>
      <c r="F13" s="2"/>
      <c r="G13" s="3"/>
      <c r="H13" s="2"/>
      <c r="I13" s="3"/>
      <c r="J13" s="2"/>
      <c r="K13" s="3"/>
      <c r="L13" s="2"/>
      <c r="M13" s="3"/>
      <c r="N13" s="2"/>
      <c r="O13" s="3"/>
      <c r="P13" s="3"/>
      <c r="Q13" s="3"/>
      <c r="R13" s="49"/>
      <c r="S13" s="4"/>
      <c r="T13" s="4"/>
      <c r="U13" s="4"/>
      <c r="V13" s="4"/>
      <c r="W13" s="4"/>
      <c r="Y13" s="4"/>
    </row>
    <row r="14" spans="1:32">
      <c r="B14" s="1" t="s">
        <v>38</v>
      </c>
      <c r="C14" s="2"/>
      <c r="D14" s="2">
        <v>27420927.420000002</v>
      </c>
      <c r="E14" s="20"/>
      <c r="F14" s="2">
        <v>27247664.77</v>
      </c>
      <c r="G14" s="3"/>
      <c r="H14" s="2">
        <v>26700918.760000002</v>
      </c>
      <c r="I14" s="3"/>
      <c r="J14" s="2">
        <v>25750515.170000002</v>
      </c>
      <c r="K14" s="3"/>
      <c r="L14" s="2">
        <v>25841201</v>
      </c>
      <c r="M14" s="3"/>
      <c r="N14" s="2">
        <v>26928048.440000001</v>
      </c>
      <c r="O14" s="3"/>
      <c r="P14" s="3">
        <v>59171191.280000001</v>
      </c>
      <c r="Q14" s="3"/>
      <c r="R14" s="4">
        <v>69031890</v>
      </c>
      <c r="S14" s="4"/>
      <c r="T14" s="4">
        <v>54498637</v>
      </c>
      <c r="U14" s="4" t="s">
        <v>85</v>
      </c>
      <c r="V14" s="2">
        <v>58953798</v>
      </c>
      <c r="W14" s="4"/>
      <c r="X14" s="49">
        <f>+V14-T14</f>
        <v>4455161</v>
      </c>
      <c r="Y14" s="11"/>
      <c r="Z14" s="64">
        <f>+X14/T14</f>
        <v>8.1748117847424334E-2</v>
      </c>
    </row>
    <row r="15" spans="1:32">
      <c r="B15" s="1" t="s">
        <v>39</v>
      </c>
      <c r="C15" s="2"/>
      <c r="D15" s="6">
        <v>652089.13</v>
      </c>
      <c r="E15" s="20"/>
      <c r="F15" s="6">
        <v>306606.28999999998</v>
      </c>
      <c r="G15" s="3"/>
      <c r="H15" s="6">
        <f>593642.43+26.91</f>
        <v>593669.34000000008</v>
      </c>
      <c r="I15" s="3"/>
      <c r="J15" s="6">
        <v>-1289761.58</v>
      </c>
      <c r="K15" s="3"/>
      <c r="L15" s="6">
        <v>141603.57</v>
      </c>
      <c r="M15" s="3"/>
      <c r="N15" s="6">
        <v>232242.58</v>
      </c>
      <c r="O15" s="3"/>
      <c r="P15" s="53">
        <v>408001.97</v>
      </c>
      <c r="Q15" s="3"/>
      <c r="R15" s="52">
        <f>250000+50000</f>
        <v>300000</v>
      </c>
      <c r="S15" s="4"/>
      <c r="T15" s="52">
        <v>300000</v>
      </c>
      <c r="U15" s="52"/>
      <c r="V15" s="6">
        <v>300000</v>
      </c>
      <c r="W15" s="4"/>
      <c r="X15" s="21">
        <f>+V15-T15</f>
        <v>0</v>
      </c>
      <c r="Y15" s="11"/>
      <c r="Z15" s="64">
        <f t="shared" ref="Z15:Z16" si="0">+X15/T15</f>
        <v>0</v>
      </c>
      <c r="AE15" s="37"/>
      <c r="AF15" s="6"/>
    </row>
    <row r="16" spans="1:32">
      <c r="B16" s="1" t="s">
        <v>40</v>
      </c>
      <c r="C16" s="2"/>
      <c r="D16" s="6">
        <v>377966.24</v>
      </c>
      <c r="E16" s="20"/>
      <c r="F16" s="6">
        <v>371704.76</v>
      </c>
      <c r="G16" s="3"/>
      <c r="H16" s="6">
        <f>165851.04+63.48</f>
        <v>165914.52000000002</v>
      </c>
      <c r="I16" s="3"/>
      <c r="J16" s="6">
        <f>190232.25-752.86</f>
        <v>189479.39</v>
      </c>
      <c r="K16" s="3"/>
      <c r="L16" s="6">
        <f>133153.2-351.74</f>
        <v>132801.46000000002</v>
      </c>
      <c r="M16" s="3"/>
      <c r="N16" s="6">
        <f>147371.43-547.82</f>
        <v>146823.60999999999</v>
      </c>
      <c r="O16" s="3"/>
      <c r="P16" s="53">
        <f>260202.7-1983.13</f>
        <v>258219.57</v>
      </c>
      <c r="Q16" s="3"/>
      <c r="R16" s="52">
        <v>200000</v>
      </c>
      <c r="S16" s="4" t="s">
        <v>85</v>
      </c>
      <c r="T16" s="52">
        <v>200000</v>
      </c>
      <c r="U16" s="52"/>
      <c r="V16" s="6">
        <v>200000</v>
      </c>
      <c r="W16" s="4"/>
      <c r="X16" s="21">
        <f t="shared" ref="X16" si="1">+V16-T16</f>
        <v>0</v>
      </c>
      <c r="Y16" s="11"/>
      <c r="Z16" s="64">
        <f t="shared" si="0"/>
        <v>0</v>
      </c>
      <c r="AE16" s="37"/>
      <c r="AF16" s="6"/>
    </row>
    <row r="17" spans="1:32">
      <c r="B17" s="1" t="s">
        <v>102</v>
      </c>
      <c r="C17" s="161"/>
      <c r="D17" s="6">
        <v>5201955.95</v>
      </c>
      <c r="E17" s="20"/>
      <c r="F17" s="6">
        <v>4900812.57</v>
      </c>
      <c r="G17" s="3"/>
      <c r="H17" s="6">
        <v>4289112.8</v>
      </c>
      <c r="I17" s="3"/>
      <c r="J17" s="6">
        <v>4053799.93</v>
      </c>
      <c r="K17" s="3"/>
      <c r="L17" s="6">
        <v>4675668.22</v>
      </c>
      <c r="M17" s="3"/>
      <c r="N17" s="6">
        <v>4765627.34</v>
      </c>
      <c r="O17" s="3"/>
      <c r="P17" s="178">
        <v>10453295.76</v>
      </c>
      <c r="Q17" s="3"/>
      <c r="R17" s="52">
        <v>10410902</v>
      </c>
      <c r="S17" s="4"/>
      <c r="T17" s="52">
        <v>8698740</v>
      </c>
      <c r="U17" s="52" t="s">
        <v>85</v>
      </c>
      <c r="V17" s="6">
        <v>9042946</v>
      </c>
      <c r="W17" s="4"/>
      <c r="X17" s="21">
        <f t="shared" ref="X17:X26" si="2">+V17-T17</f>
        <v>344206</v>
      </c>
      <c r="Y17" s="11"/>
      <c r="Z17" s="64">
        <f t="shared" ref="Z17:Z26" si="3">+X17/T17</f>
        <v>3.9569638821254575E-2</v>
      </c>
      <c r="AE17" s="37"/>
      <c r="AF17" s="6"/>
    </row>
    <row r="18" spans="1:32">
      <c r="B18" s="1" t="s">
        <v>42</v>
      </c>
      <c r="C18" s="3"/>
      <c r="D18" s="6">
        <v>290307.8</v>
      </c>
      <c r="E18" s="20"/>
      <c r="F18" s="6">
        <v>309078.93</v>
      </c>
      <c r="G18" s="20"/>
      <c r="H18" s="6">
        <v>216492</v>
      </c>
      <c r="I18" s="20"/>
      <c r="J18" s="6">
        <v>236191</v>
      </c>
      <c r="K18" s="20"/>
      <c r="L18" s="6">
        <f>379596.96-(55796.31+4379.8+2513.8)-3659.46</f>
        <v>313247.59000000003</v>
      </c>
      <c r="M18" s="173"/>
      <c r="N18" s="6">
        <f>365401.81-59521.59-2430.2-6006.33-39460-4000</f>
        <v>253983.68999999994</v>
      </c>
      <c r="O18" s="173"/>
      <c r="P18" s="21">
        <v>489426.9</v>
      </c>
      <c r="Q18" s="21"/>
      <c r="R18" s="21">
        <v>365961</v>
      </c>
      <c r="S18" s="21"/>
      <c r="T18" s="21">
        <v>411936</v>
      </c>
      <c r="U18" s="21"/>
      <c r="V18" s="6">
        <v>365961</v>
      </c>
      <c r="W18" s="21"/>
      <c r="X18" s="21">
        <f t="shared" si="2"/>
        <v>-45975</v>
      </c>
      <c r="Y18" s="11"/>
      <c r="Z18" s="64">
        <f t="shared" si="3"/>
        <v>-0.11160714285714286</v>
      </c>
      <c r="AE18" s="37"/>
      <c r="AF18" s="6"/>
    </row>
    <row r="19" spans="1:32">
      <c r="B19" s="1" t="s">
        <v>103</v>
      </c>
      <c r="C19" s="3"/>
      <c r="D19" s="6"/>
      <c r="E19" s="20"/>
      <c r="F19" s="6"/>
      <c r="G19" s="20"/>
      <c r="H19" s="6">
        <v>63850</v>
      </c>
      <c r="I19" s="20"/>
      <c r="J19" s="6">
        <v>64650</v>
      </c>
      <c r="K19" s="20"/>
      <c r="L19" s="6">
        <f>36400+7250</f>
        <v>43650</v>
      </c>
      <c r="M19" s="173"/>
      <c r="N19" s="6">
        <f>39460+4000</f>
        <v>43460</v>
      </c>
      <c r="O19" s="173"/>
      <c r="P19" s="21">
        <v>60716.68</v>
      </c>
      <c r="Q19" s="173"/>
      <c r="R19" s="21">
        <v>60000</v>
      </c>
      <c r="S19" s="21"/>
      <c r="T19" s="21">
        <v>70103</v>
      </c>
      <c r="U19" s="21"/>
      <c r="V19" s="6">
        <v>60000</v>
      </c>
      <c r="W19" s="21"/>
      <c r="X19" s="21">
        <f t="shared" si="2"/>
        <v>-10103</v>
      </c>
      <c r="Y19" s="11"/>
      <c r="Z19" s="64">
        <f t="shared" si="3"/>
        <v>-0.14411651427185712</v>
      </c>
      <c r="AE19" s="37"/>
      <c r="AF19" s="6"/>
    </row>
    <row r="20" spans="1:32">
      <c r="B20" s="1" t="s">
        <v>43</v>
      </c>
      <c r="C20" s="3"/>
      <c r="D20" s="6">
        <f>24010+29008.5+3227.72</f>
        <v>56246.22</v>
      </c>
      <c r="E20" s="20"/>
      <c r="F20" s="6">
        <f>15050+30344.5+3130+5453.35</f>
        <v>53977.85</v>
      </c>
      <c r="G20" s="20"/>
      <c r="H20" s="6">
        <f>13975+19008+2343</f>
        <v>35326</v>
      </c>
      <c r="I20" s="20"/>
      <c r="J20" s="6">
        <f>3120+28893.5+9160.57+4199.58</f>
        <v>45373.65</v>
      </c>
      <c r="K20" s="20"/>
      <c r="L20" s="6">
        <f>15625+27815+4400+5500.02</f>
        <v>53340.020000000004</v>
      </c>
      <c r="M20" s="173"/>
      <c r="N20" s="6">
        <f>14295+22195+14991.48</f>
        <v>51481.479999999996</v>
      </c>
      <c r="O20" s="173"/>
      <c r="P20" s="21">
        <v>17436.669999999998</v>
      </c>
      <c r="Q20" s="21"/>
      <c r="R20" s="21">
        <v>15000</v>
      </c>
      <c r="S20" s="21"/>
      <c r="T20" s="21">
        <v>85000</v>
      </c>
      <c r="U20" s="21"/>
      <c r="V20" s="6">
        <f>15000+72000</f>
        <v>87000</v>
      </c>
      <c r="W20" s="21"/>
      <c r="X20" s="21">
        <f t="shared" si="2"/>
        <v>2000</v>
      </c>
      <c r="Y20" s="11"/>
      <c r="Z20" s="64">
        <f t="shared" si="3"/>
        <v>2.3529411764705882E-2</v>
      </c>
      <c r="AE20" s="37"/>
      <c r="AF20" s="6"/>
    </row>
    <row r="21" spans="1:32">
      <c r="B21" s="1" t="s">
        <v>44</v>
      </c>
      <c r="C21" s="3"/>
      <c r="D21" s="6">
        <v>136152.57</v>
      </c>
      <c r="E21" s="20"/>
      <c r="F21" s="6">
        <v>152257.23000000001</v>
      </c>
      <c r="G21" s="20"/>
      <c r="H21" s="6">
        <v>113921</v>
      </c>
      <c r="I21" s="20"/>
      <c r="J21" s="6">
        <v>154773</v>
      </c>
      <c r="K21" s="20"/>
      <c r="L21" s="6">
        <f>55796.31+4379.8+2513.8+100730.54</f>
        <v>163420.45000000001</v>
      </c>
      <c r="M21" s="173"/>
      <c r="N21" s="6">
        <f>59521.59+2430.2+6006.33+72354.68</f>
        <v>140312.79999999999</v>
      </c>
      <c r="O21" s="173"/>
      <c r="P21" s="21">
        <f>15636.89+80710.87</f>
        <v>96347.76</v>
      </c>
      <c r="Q21" s="21"/>
      <c r="R21" s="21">
        <f>75000+19000</f>
        <v>94000</v>
      </c>
      <c r="S21" s="21"/>
      <c r="T21" s="21">
        <v>105047</v>
      </c>
      <c r="U21" s="21"/>
      <c r="V21" s="6">
        <f>75000+19285</f>
        <v>94285</v>
      </c>
      <c r="W21" s="21"/>
      <c r="X21" s="21">
        <f t="shared" si="2"/>
        <v>-10762</v>
      </c>
      <c r="Y21" s="11"/>
      <c r="Z21" s="64">
        <f t="shared" si="3"/>
        <v>-0.10244937980142223</v>
      </c>
      <c r="AE21" s="37"/>
      <c r="AF21" s="6"/>
    </row>
    <row r="22" spans="1:32">
      <c r="B22" s="1" t="s">
        <v>104</v>
      </c>
      <c r="C22" s="3"/>
      <c r="D22" s="6"/>
      <c r="E22" s="20"/>
      <c r="F22" s="6"/>
      <c r="G22" s="20"/>
      <c r="H22" s="6">
        <v>110000</v>
      </c>
      <c r="I22" s="20"/>
      <c r="J22" s="6">
        <v>110000</v>
      </c>
      <c r="K22" s="20"/>
      <c r="L22" s="6">
        <v>110000</v>
      </c>
      <c r="M22" s="173"/>
      <c r="N22" s="6">
        <v>110000</v>
      </c>
      <c r="O22" s="173"/>
      <c r="P22" s="21">
        <v>75000</v>
      </c>
      <c r="Q22" s="173"/>
      <c r="R22" s="21">
        <v>75000</v>
      </c>
      <c r="S22" s="21"/>
      <c r="T22" s="21">
        <v>75000</v>
      </c>
      <c r="U22" s="21"/>
      <c r="V22" s="6">
        <v>14502</v>
      </c>
      <c r="W22" s="21"/>
      <c r="X22" s="21">
        <f t="shared" si="2"/>
        <v>-60498</v>
      </c>
      <c r="Y22" s="11"/>
      <c r="Z22" s="64">
        <f t="shared" si="3"/>
        <v>-0.80664000000000002</v>
      </c>
      <c r="AE22" s="37"/>
      <c r="AF22" s="6"/>
    </row>
    <row r="23" spans="1:32">
      <c r="B23" s="1" t="s">
        <v>46</v>
      </c>
      <c r="C23" s="2"/>
      <c r="D23" s="6">
        <f>222413.23+10494.18</f>
        <v>232907.41</v>
      </c>
      <c r="E23" s="20"/>
      <c r="F23" s="6">
        <f>86291.72+778.13</f>
        <v>87069.85</v>
      </c>
      <c r="G23" s="20"/>
      <c r="H23" s="6">
        <f>70463.98+580.99</f>
        <v>71044.97</v>
      </c>
      <c r="I23" s="20"/>
      <c r="J23" s="6">
        <f>44715.61+648.75</f>
        <v>45364.36</v>
      </c>
      <c r="K23" s="20"/>
      <c r="L23" s="6">
        <f>44091.99+1015.84</f>
        <v>45107.829999999994</v>
      </c>
      <c r="M23" s="173"/>
      <c r="N23" s="6">
        <f>16717.5+314.63</f>
        <v>17032.13</v>
      </c>
      <c r="O23" s="173"/>
      <c r="P23" s="173">
        <v>1576136.95</v>
      </c>
      <c r="Q23" s="173"/>
      <c r="R23" s="21">
        <v>1700000</v>
      </c>
      <c r="S23" s="21"/>
      <c r="T23" s="21">
        <v>2250000</v>
      </c>
      <c r="U23" s="21"/>
      <c r="V23" s="6">
        <v>2100000</v>
      </c>
      <c r="W23" s="21"/>
      <c r="X23" s="21">
        <f t="shared" si="2"/>
        <v>-150000</v>
      </c>
      <c r="Y23" s="11"/>
      <c r="Z23" s="64">
        <f t="shared" si="3"/>
        <v>-6.6666666666666666E-2</v>
      </c>
      <c r="AF23" s="6"/>
    </row>
    <row r="24" spans="1:32">
      <c r="B24" s="1" t="s">
        <v>105</v>
      </c>
      <c r="C24" s="2"/>
      <c r="D24" s="6"/>
      <c r="E24" s="20"/>
      <c r="F24" s="6"/>
      <c r="G24" s="20"/>
      <c r="H24" s="6">
        <v>520880</v>
      </c>
      <c r="I24" s="20"/>
      <c r="J24" s="6">
        <v>493924</v>
      </c>
      <c r="K24" s="20"/>
      <c r="L24" s="6">
        <v>568344.02</v>
      </c>
      <c r="M24" s="173"/>
      <c r="N24" s="6">
        <f>1000000+579080</f>
        <v>1579080</v>
      </c>
      <c r="O24" s="173"/>
      <c r="P24" s="173">
        <f>1398960+1546638</f>
        <v>2945598</v>
      </c>
      <c r="Q24" s="173"/>
      <c r="R24" s="21">
        <f>1584689+1735047</f>
        <v>3319736</v>
      </c>
      <c r="S24" s="21"/>
      <c r="T24" s="21">
        <v>3243010</v>
      </c>
      <c r="U24" s="21"/>
      <c r="V24" s="6">
        <f>1564512+1729885</f>
        <v>3294397</v>
      </c>
      <c r="W24" s="21"/>
      <c r="X24" s="21">
        <f t="shared" si="2"/>
        <v>51387</v>
      </c>
      <c r="Y24" s="11"/>
      <c r="Z24" s="64">
        <f t="shared" si="3"/>
        <v>1.5845464552992437E-2</v>
      </c>
      <c r="AF24" s="6"/>
    </row>
    <row r="25" spans="1:32">
      <c r="B25" s="1" t="s">
        <v>213</v>
      </c>
      <c r="C25" s="2"/>
      <c r="D25" s="6"/>
      <c r="E25" s="173"/>
      <c r="F25" s="6"/>
      <c r="G25" s="173"/>
      <c r="H25" s="6"/>
      <c r="I25" s="173"/>
      <c r="J25" s="6"/>
      <c r="K25" s="173"/>
      <c r="L25" s="6"/>
      <c r="M25" s="173"/>
      <c r="N25" s="6"/>
      <c r="O25" s="173"/>
      <c r="P25" s="173">
        <v>77799.820000000007</v>
      </c>
      <c r="Q25" s="173"/>
      <c r="R25" s="21">
        <v>0</v>
      </c>
      <c r="S25" s="21"/>
      <c r="T25" s="21">
        <v>303034</v>
      </c>
      <c r="U25" s="21"/>
      <c r="V25" s="6">
        <v>0</v>
      </c>
      <c r="W25" s="21"/>
      <c r="X25" s="21">
        <f t="shared" ref="X25" si="4">+V25-T25</f>
        <v>-303034</v>
      </c>
      <c r="Y25" s="11"/>
      <c r="Z25" s="64">
        <f t="shared" ref="Z25" si="5">+X25/T25</f>
        <v>-1</v>
      </c>
      <c r="AF25" s="6"/>
    </row>
    <row r="26" spans="1:32">
      <c r="B26" s="1" t="s">
        <v>41</v>
      </c>
      <c r="C26" s="2"/>
      <c r="D26" s="6">
        <f>112658+221000+54187.46+110+16350+7710+2908.56+1294</f>
        <v>416218.02</v>
      </c>
      <c r="E26" s="20"/>
      <c r="F26" s="6">
        <f>26051+250+28844.83+360.56+17030+10850+3393.8+595223+24092.83+117980.11</f>
        <v>824076.12999999989</v>
      </c>
      <c r="G26" s="20"/>
      <c r="H26" s="6">
        <f>32928414-H24-H23-H22-H21-H20-H19-H18-H17-H16-H15-H14</f>
        <v>47284.609999999404</v>
      </c>
      <c r="I26" s="20"/>
      <c r="J26" s="6">
        <f>29928101-J24-J23-J22-J21-J20-J19-J18-J17-J16-J15-J14+1</f>
        <v>73793.079999998212</v>
      </c>
      <c r="K26" s="20"/>
      <c r="L26" s="6">
        <f>(110000+375937.5+31727743.79)-L24-L23-L22-L21-L20-L19-L18-L17-L16-L15-L14+1</f>
        <v>125298.13000000268</v>
      </c>
      <c r="M26" s="173"/>
      <c r="N26" s="6">
        <v>55837</v>
      </c>
      <c r="O26" s="173"/>
      <c r="P26" s="311">
        <f>14250.45+208875.19+30940.22+13222.27+9607.05+22725.73+13503.49+20</f>
        <v>313144.39999999997</v>
      </c>
      <c r="Q26" s="173"/>
      <c r="R26" s="52">
        <v>279000</v>
      </c>
      <c r="S26" s="21"/>
      <c r="T26" s="52">
        <v>182691.22</v>
      </c>
      <c r="U26" s="52" t="s">
        <v>85</v>
      </c>
      <c r="V26" s="6">
        <f>100000+30000+14000+10000+20000+5000</f>
        <v>179000</v>
      </c>
      <c r="W26" s="21"/>
      <c r="X26" s="21">
        <f t="shared" si="2"/>
        <v>-3691.2200000000012</v>
      </c>
      <c r="Y26" s="11"/>
      <c r="Z26" s="64">
        <f t="shared" si="3"/>
        <v>-2.0204692923940195E-2</v>
      </c>
    </row>
    <row r="27" spans="1:32">
      <c r="C27" s="51" t="s">
        <v>11</v>
      </c>
      <c r="D27" s="25">
        <f>SUM(D14:D26)</f>
        <v>34784770.759999998</v>
      </c>
      <c r="E27" s="20"/>
      <c r="F27" s="25">
        <f>SUM(F14:F26)</f>
        <v>34253248.380000003</v>
      </c>
      <c r="G27" s="20"/>
      <c r="H27" s="25">
        <f>SUM(H14:H26)</f>
        <v>32928414</v>
      </c>
      <c r="I27" s="20"/>
      <c r="J27" s="25">
        <f>SUM(J14:J26)</f>
        <v>29928102</v>
      </c>
      <c r="K27" s="20"/>
      <c r="L27" s="25">
        <f>SUM(L14:L26)</f>
        <v>32213682.289999999</v>
      </c>
      <c r="M27" s="173"/>
      <c r="N27" s="25">
        <f>SUM(N14:N26)</f>
        <v>34323929.07</v>
      </c>
      <c r="O27" s="173"/>
      <c r="P27" s="151">
        <f>SUM(P14:P26)</f>
        <v>75942315.76000002</v>
      </c>
      <c r="Q27" s="173"/>
      <c r="R27" s="151">
        <f>SUM(R14:R26)</f>
        <v>85851489</v>
      </c>
      <c r="S27" s="21"/>
      <c r="T27" s="151">
        <f>SUM(T14:T26)</f>
        <v>70423198.219999999</v>
      </c>
      <c r="U27" s="21"/>
      <c r="V27" s="25">
        <f>SUM(V14:V26)</f>
        <v>74691889</v>
      </c>
      <c r="W27" s="21"/>
      <c r="X27" s="151">
        <f>SUM(X14:X26)</f>
        <v>4268690.78</v>
      </c>
      <c r="Y27" s="21"/>
      <c r="Z27" s="245">
        <f>+X27/T27</f>
        <v>6.0614838404026129E-2</v>
      </c>
      <c r="AB27" s="38"/>
      <c r="AC27" s="28"/>
    </row>
    <row r="28" spans="1:32">
      <c r="C28" s="2"/>
      <c r="D28" s="6"/>
      <c r="E28" s="20"/>
      <c r="F28" s="6"/>
      <c r="G28" s="20"/>
      <c r="H28" s="6"/>
      <c r="I28" s="20"/>
      <c r="J28" s="6"/>
      <c r="K28" s="20"/>
      <c r="L28" s="6"/>
      <c r="M28" s="173"/>
      <c r="N28" s="6"/>
      <c r="O28" s="173"/>
      <c r="P28" s="173"/>
      <c r="Q28" s="173"/>
      <c r="R28" s="21"/>
      <c r="S28" s="21"/>
      <c r="T28" s="21"/>
      <c r="U28" s="21"/>
      <c r="V28" s="6"/>
      <c r="W28" s="21"/>
      <c r="Y28" s="21"/>
    </row>
    <row r="29" spans="1:32">
      <c r="A29" s="19" t="s">
        <v>47</v>
      </c>
      <c r="C29" s="2"/>
      <c r="D29" s="6"/>
      <c r="E29" s="20"/>
      <c r="F29" s="6"/>
      <c r="G29" s="20"/>
      <c r="H29" s="6"/>
      <c r="I29" s="20"/>
      <c r="J29" s="6"/>
      <c r="K29" s="20"/>
      <c r="L29" s="6"/>
      <c r="M29" s="173"/>
      <c r="N29" s="6"/>
      <c r="O29" s="173"/>
      <c r="P29" s="173"/>
      <c r="Q29" s="173"/>
      <c r="R29" s="21"/>
      <c r="S29" s="21"/>
      <c r="T29" s="21"/>
      <c r="U29" s="21"/>
      <c r="V29" s="6"/>
      <c r="W29" s="21"/>
      <c r="Y29" s="21"/>
    </row>
    <row r="30" spans="1:32">
      <c r="B30" s="1" t="s">
        <v>48</v>
      </c>
      <c r="C30" s="2"/>
      <c r="D30" s="6">
        <f>2253263+16007963</f>
        <v>18261226</v>
      </c>
      <c r="E30" s="20"/>
      <c r="F30" s="6">
        <f>736666+17293627</f>
        <v>18030293</v>
      </c>
      <c r="G30" s="20"/>
      <c r="H30" s="6">
        <f>2392756+19362272</f>
        <v>21755028</v>
      </c>
      <c r="I30" s="20"/>
      <c r="J30" s="6">
        <f>1776969+20855027</f>
        <v>22631996</v>
      </c>
      <c r="K30" s="20"/>
      <c r="L30" s="6">
        <f>3406803+17977547.78</f>
        <v>21384350.780000001</v>
      </c>
      <c r="M30" s="173"/>
      <c r="N30" s="6">
        <f>1849963+19887158</f>
        <v>21737121</v>
      </c>
      <c r="O30" s="173"/>
      <c r="P30" s="173">
        <f>6243388+19334991+1390839</f>
        <v>26969218</v>
      </c>
      <c r="Q30" s="173"/>
      <c r="R30" s="21">
        <f>4191400+19890000</f>
        <v>24081400</v>
      </c>
      <c r="S30" s="21"/>
      <c r="T30" s="21">
        <f>4257340+30400341+580053</f>
        <v>35237734</v>
      </c>
      <c r="U30" s="21" t="s">
        <v>85</v>
      </c>
      <c r="V30" s="6">
        <f>4155506+25903870</f>
        <v>30059376</v>
      </c>
      <c r="W30" s="21"/>
      <c r="X30" s="21">
        <f t="shared" ref="X30:X32" si="6">+V30-T30</f>
        <v>-5178358</v>
      </c>
      <c r="Y30" s="11"/>
      <c r="Z30" s="64">
        <f t="shared" ref="Z30:Z32" si="7">+X30/T30</f>
        <v>-0.14695490918910961</v>
      </c>
    </row>
    <row r="31" spans="1:32">
      <c r="B31" s="1" t="s">
        <v>49</v>
      </c>
      <c r="C31" s="2"/>
      <c r="D31" s="6">
        <f>8549.18+2603.39+2580401.21</f>
        <v>2591553.7799999998</v>
      </c>
      <c r="E31" s="20"/>
      <c r="F31" s="6">
        <f>2788439.33+3321.76+8800.67</f>
        <v>2800561.76</v>
      </c>
      <c r="G31" s="20"/>
      <c r="H31" s="6">
        <f>8108.54+3878.89+2581800.68</f>
        <v>2593788.1100000003</v>
      </c>
      <c r="I31" s="20"/>
      <c r="J31" s="6">
        <f>2225213.28+7450.54+4018.78</f>
        <v>2236682.5999999996</v>
      </c>
      <c r="K31" s="20"/>
      <c r="L31" s="6">
        <f>7280.58+3659.46+2108637.32</f>
        <v>2119577.36</v>
      </c>
      <c r="M31" s="173"/>
      <c r="N31" s="6">
        <f>2356472.67+5908.48+8034.98</f>
        <v>2370416.13</v>
      </c>
      <c r="O31" s="173"/>
      <c r="P31" s="21">
        <f>16459.17+6903.95+5495287.49</f>
        <v>5518650.6100000003</v>
      </c>
      <c r="Q31" s="173"/>
      <c r="R31" s="21">
        <f>4833703+285+17529</f>
        <v>4851517</v>
      </c>
      <c r="S31" s="21"/>
      <c r="T31" s="21">
        <f>17529+285+4833703</f>
        <v>4851517</v>
      </c>
      <c r="U31" s="274" t="s">
        <v>85</v>
      </c>
      <c r="V31" s="6">
        <v>5887167</v>
      </c>
      <c r="W31" s="21"/>
      <c r="X31" s="21">
        <f t="shared" si="6"/>
        <v>1035650</v>
      </c>
      <c r="Y31" s="11"/>
      <c r="Z31" s="64">
        <f t="shared" si="7"/>
        <v>0.21346931279432804</v>
      </c>
      <c r="AB31" s="6"/>
    </row>
    <row r="32" spans="1:32">
      <c r="B32" s="1" t="s">
        <v>50</v>
      </c>
      <c r="C32" s="2"/>
      <c r="D32" s="6">
        <f>1680504+7738.92</f>
        <v>1688242.92</v>
      </c>
      <c r="E32" s="20"/>
      <c r="F32" s="6">
        <f>3889703+7906</f>
        <v>3897609</v>
      </c>
      <c r="G32" s="20"/>
      <c r="H32" s="6">
        <f>1897107.58+8026</f>
        <v>1905133.58</v>
      </c>
      <c r="I32" s="20"/>
      <c r="J32" s="6">
        <v>1793026.89</v>
      </c>
      <c r="K32" s="20"/>
      <c r="L32" s="6">
        <f>2069978.22+1700</f>
        <v>2071678.22</v>
      </c>
      <c r="M32" s="173"/>
      <c r="N32" s="6">
        <f>2109079+6025.9</f>
        <v>2115104.9</v>
      </c>
      <c r="O32" s="173"/>
      <c r="P32" s="192">
        <v>7903408</v>
      </c>
      <c r="Q32" s="173"/>
      <c r="R32" s="21">
        <v>10090200</v>
      </c>
      <c r="S32" s="21"/>
      <c r="T32" s="21">
        <v>10908416</v>
      </c>
      <c r="U32" s="21"/>
      <c r="V32" s="6">
        <v>11410670</v>
      </c>
      <c r="W32" s="21"/>
      <c r="X32" s="21">
        <f t="shared" si="6"/>
        <v>502254</v>
      </c>
      <c r="Y32" s="11"/>
      <c r="Z32" s="64">
        <f t="shared" si="7"/>
        <v>4.6042798514468096E-2</v>
      </c>
    </row>
    <row r="33" spans="1:26">
      <c r="C33" s="51" t="s">
        <v>11</v>
      </c>
      <c r="D33" s="25">
        <f>SUM(D30:D32)</f>
        <v>22541022.700000003</v>
      </c>
      <c r="E33" s="20"/>
      <c r="F33" s="25">
        <f>SUM(F30:F32)</f>
        <v>24728463.759999998</v>
      </c>
      <c r="G33" s="20"/>
      <c r="H33" s="25">
        <f>SUM(H30:H32)</f>
        <v>26253949.689999998</v>
      </c>
      <c r="I33" s="20"/>
      <c r="J33" s="25">
        <f>SUM(J30:J32)</f>
        <v>26661705.490000002</v>
      </c>
      <c r="K33" s="20"/>
      <c r="L33" s="25">
        <f>SUM(L30:L32)</f>
        <v>25575606.359999999</v>
      </c>
      <c r="M33" s="173"/>
      <c r="N33" s="25">
        <f>SUM(N30:N32)</f>
        <v>26222642.029999997</v>
      </c>
      <c r="O33" s="173"/>
      <c r="P33" s="192">
        <f>SUM(P30:P32)</f>
        <v>40391276.609999999</v>
      </c>
      <c r="Q33" s="173"/>
      <c r="R33" s="151">
        <f>SUM(R30:R32)</f>
        <v>39023117</v>
      </c>
      <c r="S33" s="21"/>
      <c r="T33" s="151">
        <f>SUM(T30:T32)</f>
        <v>50997667</v>
      </c>
      <c r="U33" s="21"/>
      <c r="V33" s="25">
        <f>SUM(V30:V32)</f>
        <v>47357213</v>
      </c>
      <c r="W33" s="21"/>
      <c r="X33" s="151">
        <f>SUM(X30:X32)</f>
        <v>-3640454</v>
      </c>
      <c r="Y33" s="21"/>
      <c r="Z33" s="245">
        <f>+X33/T33</f>
        <v>-7.1384716481246099E-2</v>
      </c>
    </row>
    <row r="34" spans="1:26" hidden="1">
      <c r="C34" s="2"/>
      <c r="D34" s="6"/>
      <c r="E34" s="20"/>
      <c r="F34" s="6"/>
      <c r="G34" s="20"/>
      <c r="H34" s="6"/>
      <c r="I34" s="20"/>
      <c r="J34" s="6"/>
      <c r="K34" s="20"/>
      <c r="L34" s="6"/>
      <c r="M34" s="173"/>
      <c r="N34" s="6"/>
      <c r="O34" s="173"/>
      <c r="P34" s="173"/>
      <c r="Q34" s="173"/>
      <c r="R34" s="21"/>
      <c r="S34" s="21"/>
      <c r="T34" s="21"/>
      <c r="U34" s="21"/>
      <c r="V34" s="319"/>
      <c r="W34" s="21"/>
      <c r="Y34" s="21"/>
    </row>
    <row r="35" spans="1:26" ht="12.75" hidden="1" customHeight="1">
      <c r="A35" s="19" t="s">
        <v>51</v>
      </c>
      <c r="C35" s="2"/>
      <c r="D35" s="6"/>
      <c r="E35" s="20"/>
      <c r="F35" s="6"/>
      <c r="G35" s="20"/>
      <c r="H35" s="6"/>
      <c r="I35" s="20"/>
      <c r="J35" s="6"/>
      <c r="K35" s="20"/>
      <c r="L35" s="6"/>
      <c r="M35" s="173"/>
      <c r="N35" s="6"/>
      <c r="O35" s="173"/>
      <c r="P35" s="173"/>
      <c r="Q35" s="173"/>
      <c r="R35" s="21"/>
      <c r="S35" s="21"/>
      <c r="T35" s="21"/>
      <c r="U35" s="21"/>
      <c r="V35" s="319"/>
      <c r="W35" s="21"/>
      <c r="Y35" s="21"/>
    </row>
    <row r="36" spans="1:26" ht="12.75" hidden="1" customHeight="1">
      <c r="B36" s="1" t="s">
        <v>106</v>
      </c>
      <c r="C36" s="2"/>
      <c r="D36" s="6">
        <v>0</v>
      </c>
      <c r="E36" s="20"/>
      <c r="F36" s="6">
        <v>0</v>
      </c>
      <c r="G36" s="20"/>
      <c r="H36" s="6">
        <v>0</v>
      </c>
      <c r="I36" s="20"/>
      <c r="J36" s="6">
        <v>0</v>
      </c>
      <c r="K36" s="20"/>
      <c r="L36" s="6">
        <v>0</v>
      </c>
      <c r="M36" s="173"/>
      <c r="N36" s="6">
        <v>0</v>
      </c>
      <c r="O36" s="173"/>
      <c r="P36" s="173"/>
      <c r="Q36" s="173"/>
      <c r="R36" s="21">
        <v>0</v>
      </c>
      <c r="S36" s="21"/>
      <c r="T36" s="21">
        <v>0</v>
      </c>
      <c r="U36" s="21"/>
      <c r="V36" s="319">
        <v>0</v>
      </c>
      <c r="W36" s="21"/>
      <c r="Y36" s="21"/>
      <c r="Z36" s="37"/>
    </row>
    <row r="37" spans="1:26" ht="12.75" hidden="1" customHeight="1">
      <c r="B37" s="1" t="s">
        <v>68</v>
      </c>
      <c r="C37" s="2"/>
      <c r="D37" s="6">
        <v>0</v>
      </c>
      <c r="E37" s="20"/>
      <c r="F37" s="6">
        <v>0</v>
      </c>
      <c r="G37" s="20"/>
      <c r="H37" s="6">
        <v>0</v>
      </c>
      <c r="I37" s="20"/>
      <c r="J37" s="6">
        <v>0</v>
      </c>
      <c r="K37" s="20"/>
      <c r="L37" s="6">
        <v>0</v>
      </c>
      <c r="M37" s="173"/>
      <c r="N37" s="6">
        <v>0</v>
      </c>
      <c r="O37" s="173"/>
      <c r="P37" s="173"/>
      <c r="Q37" s="173"/>
      <c r="R37" s="21">
        <v>0</v>
      </c>
      <c r="S37" s="21"/>
      <c r="T37" s="21">
        <v>0</v>
      </c>
      <c r="U37" s="21"/>
      <c r="V37" s="319">
        <v>0</v>
      </c>
      <c r="W37" s="21"/>
      <c r="Y37" s="21"/>
      <c r="Z37" s="37"/>
    </row>
    <row r="38" spans="1:26" ht="12.75" hidden="1" customHeight="1">
      <c r="B38" s="1" t="s">
        <v>53</v>
      </c>
      <c r="C38" s="2"/>
      <c r="D38" s="6">
        <v>0</v>
      </c>
      <c r="E38" s="20"/>
      <c r="F38" s="6">
        <v>0</v>
      </c>
      <c r="G38" s="20">
        <v>35000</v>
      </c>
      <c r="H38" s="6">
        <v>0</v>
      </c>
      <c r="I38" s="20">
        <v>35000</v>
      </c>
      <c r="J38" s="6">
        <v>0</v>
      </c>
      <c r="K38" s="20">
        <v>35000</v>
      </c>
      <c r="L38" s="6">
        <v>0</v>
      </c>
      <c r="M38" s="173"/>
      <c r="N38" s="6">
        <v>0</v>
      </c>
      <c r="O38" s="173"/>
      <c r="P38" s="173"/>
      <c r="Q38" s="173"/>
      <c r="R38" s="21">
        <v>0</v>
      </c>
      <c r="S38" s="21">
        <v>35000</v>
      </c>
      <c r="T38" s="21">
        <v>0</v>
      </c>
      <c r="U38" s="21"/>
      <c r="V38" s="319">
        <v>0</v>
      </c>
      <c r="W38" s="21">
        <v>35000</v>
      </c>
      <c r="Y38" s="21">
        <v>35000</v>
      </c>
      <c r="Z38" s="37"/>
    </row>
    <row r="39" spans="1:26" ht="12.75" hidden="1" customHeight="1">
      <c r="B39" s="1" t="s">
        <v>107</v>
      </c>
      <c r="C39" s="2"/>
      <c r="D39" s="6">
        <v>0</v>
      </c>
      <c r="E39" s="20"/>
      <c r="F39" s="6">
        <v>0</v>
      </c>
      <c r="G39" s="20"/>
      <c r="H39" s="6">
        <v>0</v>
      </c>
      <c r="I39" s="20"/>
      <c r="J39" s="6">
        <v>0</v>
      </c>
      <c r="K39" s="20"/>
      <c r="L39" s="6">
        <v>0</v>
      </c>
      <c r="M39" s="173"/>
      <c r="N39" s="6">
        <v>0</v>
      </c>
      <c r="O39" s="173"/>
      <c r="P39" s="173"/>
      <c r="Q39" s="173"/>
      <c r="R39" s="21">
        <v>0</v>
      </c>
      <c r="S39" s="21"/>
      <c r="T39" s="21">
        <v>0</v>
      </c>
      <c r="U39" s="21"/>
      <c r="V39" s="319">
        <v>0</v>
      </c>
      <c r="W39" s="21"/>
      <c r="Y39" s="21"/>
      <c r="Z39" s="37"/>
    </row>
    <row r="40" spans="1:26" ht="12.75" hidden="1" customHeight="1">
      <c r="C40" s="51" t="s">
        <v>11</v>
      </c>
      <c r="D40" s="25">
        <f>SUM(D36:D39)</f>
        <v>0</v>
      </c>
      <c r="E40" s="20"/>
      <c r="F40" s="25">
        <f>SUM(F36:F39)</f>
        <v>0</v>
      </c>
      <c r="G40" s="20"/>
      <c r="H40" s="25">
        <f>SUM(H36:H39)</f>
        <v>0</v>
      </c>
      <c r="I40" s="20"/>
      <c r="J40" s="25">
        <f>SUM(J36:J39)</f>
        <v>0</v>
      </c>
      <c r="K40" s="20"/>
      <c r="L40" s="25">
        <f>SUM(L36:L39)</f>
        <v>0</v>
      </c>
      <c r="M40" s="173"/>
      <c r="N40" s="25">
        <f>SUM(N36:N39)</f>
        <v>0</v>
      </c>
      <c r="O40" s="173"/>
      <c r="P40" s="173"/>
      <c r="Q40" s="173"/>
      <c r="R40" s="151">
        <f>SUM(R36:R39)</f>
        <v>0</v>
      </c>
      <c r="S40" s="21"/>
      <c r="T40" s="151">
        <f>SUM(T36:T39)</f>
        <v>0</v>
      </c>
      <c r="U40" s="21"/>
      <c r="V40" s="310">
        <f>SUM(V36:V39)</f>
        <v>0</v>
      </c>
      <c r="W40" s="21"/>
      <c r="Y40" s="21"/>
    </row>
    <row r="41" spans="1:26" ht="12.75" customHeight="1">
      <c r="C41" s="2"/>
      <c r="D41" s="6"/>
      <c r="E41" s="20"/>
      <c r="F41" s="6"/>
      <c r="G41" s="20"/>
      <c r="H41" s="6"/>
      <c r="I41" s="20"/>
      <c r="J41" s="6"/>
      <c r="K41" s="20"/>
      <c r="L41" s="6"/>
      <c r="M41" s="173"/>
      <c r="N41" s="6"/>
      <c r="O41" s="173"/>
      <c r="P41" s="173"/>
      <c r="Q41" s="173"/>
      <c r="R41" s="21"/>
      <c r="S41" s="21"/>
      <c r="T41" s="21"/>
      <c r="U41" s="21"/>
      <c r="V41" s="6"/>
      <c r="W41" s="21"/>
      <c r="Y41" s="21"/>
    </row>
    <row r="42" spans="1:26">
      <c r="A42" s="19" t="s">
        <v>108</v>
      </c>
      <c r="C42" s="2"/>
      <c r="D42" s="6"/>
      <c r="E42" s="20"/>
      <c r="F42" s="6"/>
      <c r="G42" s="20"/>
      <c r="H42" s="6"/>
      <c r="I42" s="20"/>
      <c r="J42" s="6"/>
      <c r="K42" s="20"/>
      <c r="L42" s="6"/>
      <c r="M42" s="173"/>
      <c r="N42" s="6"/>
      <c r="O42" s="173"/>
      <c r="P42" s="173"/>
      <c r="Q42" s="173"/>
      <c r="R42" s="21"/>
      <c r="S42" s="21"/>
      <c r="T42" s="21"/>
      <c r="U42" s="21"/>
      <c r="V42" s="6"/>
      <c r="W42" s="21"/>
      <c r="Y42" s="21"/>
    </row>
    <row r="43" spans="1:26">
      <c r="A43" s="19"/>
      <c r="B43" s="1" t="s">
        <v>53</v>
      </c>
      <c r="C43" s="2"/>
      <c r="D43" s="6">
        <v>0</v>
      </c>
      <c r="E43" s="20"/>
      <c r="F43" s="6">
        <v>0</v>
      </c>
      <c r="G43" s="20"/>
      <c r="H43" s="20">
        <v>0</v>
      </c>
      <c r="I43" s="20"/>
      <c r="J43" s="20">
        <v>0</v>
      </c>
      <c r="K43" s="20"/>
      <c r="L43" s="173">
        <v>108017.95</v>
      </c>
      <c r="M43" s="173"/>
      <c r="N43" s="173">
        <v>207199.71</v>
      </c>
      <c r="O43" s="173"/>
      <c r="P43" s="173">
        <v>1972617.14</v>
      </c>
      <c r="Q43" s="173"/>
      <c r="R43" s="21">
        <v>2100000</v>
      </c>
      <c r="S43" s="21"/>
      <c r="T43" s="21">
        <v>884000</v>
      </c>
      <c r="U43" s="21"/>
      <c r="V43" s="6">
        <v>900000</v>
      </c>
      <c r="W43" s="21"/>
      <c r="X43" s="21">
        <f t="shared" ref="X43:X44" si="8">+V43-T43</f>
        <v>16000</v>
      </c>
      <c r="Y43" s="11"/>
      <c r="Z43" s="64">
        <f t="shared" ref="Z43:Z44" si="9">+X43/T43</f>
        <v>1.8099547511312219E-2</v>
      </c>
    </row>
    <row r="44" spans="1:26">
      <c r="B44" s="1" t="s">
        <v>52</v>
      </c>
      <c r="C44" s="2"/>
      <c r="D44" s="6">
        <v>0</v>
      </c>
      <c r="E44" s="20"/>
      <c r="F44" s="6">
        <v>177073</v>
      </c>
      <c r="G44" s="20"/>
      <c r="H44" s="53">
        <v>0</v>
      </c>
      <c r="I44" s="20"/>
      <c r="J44" s="53">
        <v>0</v>
      </c>
      <c r="K44" s="20"/>
      <c r="L44" s="53">
        <v>0</v>
      </c>
      <c r="M44" s="173"/>
      <c r="N44" s="53">
        <v>0</v>
      </c>
      <c r="O44" s="173"/>
      <c r="P44" s="173">
        <v>67773.289999999994</v>
      </c>
      <c r="Q44" s="173"/>
      <c r="R44" s="178">
        <v>40000</v>
      </c>
      <c r="S44" s="21"/>
      <c r="T44" s="178">
        <f>44000+69969</f>
        <v>113969</v>
      </c>
      <c r="U44" s="178"/>
      <c r="V44" s="320">
        <f>44000+35000</f>
        <v>79000</v>
      </c>
      <c r="W44" s="21"/>
      <c r="X44" s="21">
        <f t="shared" si="8"/>
        <v>-34969</v>
      </c>
      <c r="Y44" s="11"/>
      <c r="Z44" s="64">
        <f t="shared" si="9"/>
        <v>-0.30682905000482585</v>
      </c>
    </row>
    <row r="45" spans="1:26" ht="15.75" customHeight="1">
      <c r="C45" s="51" t="s">
        <v>11</v>
      </c>
      <c r="D45" s="25">
        <f>SUM(D41:D44)</f>
        <v>0</v>
      </c>
      <c r="E45" s="20"/>
      <c r="F45" s="25">
        <f>SUM(F41:F44)</f>
        <v>177073</v>
      </c>
      <c r="G45" s="20"/>
      <c r="H45" s="25">
        <f>SUM(H41:H44)</f>
        <v>0</v>
      </c>
      <c r="I45" s="20"/>
      <c r="J45" s="25">
        <f>SUM(J41:J44)</f>
        <v>0</v>
      </c>
      <c r="K45" s="20"/>
      <c r="L45" s="25">
        <f>SUM(L41:L44)</f>
        <v>108017.95</v>
      </c>
      <c r="M45" s="173"/>
      <c r="N45" s="25">
        <f>SUM(N41:N44)</f>
        <v>207199.71</v>
      </c>
      <c r="O45" s="173"/>
      <c r="P45" s="151">
        <f>SUM(P41:P44)</f>
        <v>2040390.43</v>
      </c>
      <c r="Q45" s="173"/>
      <c r="R45" s="151">
        <f>SUM(R41:R44)</f>
        <v>2140000</v>
      </c>
      <c r="S45" s="21"/>
      <c r="T45" s="151">
        <f>SUM(T41:T44)</f>
        <v>997969</v>
      </c>
      <c r="U45" s="21"/>
      <c r="V45" s="25">
        <f>SUM(V41:V44)</f>
        <v>979000</v>
      </c>
      <c r="W45" s="21"/>
      <c r="X45" s="151">
        <f>SUM(X41:X44)</f>
        <v>-18969</v>
      </c>
      <c r="Y45" s="21"/>
      <c r="Z45" s="245">
        <f>+X45/T45</f>
        <v>-1.9007604444627037E-2</v>
      </c>
    </row>
    <row r="46" spans="1:26" ht="11.25" customHeight="1">
      <c r="C46" s="51"/>
      <c r="D46" s="20"/>
      <c r="E46" s="20"/>
      <c r="F46" s="20"/>
      <c r="G46" s="20"/>
      <c r="H46" s="20"/>
      <c r="I46" s="20"/>
      <c r="J46" s="20"/>
      <c r="K46" s="20"/>
      <c r="L46" s="173"/>
      <c r="M46" s="173"/>
      <c r="N46" s="173"/>
      <c r="O46" s="173"/>
      <c r="P46" s="173"/>
      <c r="Q46" s="173"/>
      <c r="R46" s="21"/>
      <c r="S46" s="21"/>
      <c r="T46" s="21"/>
      <c r="U46" s="21"/>
      <c r="V46" s="21"/>
      <c r="W46" s="21"/>
      <c r="Y46" s="21"/>
    </row>
    <row r="47" spans="1:26" ht="11.25" customHeight="1">
      <c r="C47" s="2"/>
      <c r="D47" s="20"/>
      <c r="E47" s="20"/>
      <c r="F47" s="20"/>
      <c r="G47" s="20"/>
      <c r="H47" s="20"/>
      <c r="I47" s="20"/>
      <c r="J47" s="20"/>
      <c r="K47" s="20"/>
      <c r="L47" s="173"/>
      <c r="M47" s="173"/>
      <c r="N47" s="173"/>
      <c r="O47" s="173"/>
      <c r="P47" s="173"/>
      <c r="Q47" s="173"/>
      <c r="R47" s="21"/>
      <c r="S47" s="21"/>
      <c r="T47" s="21" t="s">
        <v>85</v>
      </c>
      <c r="U47" s="21"/>
      <c r="V47" s="21"/>
      <c r="W47" s="21"/>
      <c r="X47" s="293"/>
      <c r="Y47" s="21"/>
      <c r="Z47" s="294"/>
    </row>
    <row r="48" spans="1:26">
      <c r="A48" s="19" t="s">
        <v>109</v>
      </c>
      <c r="C48" s="2"/>
      <c r="D48" s="20"/>
      <c r="E48" s="20"/>
      <c r="F48" s="25">
        <v>0</v>
      </c>
      <c r="G48" s="20"/>
      <c r="H48" s="25">
        <v>0</v>
      </c>
      <c r="I48" s="20"/>
      <c r="J48" s="25">
        <v>12824</v>
      </c>
      <c r="K48" s="20"/>
      <c r="L48" s="25">
        <v>23526</v>
      </c>
      <c r="M48" s="173"/>
      <c r="N48" s="25">
        <v>1169</v>
      </c>
      <c r="O48" s="173"/>
      <c r="P48" s="151"/>
      <c r="Q48" s="173"/>
      <c r="R48" s="151">
        <v>0</v>
      </c>
      <c r="S48" s="21"/>
      <c r="T48" s="151">
        <v>0</v>
      </c>
      <c r="U48" s="21"/>
      <c r="V48" s="151">
        <v>0</v>
      </c>
      <c r="W48" s="21"/>
      <c r="X48" s="151">
        <f>-T48+V48</f>
        <v>0</v>
      </c>
      <c r="Y48" s="21"/>
      <c r="Z48" s="245" t="e">
        <f t="shared" ref="Z48" si="10">+X48/T48</f>
        <v>#DIV/0!</v>
      </c>
    </row>
    <row r="49" spans="3:26">
      <c r="C49" s="2"/>
      <c r="D49" s="20"/>
      <c r="E49" s="20"/>
      <c r="F49" s="20"/>
      <c r="G49" s="20"/>
      <c r="H49" s="20"/>
      <c r="I49" s="20"/>
      <c r="J49" s="20"/>
      <c r="K49" s="20"/>
      <c r="L49" s="173"/>
      <c r="M49" s="173"/>
      <c r="N49" s="173"/>
      <c r="O49" s="173"/>
      <c r="P49" s="173"/>
      <c r="Q49" s="173"/>
      <c r="R49" s="21"/>
      <c r="S49" s="21"/>
      <c r="T49" s="21"/>
      <c r="U49" s="21"/>
      <c r="V49" s="21"/>
      <c r="W49" s="21"/>
      <c r="Y49" s="21"/>
    </row>
    <row r="50" spans="3:26" s="19" customFormat="1" ht="13.5" thickBot="1">
      <c r="C50" s="51" t="s">
        <v>59</v>
      </c>
      <c r="D50" s="162">
        <f>D40+D33+D27</f>
        <v>57325793.460000001</v>
      </c>
      <c r="E50" s="54"/>
      <c r="F50" s="30">
        <f>F40+F33+F27+F45+F48</f>
        <v>59158785.140000001</v>
      </c>
      <c r="G50" s="54"/>
      <c r="H50" s="162">
        <f>H40+H33+H27+H45+H48</f>
        <v>59182363.689999998</v>
      </c>
      <c r="I50" s="54"/>
      <c r="J50" s="30">
        <f>J40+J33+J27+J45+J48</f>
        <v>56602631.490000002</v>
      </c>
      <c r="K50" s="54"/>
      <c r="L50" s="30">
        <f>L40+L33+L27+L45+L48</f>
        <v>57920832.600000001</v>
      </c>
      <c r="M50" s="54"/>
      <c r="N50" s="30">
        <f>N40+N33+N27+N45+N48</f>
        <v>60754939.809999995</v>
      </c>
      <c r="O50" s="54"/>
      <c r="P50" s="162">
        <f>P40+P33+P27+P45+P48</f>
        <v>118373982.80000003</v>
      </c>
      <c r="Q50" s="54"/>
      <c r="R50" s="162">
        <f>+R33+R27+R45+R48</f>
        <v>127014606</v>
      </c>
      <c r="S50" s="31"/>
      <c r="T50" s="162">
        <f>T40+T33+T27+T45+T48</f>
        <v>122418834.22</v>
      </c>
      <c r="U50" s="31"/>
      <c r="V50" s="162">
        <f>+V33+V27+V45+V48</f>
        <v>123028102</v>
      </c>
      <c r="W50" s="31"/>
      <c r="X50" s="162">
        <f>X40+X33+X27+X45+X48</f>
        <v>609267.78000000026</v>
      </c>
      <c r="Y50" s="31"/>
      <c r="Z50" s="295">
        <f>+X50/T50</f>
        <v>4.9769121220765719E-3</v>
      </c>
    </row>
    <row r="51" spans="3:26" s="19" customFormat="1" ht="13.5" thickTop="1">
      <c r="C51" s="5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31"/>
      <c r="S51" s="31"/>
      <c r="T51" s="31"/>
      <c r="U51" s="31"/>
      <c r="V51" s="31"/>
      <c r="W51" s="31"/>
      <c r="Y51" s="31"/>
      <c r="Z51" s="55"/>
    </row>
    <row r="52" spans="3:26" s="19" customFormat="1" ht="13.5" customHeight="1">
      <c r="C52" s="19" t="s">
        <v>55</v>
      </c>
      <c r="D52" s="152">
        <f>+'[2]General Fund Expenditures'!D165</f>
        <v>55221106.460000001</v>
      </c>
      <c r="E52" s="56"/>
      <c r="F52" s="152">
        <f>+'[2]General Fund Expenditures'!F165</f>
        <v>57706498.169999994</v>
      </c>
      <c r="G52" s="55"/>
      <c r="H52" s="163">
        <f>56500548+31308+3002487-1</f>
        <v>59534342</v>
      </c>
      <c r="I52" s="55" t="e">
        <f>+'[1]08-09 GF Summary +100 stud'!K43-'[1]08-09 GF Summary +100 stud'!K48-'[1]08-09 GF Summary +100 stud'!K50</f>
        <v>#REF!</v>
      </c>
      <c r="J52" s="152">
        <f>+'[2]General Fund Expenditures'!J165</f>
        <v>54729974.250000015</v>
      </c>
      <c r="K52" s="55"/>
      <c r="L52" s="55">
        <f>'General Fund Expenditures'!L157</f>
        <v>56306439.109999999</v>
      </c>
      <c r="M52" s="55"/>
      <c r="N52" s="55">
        <f>'General Fund Expenditures'!N157</f>
        <v>59216543.940000013</v>
      </c>
      <c r="O52" s="55"/>
      <c r="P52" s="63">
        <f>'General Fund Expenditures'!P157</f>
        <v>118204060.92000002</v>
      </c>
      <c r="Q52" s="55"/>
      <c r="R52" s="63">
        <f>'General Fund Expenditures'!R157</f>
        <v>127014606</v>
      </c>
      <c r="S52" s="63"/>
      <c r="T52" s="63">
        <f>'General Fund Expenditures'!T157</f>
        <v>126741162.22</v>
      </c>
      <c r="U52" s="63"/>
      <c r="V52" s="63">
        <f>'General Fund Expenditures'!V157</f>
        <v>129368604</v>
      </c>
      <c r="W52" s="63" t="e">
        <f>+'[1]08-09 GF Summary +100 stud'!Q43-'[1]08-09 GF Summary +100 stud'!Q48-'[1]08-09 GF Summary +100 stud'!Q50</f>
        <v>#REF!</v>
      </c>
      <c r="X52" s="302">
        <f>+'General Fund Expenditures'!X169</f>
        <v>2627441.7800000003</v>
      </c>
      <c r="Y52" s="63" t="e">
        <f>+'[1]08-09 GF Summary +100 stud'!S43-'[1]08-09 GF Summary +100 stud'!S48-'[1]08-09 GF Summary +100 stud'!S50</f>
        <v>#REF!</v>
      </c>
      <c r="Z52" s="290">
        <f>+X52/T52</f>
        <v>2.0730769183252645E-2</v>
      </c>
    </row>
    <row r="53" spans="3:26" s="19" customFormat="1" ht="13.5" customHeight="1">
      <c r="E53" s="56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63"/>
      <c r="Q53" s="55"/>
      <c r="R53" s="63"/>
      <c r="S53" s="63"/>
      <c r="T53" s="63"/>
      <c r="U53" s="63"/>
      <c r="V53" s="63"/>
      <c r="W53" s="63"/>
      <c r="Y53" s="63"/>
    </row>
    <row r="54" spans="3:26" s="19" customFormat="1">
      <c r="C54" s="19" t="s">
        <v>56</v>
      </c>
      <c r="E54" s="56"/>
      <c r="G54" s="56"/>
      <c r="I54" s="56"/>
      <c r="K54" s="56"/>
      <c r="M54" s="56"/>
      <c r="O54" s="56"/>
      <c r="P54" s="188"/>
      <c r="Q54" s="56"/>
      <c r="R54" s="62"/>
      <c r="S54" s="188"/>
      <c r="T54" s="188"/>
      <c r="U54" s="188"/>
      <c r="V54" s="188"/>
      <c r="W54" s="188"/>
      <c r="Y54" s="188"/>
      <c r="Z54" s="56"/>
    </row>
    <row r="55" spans="3:26" s="19" customFormat="1">
      <c r="C55" s="19" t="s">
        <v>57</v>
      </c>
      <c r="D55" s="58">
        <f t="shared" ref="D55:Y55" si="11">+D50-D52</f>
        <v>2104687</v>
      </c>
      <c r="E55" s="56"/>
      <c r="F55" s="58">
        <f t="shared" si="11"/>
        <v>1452286.9700000063</v>
      </c>
      <c r="G55" s="42">
        <f t="shared" si="11"/>
        <v>0</v>
      </c>
      <c r="H55" s="58">
        <f t="shared" si="11"/>
        <v>-351978.31000000238</v>
      </c>
      <c r="I55" s="42" t="e">
        <f t="shared" si="11"/>
        <v>#REF!</v>
      </c>
      <c r="J55" s="58">
        <f t="shared" si="11"/>
        <v>1872657.2399999872</v>
      </c>
      <c r="K55" s="58">
        <f t="shared" si="11"/>
        <v>0</v>
      </c>
      <c r="L55" s="58">
        <f t="shared" ref="L55:N55" si="12">+L50-L52</f>
        <v>1614393.4900000021</v>
      </c>
      <c r="M55" s="58"/>
      <c r="N55" s="58">
        <f t="shared" si="12"/>
        <v>1538395.8699999824</v>
      </c>
      <c r="O55" s="58"/>
      <c r="P55" s="179">
        <f>+P50-P52</f>
        <v>169921.88000001013</v>
      </c>
      <c r="Q55" s="58"/>
      <c r="R55" s="179">
        <f t="shared" si="11"/>
        <v>0</v>
      </c>
      <c r="S55" s="179"/>
      <c r="T55" s="179">
        <f t="shared" si="11"/>
        <v>-4322328</v>
      </c>
      <c r="U55" s="180"/>
      <c r="V55" s="179">
        <f>+V50-V52</f>
        <v>-6340502</v>
      </c>
      <c r="W55" s="180" t="e">
        <f t="shared" si="11"/>
        <v>#REF!</v>
      </c>
      <c r="X55" s="179">
        <f>+X50-X52</f>
        <v>-2018174</v>
      </c>
      <c r="Y55" s="180" t="e">
        <f t="shared" si="11"/>
        <v>#REF!</v>
      </c>
      <c r="Z55" s="290">
        <f>+X55/T55</f>
        <v>0.46691829032873028</v>
      </c>
    </row>
    <row r="56" spans="3:26" s="19" customFormat="1">
      <c r="E56" s="56"/>
      <c r="G56" s="56"/>
      <c r="I56" s="56"/>
      <c r="K56" s="56"/>
      <c r="M56" s="56"/>
      <c r="O56" s="56"/>
      <c r="P56" s="188"/>
      <c r="Q56" s="56"/>
      <c r="R56" s="62"/>
      <c r="S56" s="188"/>
      <c r="T56" s="188"/>
      <c r="U56" s="188"/>
      <c r="V56" s="188"/>
      <c r="W56" s="188"/>
      <c r="X56" s="188"/>
      <c r="Y56" s="188"/>
    </row>
    <row r="57" spans="3:26" s="19" customFormat="1">
      <c r="C57" s="19" t="s">
        <v>110</v>
      </c>
      <c r="D57" s="58">
        <v>15702987</v>
      </c>
      <c r="E57" s="56"/>
      <c r="F57" s="58">
        <v>17807673</v>
      </c>
      <c r="G57" s="56"/>
      <c r="H57" s="58">
        <f>+F61</f>
        <v>19259959.970000006</v>
      </c>
      <c r="I57" s="56"/>
      <c r="J57" s="58">
        <f>+H61</f>
        <v>18907981.660000004</v>
      </c>
      <c r="K57" s="56"/>
      <c r="L57" s="58">
        <f>+J61</f>
        <v>20780638.899999991</v>
      </c>
      <c r="M57" s="56"/>
      <c r="N57" s="58">
        <f>+L61</f>
        <v>22718737.389999993</v>
      </c>
      <c r="O57" s="56"/>
      <c r="P57" s="179">
        <v>33443069</v>
      </c>
      <c r="Q57" s="56"/>
      <c r="R57" s="179">
        <f>P61</f>
        <v>33612990.88000001</v>
      </c>
      <c r="S57" s="188"/>
      <c r="T57" s="179">
        <f>P61</f>
        <v>33612990.88000001</v>
      </c>
      <c r="U57" s="180"/>
      <c r="V57" s="179">
        <f>+T61</f>
        <v>29290662.88000001</v>
      </c>
      <c r="W57" s="180"/>
      <c r="X57" s="180" t="s">
        <v>85</v>
      </c>
      <c r="Y57" s="180"/>
      <c r="Z57" s="290" t="s">
        <v>85</v>
      </c>
    </row>
    <row r="58" spans="3:26" s="19" customFormat="1">
      <c r="D58" s="42"/>
      <c r="E58" s="56"/>
      <c r="F58" s="42"/>
      <c r="G58" s="56"/>
      <c r="H58" s="42"/>
      <c r="I58" s="56"/>
      <c r="J58" s="42"/>
      <c r="K58" s="56"/>
      <c r="L58" s="42"/>
      <c r="M58" s="56"/>
      <c r="N58" s="42"/>
      <c r="O58" s="56"/>
      <c r="P58" s="188"/>
      <c r="Q58" s="56"/>
      <c r="R58" s="180"/>
      <c r="S58" s="188"/>
      <c r="T58" s="180"/>
      <c r="U58" s="180"/>
      <c r="V58" s="180"/>
      <c r="W58" s="180"/>
      <c r="Y58" s="180"/>
    </row>
    <row r="59" spans="3:26" ht="45.75" customHeight="1">
      <c r="C59" s="1" t="s">
        <v>130</v>
      </c>
      <c r="L59" s="42">
        <v>323705</v>
      </c>
      <c r="N59" s="42">
        <v>0</v>
      </c>
      <c r="P59" s="32"/>
      <c r="T59" s="180">
        <v>0</v>
      </c>
      <c r="U59" s="278" t="s">
        <v>85</v>
      </c>
    </row>
    <row r="60" spans="3:26">
      <c r="C60" s="1" t="s">
        <v>197</v>
      </c>
      <c r="L60" s="1"/>
      <c r="N60" s="1"/>
      <c r="P60" s="32"/>
    </row>
    <row r="61" spans="3:26" ht="13.5" thickBot="1">
      <c r="C61" s="19" t="s">
        <v>111</v>
      </c>
      <c r="D61" s="59">
        <f>+D55+D57</f>
        <v>17807674</v>
      </c>
      <c r="F61" s="59">
        <f>+F55+F57</f>
        <v>19259959.970000006</v>
      </c>
      <c r="H61" s="59">
        <f>+H55+H57</f>
        <v>18907981.660000004</v>
      </c>
      <c r="I61" s="60"/>
      <c r="J61" s="59">
        <f>+J55+J57</f>
        <v>20780638.899999991</v>
      </c>
      <c r="K61" s="60"/>
      <c r="L61" s="59">
        <f>+L55+L57+L59</f>
        <v>22718737.389999993</v>
      </c>
      <c r="M61" s="60"/>
      <c r="N61" s="59">
        <f>+N55+N57+N59</f>
        <v>24257133.259999976</v>
      </c>
      <c r="O61" s="60"/>
      <c r="P61" s="181">
        <f>+P55+P57+P59</f>
        <v>33612990.88000001</v>
      </c>
      <c r="Q61" s="60"/>
      <c r="R61" s="181">
        <f>+R55+R57</f>
        <v>33612990.88000001</v>
      </c>
      <c r="S61" s="189"/>
      <c r="T61" s="181">
        <f>+T55+T57-T59</f>
        <v>29290662.88000001</v>
      </c>
      <c r="U61" s="67"/>
      <c r="V61" s="181">
        <f>+V55+V57</f>
        <v>22950160.88000001</v>
      </c>
      <c r="W61" s="189"/>
      <c r="X61" s="67" t="s">
        <v>85</v>
      </c>
      <c r="Y61" s="189"/>
      <c r="Z61" s="290" t="s">
        <v>85</v>
      </c>
    </row>
    <row r="62" spans="3:26" ht="13.5" thickTop="1">
      <c r="L62" s="1"/>
      <c r="N62" s="1"/>
      <c r="P62" s="32"/>
      <c r="X62" s="32"/>
      <c r="Z62" s="29"/>
    </row>
    <row r="63" spans="3:26">
      <c r="C63" s="19" t="s">
        <v>58</v>
      </c>
      <c r="D63" s="61">
        <f>+D61/D52</f>
        <v>0.32247948550069672</v>
      </c>
      <c r="F63" s="61">
        <f>+F61/F52</f>
        <v>0.33375721245918061</v>
      </c>
      <c r="H63" s="61">
        <f>+H61/H52</f>
        <v>0.31759789433802771</v>
      </c>
      <c r="I63" s="56"/>
      <c r="J63" s="61">
        <f>+J61/J52</f>
        <v>0.37969392795758505</v>
      </c>
      <c r="L63" s="61">
        <f>+L61/L52</f>
        <v>0.40348382439203395</v>
      </c>
      <c r="N63" s="61">
        <f>+N61/N52</f>
        <v>0.40963439684318681</v>
      </c>
      <c r="P63" s="182">
        <f>+P61/P52</f>
        <v>0.28436409560200415</v>
      </c>
      <c r="R63" s="182">
        <f>+R61/R52</f>
        <v>0.26463878398363105</v>
      </c>
      <c r="S63" s="188"/>
      <c r="T63" s="182">
        <f>+T61/T52</f>
        <v>0.2311061565709541</v>
      </c>
      <c r="U63" s="182"/>
      <c r="V63" s="182">
        <f>+V61/V52</f>
        <v>0.17740131817453955</v>
      </c>
      <c r="W63" s="188"/>
      <c r="X63" s="182" t="s">
        <v>85</v>
      </c>
      <c r="Y63" s="188"/>
      <c r="Z63" s="182" t="s">
        <v>85</v>
      </c>
    </row>
    <row r="64" spans="3:26">
      <c r="L64" s="1"/>
    </row>
    <row r="65" spans="1:25">
      <c r="L65" s="1"/>
    </row>
    <row r="66" spans="1:25" ht="12" customHeight="1">
      <c r="L66" s="266" t="s">
        <v>137</v>
      </c>
      <c r="M66" s="267"/>
      <c r="N66" s="267"/>
      <c r="O66" s="267"/>
      <c r="P66" s="275"/>
      <c r="Q66" s="275"/>
      <c r="R66" s="276"/>
      <c r="S66" s="275"/>
      <c r="T66" s="275"/>
    </row>
    <row r="67" spans="1:25" ht="30.75" customHeight="1">
      <c r="L67" s="269" t="s">
        <v>140</v>
      </c>
      <c r="M67" s="267"/>
      <c r="N67" s="267"/>
      <c r="O67" s="267"/>
      <c r="P67" s="275"/>
      <c r="Q67" s="32"/>
      <c r="U67" s="278"/>
    </row>
    <row r="68" spans="1:25" ht="36.75" customHeight="1">
      <c r="L68" s="268" t="s">
        <v>138</v>
      </c>
      <c r="M68" s="267"/>
      <c r="N68" s="267"/>
      <c r="O68" s="267"/>
      <c r="P68" s="32"/>
      <c r="Q68" s="32"/>
      <c r="U68" s="278"/>
      <c r="V68" s="4"/>
    </row>
    <row r="69" spans="1:25">
      <c r="L69" s="268" t="s">
        <v>139</v>
      </c>
      <c r="M69" s="267"/>
      <c r="N69" s="267"/>
      <c r="O69" s="267"/>
      <c r="P69" s="32"/>
      <c r="Q69" s="32"/>
      <c r="V69" s="21"/>
    </row>
    <row r="70" spans="1:25" s="19" customFormat="1" ht="13.5" customHeight="1">
      <c r="A70" s="1"/>
      <c r="E70" s="56"/>
      <c r="F70" s="55"/>
      <c r="G70" s="55"/>
      <c r="H70" s="55"/>
      <c r="I70" s="55"/>
      <c r="J70" s="55"/>
      <c r="K70" s="55"/>
      <c r="L70" s="268" t="s">
        <v>141</v>
      </c>
      <c r="M70" s="270"/>
      <c r="N70" s="270"/>
      <c r="O70" s="270"/>
      <c r="P70" s="63"/>
      <c r="Q70" s="63"/>
      <c r="R70" s="63"/>
      <c r="S70" s="63"/>
      <c r="T70" s="63"/>
      <c r="U70" s="63"/>
      <c r="V70" s="21"/>
      <c r="W70" s="63"/>
      <c r="Y70" s="63"/>
    </row>
    <row r="71" spans="1:25" s="19" customFormat="1" ht="13.5" customHeight="1">
      <c r="A71" s="1"/>
      <c r="E71" s="56"/>
      <c r="F71" s="55"/>
      <c r="G71" s="55"/>
      <c r="H71" s="55"/>
      <c r="I71" s="55"/>
      <c r="J71" s="55"/>
      <c r="K71" s="55"/>
      <c r="L71" s="268" t="s">
        <v>142</v>
      </c>
      <c r="M71" s="270"/>
      <c r="N71" s="270"/>
      <c r="O71" s="270"/>
      <c r="P71" s="63"/>
      <c r="Q71" s="63"/>
      <c r="R71" s="63"/>
      <c r="S71" s="63"/>
      <c r="T71" s="63"/>
      <c r="U71" s="63"/>
      <c r="V71" s="21"/>
      <c r="W71" s="63"/>
      <c r="Y71" s="63"/>
    </row>
    <row r="72" spans="1:25">
      <c r="L72" s="268" t="s">
        <v>143</v>
      </c>
      <c r="M72" s="267"/>
      <c r="N72" s="267"/>
      <c r="O72" s="267"/>
      <c r="P72" s="32"/>
      <c r="Q72" s="32"/>
      <c r="V72" s="21"/>
      <c r="Y72" s="63"/>
    </row>
    <row r="73" spans="1:25">
      <c r="L73" s="268" t="s">
        <v>144</v>
      </c>
      <c r="M73" s="267"/>
      <c r="N73" s="267"/>
      <c r="O73" s="267"/>
      <c r="P73" s="32"/>
      <c r="Q73" s="32"/>
      <c r="V73" s="21"/>
      <c r="Y73" s="63"/>
    </row>
    <row r="74" spans="1:25">
      <c r="L74" s="268" t="s">
        <v>145</v>
      </c>
      <c r="M74" s="267"/>
      <c r="N74" s="267"/>
      <c r="O74" s="267"/>
      <c r="P74" s="32"/>
      <c r="Q74" s="32"/>
      <c r="V74" s="21"/>
      <c r="Y74" s="63"/>
    </row>
    <row r="75" spans="1:25">
      <c r="L75" s="268" t="s">
        <v>146</v>
      </c>
      <c r="M75" s="267"/>
      <c r="N75" s="267"/>
      <c r="O75" s="267"/>
      <c r="P75" s="32"/>
      <c r="Q75" s="32"/>
      <c r="V75" s="21"/>
      <c r="Y75" s="63"/>
    </row>
    <row r="76" spans="1:25">
      <c r="L76" s="268" t="s">
        <v>147</v>
      </c>
      <c r="M76" s="267"/>
      <c r="N76" s="267"/>
      <c r="O76" s="267"/>
      <c r="P76" s="32"/>
      <c r="Q76" s="32"/>
      <c r="V76" s="21"/>
      <c r="Y76" s="63"/>
    </row>
    <row r="77" spans="1:25">
      <c r="L77" s="268" t="s">
        <v>148</v>
      </c>
      <c r="M77" s="267"/>
      <c r="N77" s="267"/>
      <c r="O77" s="267"/>
      <c r="P77" s="32"/>
      <c r="Q77" s="32"/>
      <c r="V77" s="21"/>
      <c r="Y77" s="63"/>
    </row>
    <row r="78" spans="1:25">
      <c r="L78" s="268" t="s">
        <v>149</v>
      </c>
      <c r="M78" s="267"/>
      <c r="N78" s="267"/>
      <c r="O78" s="267"/>
      <c r="P78" s="32"/>
      <c r="Q78" s="32"/>
      <c r="V78" s="21"/>
    </row>
    <row r="79" spans="1:25">
      <c r="L79" s="268" t="s">
        <v>132</v>
      </c>
      <c r="M79" s="267"/>
      <c r="N79" s="267"/>
      <c r="O79" s="267"/>
      <c r="P79" s="32"/>
      <c r="Q79" s="32"/>
      <c r="V79" s="21"/>
    </row>
    <row r="80" spans="1:25">
      <c r="L80" s="268" t="s">
        <v>133</v>
      </c>
      <c r="M80" s="267"/>
      <c r="N80" s="267"/>
      <c r="O80" s="267"/>
      <c r="P80" s="32"/>
      <c r="Q80" s="32"/>
      <c r="V80" s="21"/>
    </row>
    <row r="81" spans="3:25">
      <c r="L81" s="268" t="s">
        <v>134</v>
      </c>
      <c r="M81" s="267"/>
      <c r="N81" s="267"/>
      <c r="O81" s="267"/>
      <c r="P81" s="32"/>
      <c r="Q81" s="32"/>
      <c r="V81" s="21"/>
    </row>
    <row r="82" spans="3:25">
      <c r="C82" s="19"/>
      <c r="H82" s="61"/>
      <c r="I82" s="56"/>
      <c r="J82" s="61"/>
      <c r="L82" s="268" t="s">
        <v>150</v>
      </c>
      <c r="M82" s="267"/>
      <c r="N82" s="267"/>
      <c r="O82" s="267"/>
      <c r="P82" s="32"/>
      <c r="Q82" s="32"/>
      <c r="R82" s="182"/>
      <c r="S82" s="188"/>
      <c r="T82" s="182"/>
      <c r="U82" s="182"/>
      <c r="V82" s="21"/>
      <c r="W82" s="188"/>
      <c r="Y82" s="188"/>
    </row>
    <row r="83" spans="3:25" ht="11.25" customHeight="1">
      <c r="C83" s="19"/>
      <c r="H83" s="61"/>
      <c r="I83" s="56"/>
      <c r="J83" s="61"/>
      <c r="L83" s="272" t="s">
        <v>135</v>
      </c>
      <c r="M83" s="267"/>
      <c r="N83" s="267"/>
      <c r="O83" s="267"/>
      <c r="P83" s="32"/>
      <c r="Q83" s="32"/>
      <c r="R83" s="182"/>
      <c r="S83" s="188"/>
      <c r="T83" s="182"/>
      <c r="U83" s="182"/>
      <c r="V83" s="21"/>
      <c r="W83" s="188"/>
      <c r="Y83" s="188"/>
    </row>
    <row r="84" spans="3:25" ht="12" customHeight="1">
      <c r="C84" s="19"/>
      <c r="H84" s="61"/>
      <c r="I84" s="56"/>
      <c r="J84" s="61"/>
      <c r="L84" s="272" t="s">
        <v>151</v>
      </c>
      <c r="M84" s="267"/>
      <c r="N84" s="267"/>
      <c r="O84" s="267"/>
      <c r="P84" s="32"/>
      <c r="Q84" s="32"/>
      <c r="R84" s="182"/>
      <c r="S84" s="188"/>
      <c r="T84" s="182"/>
      <c r="U84" s="182"/>
      <c r="V84" s="21"/>
      <c r="W84" s="188"/>
      <c r="Y84" s="188"/>
    </row>
    <row r="85" spans="3:25" ht="12" customHeight="1">
      <c r="C85" s="19"/>
      <c r="H85" s="61"/>
      <c r="I85" s="56"/>
      <c r="J85" s="61"/>
      <c r="L85" s="272" t="s">
        <v>136</v>
      </c>
      <c r="M85" s="267"/>
      <c r="N85" s="267"/>
      <c r="O85" s="267"/>
      <c r="P85" s="32"/>
      <c r="Q85" s="32"/>
      <c r="R85" s="182"/>
      <c r="S85" s="188"/>
      <c r="T85" s="182"/>
      <c r="U85" s="182"/>
      <c r="V85" s="21"/>
      <c r="W85" s="188"/>
      <c r="Y85" s="188"/>
    </row>
    <row r="86" spans="3:25" ht="12" customHeight="1">
      <c r="C86" s="19"/>
      <c r="H86" s="61"/>
      <c r="I86" s="56"/>
      <c r="J86" s="61"/>
      <c r="L86" s="272" t="s">
        <v>152</v>
      </c>
      <c r="M86" s="267"/>
      <c r="N86" s="267"/>
      <c r="O86" s="267"/>
      <c r="P86" s="32"/>
      <c r="Q86" s="32"/>
      <c r="R86" s="182"/>
      <c r="S86" s="188"/>
      <c r="T86" s="182"/>
      <c r="U86" s="182"/>
      <c r="V86" s="21"/>
      <c r="W86" s="188"/>
      <c r="Y86" s="188"/>
    </row>
    <row r="87" spans="3:25" ht="12" customHeight="1">
      <c r="C87" s="19"/>
      <c r="H87" s="61"/>
      <c r="I87" s="56"/>
      <c r="J87" s="61"/>
      <c r="L87" s="272" t="s">
        <v>183</v>
      </c>
      <c r="M87" s="267"/>
      <c r="N87" s="267"/>
      <c r="O87" s="267"/>
      <c r="P87" s="32"/>
      <c r="Q87" s="32"/>
      <c r="R87" s="182"/>
      <c r="S87" s="188"/>
      <c r="T87" s="182"/>
      <c r="U87" s="182"/>
      <c r="V87" s="21"/>
      <c r="W87" s="188"/>
      <c r="Y87" s="188"/>
    </row>
    <row r="88" spans="3:25" ht="12" customHeight="1">
      <c r="C88" s="19"/>
      <c r="H88" s="61"/>
      <c r="I88" s="56"/>
      <c r="J88" s="61"/>
      <c r="L88" s="272" t="s">
        <v>184</v>
      </c>
      <c r="M88" s="267"/>
      <c r="N88" s="267"/>
      <c r="O88" s="267"/>
      <c r="P88" s="32"/>
      <c r="Q88" s="32"/>
      <c r="R88" s="182"/>
      <c r="S88" s="188"/>
      <c r="T88" s="182"/>
      <c r="U88" s="182"/>
      <c r="V88" s="21"/>
      <c r="W88" s="188"/>
      <c r="Y88" s="188"/>
    </row>
    <row r="89" spans="3:25" ht="12" customHeight="1">
      <c r="C89" s="19"/>
      <c r="H89" s="61"/>
      <c r="I89" s="56"/>
      <c r="J89" s="61"/>
      <c r="L89" s="272" t="s">
        <v>153</v>
      </c>
      <c r="M89" s="267"/>
      <c r="N89" s="267"/>
      <c r="O89" s="267"/>
      <c r="P89" s="32"/>
      <c r="Q89" s="32"/>
      <c r="R89" s="182"/>
      <c r="S89" s="188"/>
      <c r="T89" s="182"/>
      <c r="U89" s="182"/>
      <c r="V89" s="21"/>
      <c r="W89" s="188"/>
      <c r="Y89" s="188"/>
    </row>
    <row r="90" spans="3:25" ht="12" customHeight="1">
      <c r="C90" s="19"/>
      <c r="H90" s="61"/>
      <c r="I90" s="56"/>
      <c r="J90" s="61"/>
      <c r="L90" s="272" t="s">
        <v>185</v>
      </c>
      <c r="M90" s="267"/>
      <c r="N90" s="267"/>
      <c r="O90" s="267"/>
      <c r="P90" s="32"/>
      <c r="Q90" s="32"/>
      <c r="R90" s="182"/>
      <c r="S90" s="188"/>
      <c r="T90" s="182"/>
      <c r="U90" s="182"/>
      <c r="V90" s="21"/>
      <c r="W90" s="188"/>
      <c r="Y90" s="188"/>
    </row>
    <row r="91" spans="3:25" ht="12" customHeight="1">
      <c r="C91" s="19"/>
      <c r="H91" s="61"/>
      <c r="I91" s="56"/>
      <c r="J91" s="61"/>
      <c r="L91" s="272" t="s">
        <v>154</v>
      </c>
      <c r="M91" s="267"/>
      <c r="N91" s="267"/>
      <c r="O91" s="267"/>
      <c r="P91" s="32"/>
      <c r="Q91" s="32"/>
      <c r="R91" s="182"/>
      <c r="S91" s="188"/>
      <c r="T91" s="182"/>
      <c r="U91" s="182"/>
      <c r="V91" s="21"/>
      <c r="W91" s="188"/>
      <c r="Y91" s="188"/>
    </row>
    <row r="92" spans="3:25" ht="12" customHeight="1">
      <c r="C92" s="19"/>
      <c r="H92" s="61"/>
      <c r="I92" s="56"/>
      <c r="J92" s="61"/>
      <c r="L92" s="272" t="s">
        <v>187</v>
      </c>
      <c r="M92" s="267"/>
      <c r="N92" s="267"/>
      <c r="O92" s="267"/>
      <c r="P92" s="32"/>
      <c r="Q92" s="32"/>
      <c r="R92" s="182"/>
      <c r="S92" s="188"/>
      <c r="T92" s="182"/>
      <c r="U92" s="182"/>
      <c r="V92" s="21"/>
      <c r="W92" s="188"/>
      <c r="Y92" s="188"/>
    </row>
    <row r="93" spans="3:25" ht="12" customHeight="1">
      <c r="C93" s="19"/>
      <c r="H93" s="61"/>
      <c r="I93" s="56"/>
      <c r="J93" s="61"/>
      <c r="L93" s="272" t="s">
        <v>188</v>
      </c>
      <c r="M93" s="267"/>
      <c r="N93" s="267"/>
      <c r="O93" s="267"/>
      <c r="P93" s="32"/>
      <c r="Q93" s="32"/>
      <c r="R93" s="182"/>
      <c r="S93" s="188"/>
      <c r="T93" s="182"/>
      <c r="U93" s="182"/>
      <c r="V93" s="21"/>
      <c r="W93" s="188"/>
      <c r="Y93" s="188"/>
    </row>
    <row r="94" spans="3:25" ht="12" customHeight="1">
      <c r="C94" s="19"/>
      <c r="H94" s="61"/>
      <c r="I94" s="56"/>
      <c r="J94" s="61"/>
      <c r="L94" s="272" t="s">
        <v>189</v>
      </c>
      <c r="M94" s="267"/>
      <c r="N94" s="267"/>
      <c r="O94" s="267"/>
      <c r="P94" s="32"/>
      <c r="Q94" s="32"/>
      <c r="R94" s="182"/>
      <c r="S94" s="188"/>
      <c r="T94" s="182"/>
      <c r="U94" s="182"/>
      <c r="V94" s="21"/>
      <c r="W94" s="188"/>
      <c r="Y94" s="188"/>
    </row>
    <row r="95" spans="3:25" ht="12" customHeight="1">
      <c r="C95" s="19"/>
      <c r="H95" s="61"/>
      <c r="I95" s="56"/>
      <c r="J95" s="61"/>
      <c r="L95" s="272" t="s">
        <v>155</v>
      </c>
      <c r="M95" s="267"/>
      <c r="N95" s="267"/>
      <c r="O95" s="267"/>
      <c r="P95" s="32"/>
      <c r="Q95" s="32"/>
      <c r="R95" s="182"/>
      <c r="S95" s="188"/>
      <c r="T95" s="182"/>
      <c r="U95" s="182"/>
      <c r="V95" s="21"/>
      <c r="W95" s="188"/>
      <c r="Y95" s="188"/>
    </row>
    <row r="96" spans="3:25" ht="12" customHeight="1">
      <c r="C96" s="19"/>
      <c r="H96" s="61"/>
      <c r="I96" s="56"/>
      <c r="J96" s="61"/>
      <c r="L96" s="272" t="s">
        <v>156</v>
      </c>
      <c r="M96" s="267"/>
      <c r="N96" s="267"/>
      <c r="O96" s="267"/>
      <c r="P96" s="32"/>
      <c r="Q96" s="32"/>
      <c r="R96" s="182"/>
      <c r="S96" s="188"/>
      <c r="T96" s="182"/>
      <c r="U96" s="182"/>
      <c r="V96" s="21"/>
      <c r="W96" s="188"/>
      <c r="Y96" s="188"/>
    </row>
    <row r="97" spans="3:25" ht="12" customHeight="1">
      <c r="C97" s="19"/>
      <c r="H97" s="61"/>
      <c r="I97" s="56"/>
      <c r="J97" s="61"/>
      <c r="L97" s="272" t="s">
        <v>157</v>
      </c>
      <c r="M97" s="267"/>
      <c r="N97" s="267"/>
      <c r="O97" s="267"/>
      <c r="P97" s="32"/>
      <c r="Q97" s="32"/>
      <c r="R97" s="182"/>
      <c r="S97" s="188"/>
      <c r="T97" s="182"/>
      <c r="U97" s="182"/>
      <c r="V97" s="21"/>
      <c r="W97" s="188"/>
      <c r="Y97" s="188"/>
    </row>
    <row r="98" spans="3:25" ht="12" customHeight="1">
      <c r="C98" s="19"/>
      <c r="H98" s="61"/>
      <c r="I98" s="56"/>
      <c r="J98" s="61"/>
      <c r="L98" s="272" t="s">
        <v>158</v>
      </c>
      <c r="M98" s="267"/>
      <c r="N98" s="267"/>
      <c r="O98" s="267"/>
      <c r="P98" s="32"/>
      <c r="Q98" s="32"/>
      <c r="R98" s="182"/>
      <c r="S98" s="188"/>
      <c r="T98" s="182"/>
      <c r="U98" s="182"/>
      <c r="V98" s="21"/>
      <c r="W98" s="188"/>
      <c r="Y98" s="188"/>
    </row>
    <row r="99" spans="3:25" ht="12" customHeight="1">
      <c r="C99" s="19"/>
      <c r="H99" s="61"/>
      <c r="I99" s="56"/>
      <c r="J99" s="61"/>
      <c r="L99" s="272" t="s">
        <v>159</v>
      </c>
      <c r="M99" s="267"/>
      <c r="N99" s="267"/>
      <c r="O99" s="267"/>
      <c r="P99" s="32"/>
      <c r="Q99" s="32"/>
      <c r="R99" s="182"/>
      <c r="S99" s="188"/>
      <c r="T99" s="182"/>
      <c r="U99" s="182"/>
      <c r="V99" s="21"/>
      <c r="W99" s="188"/>
      <c r="Y99" s="188"/>
    </row>
    <row r="100" spans="3:25" ht="12" customHeight="1">
      <c r="C100" s="19"/>
      <c r="H100" s="61"/>
      <c r="I100" s="56"/>
      <c r="J100" s="61"/>
      <c r="L100" s="272" t="s">
        <v>160</v>
      </c>
      <c r="M100" s="267"/>
      <c r="N100" s="267"/>
      <c r="O100" s="267"/>
      <c r="P100" s="32"/>
      <c r="Q100" s="32"/>
      <c r="R100" s="182"/>
      <c r="S100" s="188"/>
      <c r="T100" s="182"/>
      <c r="U100" s="182"/>
      <c r="V100" s="21"/>
      <c r="W100" s="188"/>
      <c r="Y100" s="188"/>
    </row>
    <row r="101" spans="3:25" ht="12" customHeight="1">
      <c r="C101" s="19"/>
      <c r="H101" s="61"/>
      <c r="I101" s="56"/>
      <c r="J101" s="61"/>
      <c r="L101" s="271" t="s">
        <v>161</v>
      </c>
      <c r="M101" s="267"/>
      <c r="N101" s="267"/>
      <c r="O101" s="267"/>
      <c r="P101" s="32"/>
      <c r="Q101" s="32"/>
      <c r="R101" s="182"/>
      <c r="S101" s="188"/>
      <c r="T101" s="182"/>
      <c r="U101" s="182"/>
      <c r="V101" s="21"/>
      <c r="W101" s="188"/>
      <c r="Y101" s="188"/>
    </row>
    <row r="102" spans="3:25" ht="12" customHeight="1">
      <c r="C102" s="19"/>
      <c r="H102" s="61"/>
      <c r="I102" s="56"/>
      <c r="J102" s="61"/>
      <c r="L102" s="272" t="s">
        <v>163</v>
      </c>
      <c r="M102" s="267"/>
      <c r="N102" s="267"/>
      <c r="O102" s="267"/>
      <c r="P102" s="32"/>
      <c r="Q102" s="32"/>
      <c r="R102" s="182"/>
      <c r="S102" s="188"/>
      <c r="T102" s="182"/>
      <c r="U102" s="182"/>
      <c r="V102" s="21"/>
      <c r="W102" s="188"/>
      <c r="Y102" s="188"/>
    </row>
    <row r="103" spans="3:25" ht="12" customHeight="1">
      <c r="C103" s="19"/>
      <c r="H103" s="61"/>
      <c r="I103" s="56"/>
      <c r="J103" s="61"/>
      <c r="L103" s="272" t="s">
        <v>162</v>
      </c>
      <c r="M103" s="267"/>
      <c r="N103" s="267"/>
      <c r="O103" s="267"/>
      <c r="P103" s="32"/>
      <c r="Q103" s="32"/>
      <c r="R103" s="182"/>
      <c r="S103" s="188"/>
      <c r="T103" s="182"/>
      <c r="U103" s="182"/>
      <c r="V103" s="21"/>
      <c r="W103" s="188"/>
      <c r="Y103" s="188"/>
    </row>
    <row r="104" spans="3:25" ht="12" customHeight="1">
      <c r="C104" s="19"/>
      <c r="H104" s="61"/>
      <c r="I104" s="56"/>
      <c r="J104" s="61"/>
      <c r="L104" s="272" t="s">
        <v>164</v>
      </c>
      <c r="M104" s="267"/>
      <c r="N104" s="267"/>
      <c r="O104" s="267"/>
      <c r="P104" s="32"/>
      <c r="Q104" s="32"/>
      <c r="R104" s="182"/>
      <c r="S104" s="188"/>
      <c r="T104" s="182"/>
      <c r="U104" s="182"/>
      <c r="V104" s="21"/>
      <c r="W104" s="188"/>
      <c r="Y104" s="188"/>
    </row>
    <row r="105" spans="3:25" ht="12" customHeight="1">
      <c r="C105" s="19"/>
      <c r="H105" s="61"/>
      <c r="I105" s="56"/>
      <c r="J105" s="61"/>
      <c r="L105" s="272" t="s">
        <v>165</v>
      </c>
      <c r="M105" s="267"/>
      <c r="N105" s="267"/>
      <c r="O105" s="267"/>
      <c r="P105" s="32"/>
      <c r="Q105" s="32"/>
      <c r="R105" s="182"/>
      <c r="S105" s="188"/>
      <c r="T105" s="182"/>
      <c r="U105" s="182"/>
      <c r="V105" s="21"/>
      <c r="W105" s="188"/>
      <c r="Y105" s="188"/>
    </row>
    <row r="106" spans="3:25" ht="12" customHeight="1">
      <c r="C106" s="19"/>
      <c r="H106" s="61"/>
      <c r="I106" s="56"/>
      <c r="J106" s="61"/>
      <c r="L106" s="272" t="s">
        <v>166</v>
      </c>
      <c r="M106" s="267"/>
      <c r="N106" s="267"/>
      <c r="O106" s="267"/>
      <c r="P106" s="32"/>
      <c r="Q106" s="32"/>
      <c r="R106" s="182"/>
      <c r="S106" s="188"/>
      <c r="T106" s="182"/>
      <c r="U106" s="182"/>
      <c r="V106" s="21"/>
      <c r="W106" s="188"/>
      <c r="Y106" s="188"/>
    </row>
    <row r="107" spans="3:25" ht="12" customHeight="1">
      <c r="C107" s="19"/>
      <c r="H107" s="61"/>
      <c r="I107" s="56"/>
      <c r="J107" s="61"/>
      <c r="L107" s="272" t="s">
        <v>167</v>
      </c>
      <c r="M107" s="267"/>
      <c r="N107" s="267"/>
      <c r="O107" s="267"/>
      <c r="P107" s="32"/>
      <c r="Q107" s="32"/>
      <c r="R107" s="182"/>
      <c r="S107" s="188"/>
      <c r="T107" s="182"/>
      <c r="U107" s="182"/>
      <c r="V107" s="21"/>
      <c r="W107" s="188"/>
      <c r="Y107" s="188"/>
    </row>
    <row r="108" spans="3:25" ht="12" customHeight="1">
      <c r="C108" s="19"/>
      <c r="H108" s="61"/>
      <c r="I108" s="56"/>
      <c r="J108" s="61"/>
      <c r="L108" s="272" t="s">
        <v>168</v>
      </c>
      <c r="M108" s="267"/>
      <c r="N108" s="267"/>
      <c r="O108" s="267"/>
      <c r="P108" s="32"/>
      <c r="Q108" s="32"/>
      <c r="R108" s="182"/>
      <c r="S108" s="188"/>
      <c r="T108" s="182"/>
      <c r="U108" s="182"/>
      <c r="V108" s="21"/>
      <c r="W108" s="188"/>
      <c r="Y108" s="188"/>
    </row>
    <row r="109" spans="3:25" ht="12" customHeight="1">
      <c r="C109" s="19"/>
      <c r="H109" s="61"/>
      <c r="I109" s="56"/>
      <c r="J109" s="61"/>
      <c r="L109" s="272" t="s">
        <v>169</v>
      </c>
      <c r="M109" s="267"/>
      <c r="N109" s="267"/>
      <c r="O109" s="267"/>
      <c r="P109" s="32"/>
      <c r="Q109" s="32"/>
      <c r="R109" s="182"/>
      <c r="S109" s="188"/>
      <c r="T109" s="182"/>
      <c r="U109" s="182"/>
      <c r="V109" s="21"/>
      <c r="W109" s="188"/>
      <c r="Y109" s="188"/>
    </row>
    <row r="110" spans="3:25" ht="12" customHeight="1">
      <c r="C110" s="19"/>
      <c r="H110" s="61"/>
      <c r="I110" s="56"/>
      <c r="J110" s="61"/>
      <c r="L110" s="272" t="s">
        <v>170</v>
      </c>
      <c r="M110" s="267"/>
      <c r="N110" s="267"/>
      <c r="O110" s="267"/>
      <c r="P110" s="32"/>
      <c r="Q110" s="32"/>
      <c r="R110" s="182"/>
      <c r="S110" s="188"/>
      <c r="T110" s="182"/>
      <c r="U110" s="182"/>
      <c r="V110" s="21"/>
      <c r="W110" s="188"/>
      <c r="Y110" s="188"/>
    </row>
    <row r="111" spans="3:25" ht="12" customHeight="1">
      <c r="C111" s="19"/>
      <c r="H111" s="61"/>
      <c r="I111" s="56"/>
      <c r="J111" s="61"/>
      <c r="L111" s="272" t="s">
        <v>171</v>
      </c>
      <c r="M111" s="267"/>
      <c r="N111" s="267"/>
      <c r="O111" s="267"/>
      <c r="P111" s="32"/>
      <c r="Q111" s="32"/>
      <c r="R111" s="182"/>
      <c r="S111" s="188"/>
      <c r="T111" s="182"/>
      <c r="U111" s="182"/>
      <c r="V111" s="21"/>
      <c r="W111" s="188"/>
      <c r="Y111" s="188"/>
    </row>
    <row r="112" spans="3:25" ht="12" customHeight="1">
      <c r="C112" s="19"/>
      <c r="H112" s="61"/>
      <c r="I112" s="56"/>
      <c r="J112" s="61"/>
      <c r="L112" s="272" t="s">
        <v>172</v>
      </c>
      <c r="M112" s="267"/>
      <c r="N112" s="267"/>
      <c r="O112" s="267"/>
      <c r="P112" s="32"/>
      <c r="Q112" s="32"/>
      <c r="R112" s="182"/>
      <c r="S112" s="188"/>
      <c r="T112" s="182"/>
      <c r="U112" s="182"/>
      <c r="V112" s="21"/>
      <c r="W112" s="188"/>
      <c r="Y112" s="188"/>
    </row>
    <row r="113" spans="3:25" ht="12" customHeight="1">
      <c r="C113" s="19"/>
      <c r="H113" s="61"/>
      <c r="I113" s="56"/>
      <c r="J113" s="61"/>
      <c r="L113" s="272" t="s">
        <v>173</v>
      </c>
      <c r="M113" s="267"/>
      <c r="N113" s="267"/>
      <c r="O113" s="267"/>
      <c r="P113" s="32"/>
      <c r="Q113" s="32"/>
      <c r="R113" s="182"/>
      <c r="S113" s="188"/>
      <c r="T113" s="182"/>
      <c r="U113" s="182"/>
      <c r="V113" s="21"/>
      <c r="W113" s="188"/>
      <c r="Y113" s="188"/>
    </row>
    <row r="114" spans="3:25" ht="12" customHeight="1">
      <c r="C114" s="19"/>
      <c r="H114" s="61"/>
      <c r="I114" s="56"/>
      <c r="J114" s="61"/>
      <c r="L114" s="272" t="s">
        <v>174</v>
      </c>
      <c r="M114" s="267"/>
      <c r="N114" s="267"/>
      <c r="O114" s="267"/>
      <c r="P114" s="32"/>
      <c r="Q114" s="32"/>
      <c r="R114" s="182"/>
      <c r="S114" s="188"/>
      <c r="T114" s="182"/>
      <c r="U114" s="182"/>
      <c r="V114" s="21"/>
      <c r="W114" s="188"/>
      <c r="Y114" s="188"/>
    </row>
    <row r="115" spans="3:25" ht="12" customHeight="1">
      <c r="C115" s="19"/>
      <c r="H115" s="61"/>
      <c r="I115" s="56"/>
      <c r="J115" s="61"/>
      <c r="L115" s="272" t="s">
        <v>175</v>
      </c>
      <c r="M115" s="267"/>
      <c r="N115" s="267"/>
      <c r="O115" s="267"/>
      <c r="P115" s="32"/>
      <c r="Q115" s="32"/>
      <c r="R115" s="182"/>
      <c r="S115" s="188"/>
      <c r="T115" s="182"/>
      <c r="U115" s="182"/>
      <c r="V115" s="21"/>
      <c r="W115" s="188"/>
      <c r="Y115" s="188"/>
    </row>
    <row r="116" spans="3:25" ht="12" customHeight="1">
      <c r="C116" s="19"/>
      <c r="H116" s="61"/>
      <c r="I116" s="56"/>
      <c r="J116" s="61"/>
      <c r="L116" s="272" t="s">
        <v>176</v>
      </c>
      <c r="M116" s="267"/>
      <c r="N116" s="267"/>
      <c r="O116" s="267"/>
      <c r="P116" s="32"/>
      <c r="Q116" s="32"/>
      <c r="R116" s="182"/>
      <c r="S116" s="188"/>
      <c r="T116" s="182"/>
      <c r="U116" s="182"/>
      <c r="V116" s="21"/>
      <c r="W116" s="188"/>
      <c r="Y116" s="188"/>
    </row>
    <row r="117" spans="3:25" ht="12" customHeight="1">
      <c r="C117" s="19"/>
      <c r="H117" s="61"/>
      <c r="I117" s="56"/>
      <c r="J117" s="61"/>
      <c r="L117" s="272" t="s">
        <v>177</v>
      </c>
      <c r="M117" s="267"/>
      <c r="N117" s="267"/>
      <c r="O117" s="267"/>
      <c r="P117" s="32"/>
      <c r="Q117" s="32"/>
      <c r="R117" s="261"/>
      <c r="S117" s="188"/>
      <c r="T117" s="261"/>
      <c r="U117" s="261"/>
      <c r="V117" s="21"/>
      <c r="W117" s="188"/>
      <c r="Y117" s="188"/>
    </row>
    <row r="118" spans="3:25" ht="12" customHeight="1">
      <c r="C118" s="19"/>
      <c r="H118" s="61"/>
      <c r="I118" s="56"/>
      <c r="J118" s="61"/>
      <c r="L118" s="272" t="s">
        <v>178</v>
      </c>
      <c r="M118" s="267"/>
      <c r="N118" s="267"/>
      <c r="O118" s="267"/>
      <c r="P118" s="32"/>
      <c r="Q118" s="32"/>
      <c r="R118" s="261"/>
      <c r="S118" s="188"/>
      <c r="T118" s="261"/>
      <c r="U118" s="261"/>
      <c r="V118" s="21"/>
      <c r="W118" s="188"/>
      <c r="Y118" s="188"/>
    </row>
    <row r="119" spans="3:25" ht="12" customHeight="1">
      <c r="C119" s="19"/>
      <c r="H119" s="61"/>
      <c r="I119" s="56"/>
      <c r="J119" s="61"/>
      <c r="L119" s="272" t="s">
        <v>179</v>
      </c>
      <c r="M119" s="267"/>
      <c r="N119" s="267"/>
      <c r="O119" s="267"/>
      <c r="P119" s="32"/>
      <c r="Q119" s="32"/>
      <c r="R119" s="261"/>
      <c r="S119" s="188"/>
      <c r="T119" s="261"/>
      <c r="U119" s="261"/>
      <c r="V119" s="21"/>
      <c r="W119" s="188"/>
      <c r="Y119" s="188"/>
    </row>
    <row r="120" spans="3:25" ht="12" customHeight="1">
      <c r="C120" s="19"/>
      <c r="H120" s="61"/>
      <c r="I120" s="56"/>
      <c r="J120" s="61"/>
      <c r="L120" s="272" t="s">
        <v>180</v>
      </c>
      <c r="M120" s="267"/>
      <c r="N120" s="267"/>
      <c r="O120" s="267"/>
      <c r="P120" s="32"/>
      <c r="Q120" s="32"/>
      <c r="R120" s="261"/>
      <c r="S120" s="188"/>
      <c r="T120" s="261"/>
      <c r="U120" s="261"/>
      <c r="V120" s="21"/>
      <c r="W120" s="188"/>
      <c r="Y120" s="188"/>
    </row>
    <row r="121" spans="3:25" ht="12" customHeight="1">
      <c r="C121" s="19"/>
      <c r="H121" s="61"/>
      <c r="I121" s="56"/>
      <c r="J121" s="61"/>
      <c r="L121" s="272" t="s">
        <v>186</v>
      </c>
      <c r="M121" s="267"/>
      <c r="N121" s="267"/>
      <c r="O121" s="267"/>
      <c r="P121" s="32"/>
      <c r="Q121" s="32"/>
      <c r="R121" s="261"/>
      <c r="S121" s="188"/>
      <c r="T121" s="261"/>
      <c r="U121" s="261"/>
      <c r="V121" s="21"/>
      <c r="W121" s="188"/>
      <c r="Y121" s="188"/>
    </row>
    <row r="122" spans="3:25" ht="12" customHeight="1">
      <c r="C122" s="19"/>
      <c r="H122" s="61"/>
      <c r="I122" s="56"/>
      <c r="J122" s="61"/>
      <c r="L122" s="272" t="s">
        <v>181</v>
      </c>
      <c r="M122" s="267"/>
      <c r="N122" s="267"/>
      <c r="O122" s="267"/>
      <c r="P122" s="32"/>
      <c r="Q122" s="32"/>
      <c r="R122" s="261"/>
      <c r="S122" s="188"/>
      <c r="T122" s="261"/>
      <c r="U122" s="261"/>
      <c r="V122" s="21"/>
      <c r="W122" s="188"/>
      <c r="Y122" s="188"/>
    </row>
    <row r="123" spans="3:25" ht="12" customHeight="1">
      <c r="C123" s="19"/>
      <c r="H123" s="61"/>
      <c r="I123" s="56"/>
      <c r="J123" s="61"/>
      <c r="L123" s="272" t="s">
        <v>182</v>
      </c>
      <c r="M123" s="267"/>
      <c r="N123" s="267"/>
      <c r="O123" s="267"/>
      <c r="P123" s="32"/>
      <c r="Q123" s="32"/>
      <c r="R123" s="261"/>
      <c r="S123" s="188"/>
      <c r="T123" s="261"/>
      <c r="U123" s="261"/>
      <c r="V123" s="21"/>
      <c r="W123" s="188"/>
      <c r="Y123" s="188"/>
    </row>
    <row r="124" spans="3:25" ht="12" customHeight="1">
      <c r="C124" s="19"/>
      <c r="H124" s="61"/>
      <c r="I124" s="56"/>
      <c r="J124" s="61"/>
      <c r="L124" s="271" t="s">
        <v>194</v>
      </c>
      <c r="M124" s="267"/>
      <c r="N124" s="267"/>
      <c r="O124" s="267"/>
      <c r="P124" s="32"/>
      <c r="Q124" s="32"/>
      <c r="R124" s="261"/>
      <c r="S124" s="188"/>
      <c r="T124" s="261"/>
      <c r="U124" s="261"/>
      <c r="V124" s="21"/>
      <c r="W124" s="188"/>
      <c r="Y124" s="188"/>
    </row>
    <row r="125" spans="3:25" ht="12" customHeight="1">
      <c r="C125" s="19"/>
      <c r="H125" s="61"/>
      <c r="I125" s="56"/>
      <c r="J125" s="61"/>
      <c r="L125" s="272" t="s">
        <v>190</v>
      </c>
      <c r="M125" s="267"/>
      <c r="N125" s="267"/>
      <c r="O125" s="267"/>
      <c r="P125" s="32"/>
      <c r="Q125" s="32"/>
      <c r="R125" s="261"/>
      <c r="S125" s="188"/>
      <c r="T125" s="261"/>
      <c r="U125" s="261"/>
      <c r="V125" s="21"/>
      <c r="W125" s="188"/>
      <c r="Y125" s="188"/>
    </row>
    <row r="126" spans="3:25" ht="12" customHeight="1">
      <c r="C126" s="19"/>
      <c r="H126" s="61"/>
      <c r="I126" s="56"/>
      <c r="J126" s="61"/>
      <c r="L126" s="272" t="s">
        <v>191</v>
      </c>
      <c r="M126" s="267"/>
      <c r="N126" s="267"/>
      <c r="O126" s="267"/>
      <c r="P126" s="32"/>
      <c r="Q126" s="32"/>
      <c r="R126" s="261"/>
      <c r="S126" s="188"/>
      <c r="T126" s="261"/>
      <c r="U126" s="261"/>
      <c r="V126" s="21"/>
      <c r="W126" s="188"/>
      <c r="Y126" s="188"/>
    </row>
    <row r="127" spans="3:25" ht="12" customHeight="1">
      <c r="C127" s="19"/>
      <c r="H127" s="61"/>
      <c r="I127" s="56"/>
      <c r="J127" s="61"/>
      <c r="L127" s="272" t="s">
        <v>192</v>
      </c>
      <c r="M127" s="267"/>
      <c r="N127" s="267"/>
      <c r="O127" s="267"/>
      <c r="P127" s="32"/>
      <c r="Q127" s="32"/>
      <c r="R127" s="261"/>
      <c r="S127" s="188"/>
      <c r="T127" s="261"/>
      <c r="U127" s="261"/>
      <c r="V127" s="21"/>
      <c r="W127" s="188"/>
      <c r="Y127" s="188"/>
    </row>
    <row r="128" spans="3:25" ht="12" customHeight="1">
      <c r="C128" s="19"/>
      <c r="H128" s="61"/>
      <c r="I128" s="56"/>
      <c r="J128" s="61"/>
      <c r="L128" s="272" t="s">
        <v>193</v>
      </c>
      <c r="M128" s="267"/>
      <c r="N128" s="267"/>
      <c r="O128" s="267"/>
      <c r="P128" s="32"/>
      <c r="Q128" s="32"/>
      <c r="R128" s="261"/>
      <c r="S128" s="188"/>
      <c r="T128" s="261"/>
      <c r="U128" s="261"/>
      <c r="V128" s="21"/>
      <c r="W128" s="188"/>
      <c r="Y128" s="188"/>
    </row>
    <row r="129" spans="1:34" ht="16.5" customHeight="1">
      <c r="C129" s="19"/>
      <c r="H129" s="61"/>
      <c r="I129" s="56"/>
      <c r="J129" s="61"/>
      <c r="L129" s="272"/>
      <c r="M129" s="267"/>
      <c r="N129" s="267"/>
      <c r="O129" s="267"/>
      <c r="P129" s="32"/>
      <c r="Q129" s="32"/>
      <c r="R129" s="261"/>
      <c r="S129" s="188"/>
      <c r="T129" s="261"/>
      <c r="U129" s="261"/>
      <c r="V129" s="21"/>
      <c r="W129" s="188"/>
      <c r="Y129" s="188"/>
    </row>
    <row r="130" spans="1:34">
      <c r="A130" s="33"/>
      <c r="L130" s="268"/>
      <c r="M130" s="267"/>
      <c r="N130" s="267"/>
      <c r="O130" s="267"/>
      <c r="P130" s="32"/>
      <c r="Q130" s="32"/>
      <c r="R130" s="32"/>
      <c r="V130" s="4"/>
    </row>
    <row r="131" spans="1:34">
      <c r="A131" s="260"/>
      <c r="L131" s="268"/>
      <c r="M131" s="267"/>
      <c r="N131" s="267"/>
      <c r="O131" s="267"/>
      <c r="P131" s="32"/>
      <c r="Q131" s="32"/>
      <c r="R131" s="4"/>
      <c r="V131" s="4"/>
    </row>
    <row r="132" spans="1:34">
      <c r="A132" s="260"/>
      <c r="L132" s="268"/>
      <c r="M132" s="267"/>
      <c r="N132" s="267"/>
      <c r="O132" s="267"/>
      <c r="P132" s="32"/>
      <c r="Q132" s="32"/>
      <c r="R132" s="4"/>
      <c r="V132" s="4"/>
    </row>
    <row r="133" spans="1:34">
      <c r="A133" s="75"/>
      <c r="L133" s="268"/>
      <c r="M133" s="267"/>
      <c r="N133" s="267"/>
      <c r="O133" s="267"/>
      <c r="P133" s="32"/>
      <c r="Q133" s="32"/>
      <c r="R133" s="4"/>
      <c r="V133" s="4"/>
    </row>
    <row r="134" spans="1:34">
      <c r="A134" s="75"/>
      <c r="C134" s="29"/>
      <c r="L134" s="268"/>
      <c r="M134" s="267"/>
      <c r="N134" s="267"/>
      <c r="O134" s="267"/>
      <c r="P134" s="32"/>
      <c r="Q134" s="32"/>
      <c r="R134" s="4"/>
    </row>
    <row r="135" spans="1:34">
      <c r="A135" s="68"/>
      <c r="L135" s="268"/>
      <c r="M135" s="267"/>
      <c r="N135" s="267"/>
      <c r="O135" s="267"/>
      <c r="P135" s="32"/>
      <c r="Q135" s="32"/>
      <c r="R135" s="4"/>
      <c r="T135" s="207"/>
      <c r="U135" s="207"/>
      <c r="V135" s="207"/>
    </row>
    <row r="136" spans="1:34">
      <c r="A136" s="68"/>
      <c r="L136" s="268"/>
      <c r="M136" s="267"/>
      <c r="N136" s="267"/>
      <c r="O136" s="267"/>
      <c r="P136" s="32"/>
      <c r="Q136" s="32"/>
      <c r="R136" s="4"/>
      <c r="T136" s="207"/>
      <c r="U136" s="207"/>
      <c r="V136" s="207"/>
    </row>
    <row r="137" spans="1:34">
      <c r="A137" s="68"/>
      <c r="L137" s="268"/>
      <c r="M137" s="267"/>
      <c r="N137" s="267"/>
      <c r="O137" s="267"/>
      <c r="P137" s="32"/>
      <c r="Q137" s="32"/>
      <c r="R137" s="4"/>
      <c r="T137" s="207"/>
      <c r="U137" s="207"/>
      <c r="V137" s="207"/>
    </row>
    <row r="138" spans="1:34">
      <c r="A138" s="68"/>
      <c r="L138" s="268"/>
      <c r="M138" s="267"/>
      <c r="N138" s="267"/>
      <c r="O138" s="267"/>
      <c r="P138" s="32"/>
      <c r="Q138" s="32"/>
      <c r="R138" s="4"/>
      <c r="T138" s="207"/>
      <c r="U138" s="207"/>
      <c r="V138" s="207"/>
    </row>
    <row r="139" spans="1:34">
      <c r="A139" s="68"/>
      <c r="L139" s="268"/>
      <c r="M139" s="267"/>
      <c r="N139" s="267"/>
      <c r="O139" s="267"/>
      <c r="P139" s="32"/>
      <c r="Q139" s="32"/>
      <c r="R139" s="4"/>
      <c r="T139" s="207"/>
      <c r="U139" s="207"/>
      <c r="V139" s="207"/>
    </row>
    <row r="140" spans="1:34">
      <c r="A140" s="264"/>
      <c r="L140" s="268"/>
      <c r="M140" s="267"/>
      <c r="N140" s="267"/>
      <c r="O140" s="267"/>
      <c r="P140" s="32"/>
      <c r="Q140" s="32"/>
      <c r="R140" s="4"/>
      <c r="T140" s="197"/>
      <c r="U140" s="197"/>
      <c r="V140" s="197"/>
    </row>
    <row r="141" spans="1:34">
      <c r="A141" s="68"/>
      <c r="L141" s="268"/>
      <c r="M141" s="267"/>
      <c r="N141" s="267"/>
      <c r="O141" s="267"/>
      <c r="P141" s="32"/>
      <c r="Q141" s="32"/>
      <c r="R141" s="4"/>
      <c r="T141" s="197"/>
      <c r="U141" s="197"/>
      <c r="V141" s="197"/>
    </row>
    <row r="142" spans="1:34" s="29" customFormat="1" ht="8.25" customHeight="1">
      <c r="A142" s="68"/>
      <c r="B142" s="1"/>
      <c r="C142" s="1"/>
      <c r="D142" s="1"/>
      <c r="F142" s="1"/>
      <c r="H142" s="1"/>
      <c r="J142" s="1"/>
      <c r="L142" s="268"/>
      <c r="M142" s="267"/>
      <c r="N142" s="267"/>
      <c r="O142" s="267"/>
      <c r="P142" s="32"/>
      <c r="Q142" s="32"/>
      <c r="R142" s="32"/>
      <c r="S142" s="32"/>
      <c r="T142" s="197"/>
      <c r="U142" s="197"/>
      <c r="V142" s="197"/>
      <c r="W142" s="32"/>
      <c r="Y142" s="32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s="29" customFormat="1" ht="13.5" customHeight="1">
      <c r="A143" s="262"/>
      <c r="B143" s="1"/>
      <c r="C143" s="1"/>
      <c r="D143" s="1"/>
      <c r="F143" s="1"/>
      <c r="H143" s="1"/>
      <c r="J143" s="1"/>
      <c r="L143" s="268"/>
      <c r="M143" s="267"/>
      <c r="N143" s="267"/>
      <c r="O143" s="267"/>
      <c r="P143" s="32"/>
      <c r="Q143" s="32"/>
      <c r="R143" s="4"/>
      <c r="S143" s="32"/>
      <c r="T143" s="197"/>
      <c r="U143" s="197"/>
      <c r="V143" s="277"/>
      <c r="W143" s="32"/>
      <c r="Y143" s="32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s="29" customFormat="1" ht="8.25" customHeight="1">
      <c r="A144" s="68"/>
      <c r="B144" s="1"/>
      <c r="C144" s="1"/>
      <c r="D144" s="1"/>
      <c r="F144" s="1"/>
      <c r="H144" s="1"/>
      <c r="J144" s="1"/>
      <c r="L144" s="268"/>
      <c r="M144" s="267"/>
      <c r="N144" s="267"/>
      <c r="O144" s="267"/>
      <c r="P144" s="32"/>
      <c r="Q144" s="32"/>
      <c r="R144" s="32"/>
      <c r="S144" s="32"/>
      <c r="T144" s="197"/>
      <c r="U144" s="197"/>
      <c r="V144" s="197"/>
      <c r="W144" s="32"/>
      <c r="Y144" s="32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s="29" customFormat="1">
      <c r="A145" s="75"/>
      <c r="B145" s="1"/>
      <c r="C145" s="1"/>
      <c r="D145" s="1"/>
      <c r="F145" s="1"/>
      <c r="H145" s="1"/>
      <c r="J145" s="1"/>
      <c r="L145" s="268"/>
      <c r="M145" s="267"/>
      <c r="N145" s="267"/>
      <c r="O145" s="267"/>
      <c r="P145" s="32"/>
      <c r="Q145" s="32"/>
      <c r="R145" s="32"/>
      <c r="S145" s="32"/>
      <c r="T145" s="197"/>
      <c r="U145" s="197"/>
      <c r="V145" s="197"/>
      <c r="W145" s="32"/>
      <c r="Y145" s="32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s="29" customFormat="1" ht="11.25" customHeight="1">
      <c r="A146" s="1"/>
      <c r="B146" s="1"/>
      <c r="C146" s="1"/>
      <c r="D146" s="1"/>
      <c r="F146" s="1"/>
      <c r="H146" s="1"/>
      <c r="J146" s="1"/>
      <c r="L146" s="266"/>
      <c r="M146" s="267"/>
      <c r="N146" s="267"/>
      <c r="O146" s="267"/>
      <c r="P146" s="32"/>
      <c r="Q146" s="32"/>
      <c r="R146" s="32"/>
      <c r="S146" s="32"/>
      <c r="T146" s="197"/>
      <c r="U146" s="197"/>
      <c r="V146" s="197"/>
      <c r="W146" s="32"/>
      <c r="Y146" s="32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s="29" customFormat="1" ht="11.25" customHeight="1">
      <c r="A147" s="1"/>
      <c r="B147" s="1"/>
      <c r="C147" s="1"/>
      <c r="D147" s="1"/>
      <c r="F147" s="1"/>
      <c r="H147" s="1"/>
      <c r="J147" s="1"/>
      <c r="L147" s="268"/>
      <c r="M147" s="267"/>
      <c r="N147" s="267"/>
      <c r="O147" s="267"/>
      <c r="P147" s="32"/>
      <c r="Q147" s="32"/>
      <c r="R147" s="32"/>
      <c r="S147" s="32"/>
      <c r="T147" s="197"/>
      <c r="U147" s="197"/>
      <c r="V147" s="197"/>
      <c r="W147" s="32"/>
      <c r="Y147" s="32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>
      <c r="L148" s="268"/>
      <c r="M148" s="267"/>
      <c r="N148" s="267"/>
      <c r="O148" s="267"/>
      <c r="P148" s="32"/>
      <c r="Q148" s="32"/>
      <c r="R148" s="32"/>
      <c r="V148" s="178"/>
    </row>
    <row r="149" spans="1:34">
      <c r="L149" s="268"/>
      <c r="M149" s="267"/>
      <c r="N149" s="267"/>
      <c r="O149" s="267"/>
      <c r="P149" s="32"/>
      <c r="Q149" s="32"/>
      <c r="R149" s="32"/>
      <c r="V149" s="277"/>
    </row>
    <row r="150" spans="1:34">
      <c r="L150" s="268"/>
      <c r="M150" s="267"/>
      <c r="N150" s="267"/>
      <c r="O150" s="267"/>
      <c r="P150" s="32"/>
      <c r="Q150" s="32"/>
      <c r="R150" s="32"/>
    </row>
    <row r="151" spans="1:34">
      <c r="L151" s="268"/>
      <c r="M151" s="267"/>
      <c r="N151" s="267"/>
      <c r="O151" s="267"/>
      <c r="P151" s="32"/>
      <c r="Q151" s="32"/>
      <c r="R151" s="32"/>
    </row>
    <row r="152" spans="1:34">
      <c r="L152" s="268"/>
      <c r="M152" s="267"/>
      <c r="N152" s="267"/>
      <c r="O152" s="267"/>
      <c r="P152" s="32"/>
      <c r="Q152" s="32"/>
      <c r="R152" s="32"/>
    </row>
    <row r="153" spans="1:34">
      <c r="L153" s="268"/>
      <c r="M153" s="267"/>
      <c r="N153" s="267"/>
      <c r="O153" s="267"/>
      <c r="P153" s="32"/>
      <c r="Q153" s="32"/>
      <c r="R153" s="32"/>
    </row>
    <row r="154" spans="1:34">
      <c r="L154" s="268"/>
      <c r="M154" s="267"/>
      <c r="N154" s="267"/>
      <c r="O154" s="267"/>
      <c r="P154" s="32"/>
      <c r="Q154" s="32"/>
      <c r="R154" s="32"/>
    </row>
    <row r="155" spans="1:34">
      <c r="L155" s="268"/>
      <c r="M155" s="267"/>
      <c r="N155" s="267"/>
      <c r="O155" s="267"/>
      <c r="P155" s="32"/>
      <c r="Q155" s="32"/>
      <c r="R155" s="32"/>
    </row>
    <row r="156" spans="1:34">
      <c r="L156" s="268"/>
      <c r="M156" s="267"/>
      <c r="N156" s="267"/>
      <c r="O156" s="267"/>
      <c r="P156" s="32"/>
      <c r="Q156" s="32"/>
      <c r="R156" s="32"/>
    </row>
    <row r="157" spans="1:34">
      <c r="E157" s="1"/>
      <c r="G157" s="1"/>
      <c r="I157" s="1"/>
      <c r="K157" s="1"/>
      <c r="L157" s="268"/>
      <c r="M157" s="268"/>
      <c r="N157" s="268"/>
      <c r="O157" s="268"/>
      <c r="P157" s="11"/>
      <c r="Q157" s="11"/>
      <c r="R157" s="32"/>
      <c r="Y157" s="11"/>
      <c r="Z157" s="29"/>
      <c r="AB157" s="29"/>
      <c r="AD157" s="29"/>
      <c r="AF157" s="29"/>
      <c r="AH157" s="29"/>
    </row>
    <row r="158" spans="1:34">
      <c r="E158" s="1"/>
      <c r="G158" s="1"/>
      <c r="I158" s="1"/>
      <c r="K158" s="1"/>
      <c r="L158" s="268"/>
      <c r="M158" s="268"/>
      <c r="N158" s="268"/>
      <c r="O158" s="268"/>
      <c r="P158" s="11"/>
      <c r="Q158" s="11"/>
      <c r="R158" s="32"/>
      <c r="Y158" s="11"/>
      <c r="Z158" s="29"/>
      <c r="AB158" s="29"/>
      <c r="AD158" s="29"/>
      <c r="AF158" s="29"/>
      <c r="AH158" s="29"/>
    </row>
    <row r="159" spans="1:34">
      <c r="E159" s="1"/>
      <c r="G159" s="1"/>
      <c r="I159" s="1"/>
      <c r="K159" s="1"/>
      <c r="L159" s="268"/>
      <c r="M159" s="268"/>
      <c r="N159" s="268"/>
      <c r="O159" s="268"/>
      <c r="P159" s="11"/>
      <c r="Q159" s="11"/>
      <c r="R159" s="32"/>
      <c r="Y159" s="11"/>
      <c r="Z159" s="29"/>
      <c r="AB159" s="29"/>
      <c r="AD159" s="29"/>
      <c r="AF159" s="29"/>
      <c r="AH159" s="29"/>
    </row>
    <row r="160" spans="1:34">
      <c r="E160" s="1"/>
      <c r="G160" s="1"/>
      <c r="I160" s="1"/>
      <c r="K160" s="1"/>
      <c r="L160" s="268"/>
      <c r="M160" s="268"/>
      <c r="N160" s="268"/>
      <c r="O160" s="268"/>
      <c r="P160" s="11"/>
      <c r="Q160" s="11"/>
      <c r="R160" s="32"/>
      <c r="Y160" s="11"/>
      <c r="Z160" s="29"/>
      <c r="AB160" s="29"/>
      <c r="AD160" s="29"/>
      <c r="AF160" s="29"/>
      <c r="AH160" s="29"/>
    </row>
    <row r="161" spans="12:22">
      <c r="L161" s="268"/>
      <c r="M161" s="267"/>
      <c r="N161" s="267"/>
      <c r="O161" s="267"/>
      <c r="P161" s="32"/>
      <c r="Q161" s="32"/>
      <c r="R161" s="32"/>
      <c r="T161" s="21"/>
      <c r="U161" s="21"/>
      <c r="V161" s="21"/>
    </row>
    <row r="162" spans="12:22">
      <c r="L162" s="267"/>
      <c r="M162" s="267"/>
      <c r="N162" s="267"/>
      <c r="O162" s="267"/>
      <c r="P162" s="32"/>
      <c r="Q162" s="32"/>
    </row>
    <row r="163" spans="12:22">
      <c r="P163" s="32"/>
      <c r="Q163" s="32"/>
    </row>
  </sheetData>
  <mergeCells count="1">
    <mergeCell ref="B4:C5"/>
  </mergeCells>
  <pageMargins left="0.5" right="0.25" top="0.75" bottom="0.6" header="0.5" footer="0.5"/>
  <pageSetup scale="71" fitToHeight="0" orientation="portrait" useFirstPageNumber="1" errors="blank" r:id="rId1"/>
  <headerFooter alignWithMargins="0">
    <oddFooter>&amp;L&amp;8&amp;Z&amp;F&amp;C
&amp;R&amp;8&amp;D  &amp;T</oddFooter>
  </headerFooter>
  <rowBreaks count="1" manualBreakCount="1">
    <brk id="63" max="23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AF182"/>
  <sheetViews>
    <sheetView showGridLines="0" zoomScaleSheetLayoutView="82" workbookViewId="0">
      <pane xSplit="3" ySplit="7" topLeftCell="P8" activePane="bottomRight" state="frozen"/>
      <selection pane="topRight" activeCell="D1" sqref="D1"/>
      <selection pane="bottomLeft" activeCell="A8" sqref="A8"/>
      <selection pane="bottomRight"/>
    </sheetView>
  </sheetViews>
  <sheetFormatPr defaultColWidth="8.85546875" defaultRowHeight="12.75"/>
  <cols>
    <col min="1" max="1" width="4.85546875" style="1" customWidth="1"/>
    <col min="2" max="2" width="3.42578125" style="1" customWidth="1"/>
    <col min="3" max="3" width="21" style="1" customWidth="1"/>
    <col min="4" max="4" width="15.28515625" style="1" hidden="1" customWidth="1"/>
    <col min="5" max="5" width="1.42578125" style="32" hidden="1" customWidth="1"/>
    <col min="6" max="6" width="15.42578125" style="29" hidden="1" customWidth="1"/>
    <col min="7" max="7" width="2.42578125" style="32" hidden="1" customWidth="1"/>
    <col min="8" max="8" width="14.28515625" style="1" hidden="1" customWidth="1"/>
    <col min="9" max="9" width="1" style="32" hidden="1" customWidth="1"/>
    <col min="10" max="10" width="14.28515625" style="32" hidden="1" customWidth="1"/>
    <col min="11" max="11" width="0.85546875" style="32" hidden="1" customWidth="1"/>
    <col min="12" max="12" width="14.28515625" style="32" hidden="1" customWidth="1"/>
    <col min="13" max="13" width="1" style="32" hidden="1" customWidth="1"/>
    <col min="14" max="14" width="15.42578125" style="32" hidden="1" customWidth="1"/>
    <col min="15" max="15" width="1.140625" style="32" hidden="1" customWidth="1"/>
    <col min="16" max="16" width="15.42578125" style="32" customWidth="1"/>
    <col min="17" max="17" width="1.140625" style="32" customWidth="1"/>
    <col min="18" max="18" width="15.42578125" style="1" customWidth="1"/>
    <col min="19" max="19" width="1" style="32" customWidth="1"/>
    <col min="20" max="20" width="15.42578125" style="32" customWidth="1"/>
    <col min="21" max="21" width="1.140625" style="32" customWidth="1"/>
    <col min="22" max="22" width="16.140625" style="32" customWidth="1"/>
    <col min="23" max="23" width="1.140625" style="32" customWidth="1"/>
    <col min="24" max="24" width="12.140625" style="1" customWidth="1"/>
    <col min="25" max="25" width="1.28515625" style="1" customWidth="1"/>
    <col min="26" max="16384" width="8.85546875" style="1"/>
  </cols>
  <sheetData>
    <row r="1" spans="1:32" ht="18.75">
      <c r="B1" s="283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 t="s">
        <v>93</v>
      </c>
      <c r="Q1" s="279"/>
      <c r="R1" s="279"/>
      <c r="S1" s="279"/>
      <c r="T1" s="279"/>
      <c r="U1" s="279"/>
      <c r="V1" s="280" t="s">
        <v>85</v>
      </c>
      <c r="W1" s="279"/>
      <c r="X1" s="283"/>
      <c r="Y1" s="283"/>
      <c r="Z1" s="283"/>
    </row>
    <row r="2" spans="1:32" ht="18.75">
      <c r="B2" s="279"/>
      <c r="C2" s="284" t="s">
        <v>203</v>
      </c>
      <c r="P2" s="285"/>
      <c r="Q2" s="284"/>
      <c r="R2" s="284"/>
      <c r="S2" s="284"/>
      <c r="T2" s="284"/>
      <c r="U2" s="284"/>
      <c r="V2" s="284"/>
      <c r="W2" s="284"/>
      <c r="X2" s="296"/>
      <c r="Y2" s="296"/>
      <c r="Z2" s="296"/>
      <c r="AA2" s="258"/>
      <c r="AC2" s="258"/>
      <c r="AD2" s="258"/>
      <c r="AE2" s="258"/>
      <c r="AF2" s="258"/>
    </row>
    <row r="3" spans="1:32" ht="18.75"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85"/>
      <c r="Q3" s="279"/>
      <c r="R3" s="273" t="s">
        <v>220</v>
      </c>
      <c r="S3" s="279"/>
      <c r="T3" s="279"/>
      <c r="U3" s="279"/>
      <c r="V3" s="280"/>
      <c r="W3" s="279"/>
      <c r="X3" s="283"/>
      <c r="Y3" s="283"/>
      <c r="Z3" s="283"/>
    </row>
    <row r="4" spans="1:32">
      <c r="C4" s="2"/>
      <c r="D4" s="2"/>
      <c r="E4" s="4"/>
      <c r="F4" s="3"/>
      <c r="G4" s="4"/>
      <c r="H4" s="2"/>
      <c r="I4" s="4"/>
      <c r="J4" s="4"/>
      <c r="K4" s="4"/>
      <c r="L4" s="4"/>
      <c r="M4" s="4"/>
      <c r="N4" s="4"/>
      <c r="O4" s="4"/>
      <c r="P4" s="4"/>
      <c r="Q4" s="4"/>
      <c r="R4" s="5"/>
      <c r="S4" s="4"/>
      <c r="T4" s="198"/>
      <c r="U4" s="198"/>
      <c r="V4" s="4"/>
      <c r="W4" s="198"/>
    </row>
    <row r="5" spans="1:32" ht="12.75" customHeight="1">
      <c r="B5" s="7"/>
      <c r="D5" s="154" t="s">
        <v>94</v>
      </c>
      <c r="E5" s="9"/>
      <c r="F5" s="154" t="s">
        <v>95</v>
      </c>
      <c r="H5" s="154" t="s">
        <v>96</v>
      </c>
      <c r="J5" s="154" t="s">
        <v>91</v>
      </c>
      <c r="K5" s="9"/>
      <c r="L5" s="154" t="s">
        <v>97</v>
      </c>
      <c r="M5" s="9"/>
      <c r="N5" s="154" t="s">
        <v>98</v>
      </c>
      <c r="O5" s="9"/>
      <c r="P5" s="154" t="s">
        <v>212</v>
      </c>
      <c r="Q5" s="9"/>
      <c r="R5" s="154" t="s">
        <v>214</v>
      </c>
      <c r="S5" s="9"/>
      <c r="T5" s="183" t="s">
        <v>214</v>
      </c>
      <c r="U5" s="265"/>
      <c r="V5" s="183" t="s">
        <v>216</v>
      </c>
      <c r="X5" s="292" t="s">
        <v>214</v>
      </c>
      <c r="Y5" s="11"/>
      <c r="Z5" s="183"/>
    </row>
    <row r="6" spans="1:32" ht="117.75" customHeight="1">
      <c r="B6" s="7"/>
      <c r="D6" s="158" t="s">
        <v>2</v>
      </c>
      <c r="E6" s="9"/>
      <c r="F6" s="158" t="s">
        <v>2</v>
      </c>
      <c r="H6" s="158" t="s">
        <v>2</v>
      </c>
      <c r="J6" s="158" t="s">
        <v>2</v>
      </c>
      <c r="K6" s="9"/>
      <c r="L6" s="175" t="s">
        <v>2</v>
      </c>
      <c r="M6" s="9"/>
      <c r="N6" s="175" t="s">
        <v>2</v>
      </c>
      <c r="O6" s="9"/>
      <c r="P6" s="175" t="s">
        <v>2</v>
      </c>
      <c r="Q6" s="9"/>
      <c r="R6" s="158" t="s">
        <v>33</v>
      </c>
      <c r="S6" s="9"/>
      <c r="T6" s="184" t="s">
        <v>221</v>
      </c>
      <c r="U6" s="40"/>
      <c r="V6" s="184" t="s">
        <v>195</v>
      </c>
      <c r="X6" s="291" t="s">
        <v>217</v>
      </c>
      <c r="Y6" s="11"/>
      <c r="Z6" s="184" t="s">
        <v>99</v>
      </c>
    </row>
    <row r="7" spans="1:32" s="11" customFormat="1" ht="3.75" customHeight="1">
      <c r="B7" s="12"/>
      <c r="D7" s="12"/>
      <c r="E7" s="9"/>
      <c r="F7" s="9"/>
      <c r="G7" s="9"/>
      <c r="H7" s="12"/>
      <c r="I7" s="9"/>
      <c r="J7" s="9"/>
      <c r="K7" s="9"/>
      <c r="L7" s="9"/>
      <c r="M7" s="9"/>
      <c r="N7" s="9"/>
      <c r="O7" s="9"/>
      <c r="P7" s="9"/>
      <c r="Q7" s="9"/>
      <c r="R7" s="13"/>
      <c r="S7" s="9"/>
      <c r="T7" s="13"/>
      <c r="U7" s="13"/>
      <c r="V7" s="316"/>
      <c r="X7" s="297" t="s">
        <v>85</v>
      </c>
      <c r="Y7" s="17"/>
      <c r="Z7" s="261" t="s">
        <v>85</v>
      </c>
    </row>
    <row r="8" spans="1:32" s="14" customFormat="1" ht="15">
      <c r="B8" s="15"/>
      <c r="D8" s="16"/>
      <c r="E8" s="17"/>
      <c r="F8" s="17"/>
      <c r="G8" s="17"/>
      <c r="H8" s="16"/>
      <c r="I8" s="17"/>
      <c r="J8" s="17"/>
      <c r="K8" s="17"/>
      <c r="L8" s="17"/>
      <c r="M8" s="17"/>
      <c r="N8" s="17"/>
      <c r="O8" s="17"/>
      <c r="P8" s="17"/>
      <c r="Q8" s="17"/>
      <c r="R8" s="16"/>
      <c r="S8" s="17"/>
      <c r="T8" s="17"/>
      <c r="U8" s="17"/>
      <c r="V8" s="17"/>
      <c r="X8" s="288"/>
      <c r="Y8" s="17"/>
      <c r="Z8" s="243"/>
    </row>
    <row r="9" spans="1:32" ht="15">
      <c r="A9" s="19" t="s">
        <v>4</v>
      </c>
      <c r="C9" s="2"/>
      <c r="D9" s="6"/>
      <c r="E9" s="21"/>
      <c r="F9" s="20"/>
      <c r="G9" s="21"/>
      <c r="H9" s="6"/>
      <c r="I9" s="21"/>
      <c r="J9" s="21"/>
      <c r="K9" s="21"/>
      <c r="L9" s="21"/>
      <c r="M9" s="21"/>
      <c r="N9" s="21"/>
      <c r="O9" s="21"/>
      <c r="P9" s="21"/>
      <c r="Q9" s="21"/>
      <c r="R9" s="6"/>
      <c r="S9" s="21"/>
      <c r="T9" s="21"/>
      <c r="U9" s="21"/>
      <c r="V9" s="21"/>
      <c r="X9" s="289"/>
      <c r="Y9" s="17"/>
      <c r="Z9" s="290"/>
    </row>
    <row r="10" spans="1:32" ht="15">
      <c r="D10" s="6"/>
      <c r="E10" s="21"/>
      <c r="F10" s="20"/>
      <c r="G10" s="21"/>
      <c r="H10" s="6"/>
      <c r="I10" s="21"/>
      <c r="J10" s="21"/>
      <c r="K10" s="21"/>
      <c r="L10" s="21"/>
      <c r="M10" s="21"/>
      <c r="N10" s="21"/>
      <c r="O10" s="21"/>
      <c r="P10" s="21"/>
      <c r="Q10" s="21"/>
      <c r="R10" s="6"/>
      <c r="S10" s="21"/>
      <c r="T10" s="21"/>
      <c r="U10" s="21"/>
      <c r="V10" s="21"/>
      <c r="X10" s="289"/>
      <c r="Y10" s="17"/>
      <c r="Z10" s="290"/>
    </row>
    <row r="11" spans="1:32">
      <c r="A11" s="22">
        <v>11</v>
      </c>
      <c r="B11" s="19" t="s">
        <v>5</v>
      </c>
      <c r="D11" s="6"/>
      <c r="E11" s="21"/>
      <c r="F11" s="20"/>
      <c r="G11" s="21"/>
      <c r="H11" s="20"/>
      <c r="I11" s="21"/>
      <c r="J11" s="21"/>
      <c r="K11" s="21"/>
      <c r="L11" s="21"/>
      <c r="M11" s="21"/>
      <c r="N11" s="21"/>
      <c r="O11" s="21"/>
      <c r="P11" s="21"/>
      <c r="Q11" s="21"/>
      <c r="R11" s="6"/>
      <c r="S11" s="21"/>
      <c r="T11" s="21"/>
      <c r="U11" s="21"/>
      <c r="V11" s="21"/>
    </row>
    <row r="12" spans="1:32">
      <c r="A12" s="23"/>
      <c r="C12" s="1" t="s">
        <v>6</v>
      </c>
      <c r="D12" s="20">
        <f>26959374.54+14076</f>
        <v>26973450.539999999</v>
      </c>
      <c r="E12" s="20">
        <v>0</v>
      </c>
      <c r="F12" s="20">
        <f>25584667.85+15184</f>
        <v>25599851.850000001</v>
      </c>
      <c r="G12" s="21"/>
      <c r="H12" s="20">
        <f>27428998.84+1+2485228</f>
        <v>29914227.84</v>
      </c>
      <c r="I12" s="21">
        <f>-'[3]08-09 budget'!K3213</f>
        <v>91888490</v>
      </c>
      <c r="J12" s="20">
        <f>26300423+1205300</f>
        <v>27505723</v>
      </c>
      <c r="K12" s="21"/>
      <c r="L12" s="173">
        <f>27055346</f>
        <v>27055346</v>
      </c>
      <c r="M12" s="21"/>
      <c r="N12" s="173">
        <v>28078357.010000002</v>
      </c>
      <c r="O12" s="21"/>
      <c r="P12" s="21">
        <v>55081244.380000003</v>
      </c>
      <c r="Q12" s="21"/>
      <c r="R12" s="21">
        <f>57489359-91957+22215-1246+14662</f>
        <v>57433033</v>
      </c>
      <c r="S12" s="21"/>
      <c r="T12" s="6">
        <v>57145383</v>
      </c>
      <c r="U12" s="21"/>
      <c r="V12" s="6">
        <f>59432678-30690-2055</f>
        <v>59399933</v>
      </c>
      <c r="X12" s="49">
        <f>+V12-T12</f>
        <v>2254550</v>
      </c>
      <c r="Y12" s="11"/>
      <c r="Z12" s="64">
        <f>+X12/T12</f>
        <v>3.945288108402388E-2</v>
      </c>
      <c r="AB12" s="1" t="s">
        <v>85</v>
      </c>
    </row>
    <row r="13" spans="1:32" ht="15" customHeight="1">
      <c r="A13" s="23"/>
      <c r="C13" s="1" t="s">
        <v>7</v>
      </c>
      <c r="D13" s="20">
        <v>296151.78999999998</v>
      </c>
      <c r="E13" s="20">
        <v>0</v>
      </c>
      <c r="F13" s="20">
        <v>366955.42</v>
      </c>
      <c r="G13" s="21"/>
      <c r="H13" s="20">
        <f>350534.33+87717</f>
        <v>438251.33</v>
      </c>
      <c r="I13" s="21">
        <f>-'[3]08-09 budget'!K3559</f>
        <v>957554.85</v>
      </c>
      <c r="J13" s="20">
        <v>395149.57</v>
      </c>
      <c r="K13" s="21"/>
      <c r="L13" s="173">
        <v>404041</v>
      </c>
      <c r="M13" s="21"/>
      <c r="N13" s="173">
        <v>448778.68</v>
      </c>
      <c r="O13" s="21"/>
      <c r="P13" s="21">
        <v>782352.59</v>
      </c>
      <c r="Q13" s="21"/>
      <c r="R13" s="21">
        <v>674013</v>
      </c>
      <c r="S13" s="21"/>
      <c r="T13" s="6">
        <v>877652.88</v>
      </c>
      <c r="U13" s="21"/>
      <c r="V13" s="6">
        <v>570322</v>
      </c>
      <c r="X13" s="21">
        <f>+V13-T13</f>
        <v>-307330.88</v>
      </c>
      <c r="Y13" s="11"/>
      <c r="Z13" s="64">
        <f t="shared" ref="Z13:Z16" si="0">+X13/T13</f>
        <v>-0.35017361305759059</v>
      </c>
    </row>
    <row r="14" spans="1:32" ht="13.5" customHeight="1">
      <c r="A14" s="23"/>
      <c r="C14" s="1" t="s">
        <v>8</v>
      </c>
      <c r="D14" s="20">
        <v>1136836.6100000001</v>
      </c>
      <c r="E14" s="20">
        <v>0</v>
      </c>
      <c r="F14" s="20">
        <v>1086874.23</v>
      </c>
      <c r="G14" s="21"/>
      <c r="H14" s="20">
        <f>1211862.19+43283</f>
        <v>1255145.19</v>
      </c>
      <c r="I14" s="21">
        <f>-'[3]08-09 budget'!K4942</f>
        <v>3230058.1899999995</v>
      </c>
      <c r="J14" s="20">
        <v>1059720.44</v>
      </c>
      <c r="K14" s="21"/>
      <c r="L14" s="173">
        <v>1115292</v>
      </c>
      <c r="M14" s="21"/>
      <c r="N14" s="173">
        <v>1620736.46</v>
      </c>
      <c r="O14" s="21"/>
      <c r="P14" s="21">
        <f>1420811.44+237.98</f>
        <v>1421049.42</v>
      </c>
      <c r="Q14" s="21"/>
      <c r="R14" s="21">
        <v>1946154</v>
      </c>
      <c r="S14" s="21"/>
      <c r="T14" s="6">
        <v>1545476</v>
      </c>
      <c r="U14" s="274" t="s">
        <v>85</v>
      </c>
      <c r="V14" s="6">
        <v>1485416</v>
      </c>
      <c r="X14" s="21">
        <f t="shared" ref="X14:X16" si="1">+V14-T14</f>
        <v>-60060</v>
      </c>
      <c r="Y14" s="11"/>
      <c r="Z14" s="64">
        <f t="shared" si="0"/>
        <v>-3.8861813447766257E-2</v>
      </c>
    </row>
    <row r="15" spans="1:32">
      <c r="A15" s="23"/>
      <c r="C15" s="1" t="s">
        <v>9</v>
      </c>
      <c r="D15" s="20">
        <v>113018.98</v>
      </c>
      <c r="E15" s="20">
        <v>0</v>
      </c>
      <c r="F15" s="20">
        <v>165368.4</v>
      </c>
      <c r="G15" s="21"/>
      <c r="H15" s="20">
        <f>85848.67+21800</f>
        <v>107648.67</v>
      </c>
      <c r="I15" s="21">
        <f>-'[3]08-09 budget'!K5172</f>
        <v>339525</v>
      </c>
      <c r="J15" s="20">
        <v>91007.71</v>
      </c>
      <c r="K15" s="21"/>
      <c r="L15" s="173">
        <v>67220</v>
      </c>
      <c r="M15" s="21"/>
      <c r="N15" s="173">
        <v>95638.28</v>
      </c>
      <c r="O15" s="21"/>
      <c r="P15" s="21">
        <v>111361.13</v>
      </c>
      <c r="Q15" s="21"/>
      <c r="R15" s="21">
        <v>139615</v>
      </c>
      <c r="S15" s="21"/>
      <c r="T15" s="6">
        <v>123722</v>
      </c>
      <c r="U15" s="21"/>
      <c r="V15" s="6">
        <v>117276</v>
      </c>
      <c r="X15" s="21">
        <f t="shared" si="1"/>
        <v>-6446</v>
      </c>
      <c r="Y15" s="11"/>
      <c r="Z15" s="64">
        <f t="shared" si="0"/>
        <v>-5.21006773249705E-2</v>
      </c>
    </row>
    <row r="16" spans="1:32">
      <c r="A16" s="23"/>
      <c r="C16" s="1" t="s">
        <v>10</v>
      </c>
      <c r="D16" s="20">
        <v>30000</v>
      </c>
      <c r="E16" s="20">
        <v>0</v>
      </c>
      <c r="F16" s="20">
        <v>0</v>
      </c>
      <c r="G16" s="21"/>
      <c r="H16" s="20">
        <f>SUM('[3]08-09 Expenses-Adj'!H6:H15)</f>
        <v>0</v>
      </c>
      <c r="I16" s="21">
        <v>0</v>
      </c>
      <c r="J16" s="20">
        <v>8572.02</v>
      </c>
      <c r="K16" s="21"/>
      <c r="L16" s="173">
        <v>8355</v>
      </c>
      <c r="M16" s="21"/>
      <c r="N16" s="173">
        <v>79990</v>
      </c>
      <c r="O16" s="21"/>
      <c r="P16" s="21">
        <v>28943.439999999999</v>
      </c>
      <c r="Q16" s="21"/>
      <c r="R16" s="21">
        <v>11308</v>
      </c>
      <c r="S16" s="21"/>
      <c r="T16" s="6">
        <v>7620</v>
      </c>
      <c r="U16" s="21"/>
      <c r="V16" s="6">
        <v>10007</v>
      </c>
      <c r="X16" s="21">
        <f t="shared" si="1"/>
        <v>2387</v>
      </c>
      <c r="Y16" s="11"/>
      <c r="Z16" s="64">
        <f t="shared" si="0"/>
        <v>0.31325459317585302</v>
      </c>
    </row>
    <row r="17" spans="1:28">
      <c r="A17" s="23"/>
      <c r="C17" s="22" t="s">
        <v>11</v>
      </c>
      <c r="D17" s="151">
        <f>SUM(D12:D16)</f>
        <v>28549457.919999998</v>
      </c>
      <c r="E17" s="21"/>
      <c r="F17" s="151">
        <f>SUM(F12:F16)</f>
        <v>27219049.900000002</v>
      </c>
      <c r="G17" s="21"/>
      <c r="H17" s="25">
        <f>SUM(H12:H16)</f>
        <v>31715273.030000001</v>
      </c>
      <c r="I17" s="25">
        <f>SUM(I12:I16)</f>
        <v>96415628.039999992</v>
      </c>
      <c r="J17" s="25">
        <f>SUM(J12:J16)</f>
        <v>29060172.740000002</v>
      </c>
      <c r="K17" s="21"/>
      <c r="L17" s="25">
        <f>SUM(L12:L16)</f>
        <v>28650254</v>
      </c>
      <c r="M17" s="21"/>
      <c r="N17" s="25">
        <f>SUM(N12:N16)</f>
        <v>30323500.430000003</v>
      </c>
      <c r="O17" s="21"/>
      <c r="P17" s="25">
        <f>SUM(P12:P16)</f>
        <v>57424950.960000008</v>
      </c>
      <c r="Q17" s="21"/>
      <c r="R17" s="151">
        <f>SUM(R12:R16)</f>
        <v>60204123</v>
      </c>
      <c r="S17" s="21"/>
      <c r="T17" s="25">
        <f>SUM(T12:T16)</f>
        <v>59699853.880000003</v>
      </c>
      <c r="U17" s="21"/>
      <c r="V17" s="25">
        <f>SUM(V12:V16)</f>
        <v>61582954</v>
      </c>
      <c r="X17" s="298">
        <f>SUM(X12:X16)</f>
        <v>1883100.12</v>
      </c>
      <c r="Z17" s="245">
        <f>+X17/T17</f>
        <v>3.1542792781120287E-2</v>
      </c>
    </row>
    <row r="18" spans="1:28">
      <c r="A18" s="23"/>
      <c r="D18" s="6"/>
      <c r="E18" s="21"/>
      <c r="F18" s="20"/>
      <c r="G18" s="21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6"/>
      <c r="U18" s="21"/>
      <c r="V18" s="6"/>
    </row>
    <row r="19" spans="1:28">
      <c r="A19" s="22">
        <v>12</v>
      </c>
      <c r="B19" s="19" t="s">
        <v>12</v>
      </c>
      <c r="D19" s="6"/>
      <c r="E19" s="21"/>
      <c r="F19" s="20"/>
      <c r="G19" s="21"/>
      <c r="H19" s="2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6"/>
      <c r="U19" s="21"/>
      <c r="V19" s="6"/>
    </row>
    <row r="20" spans="1:28">
      <c r="A20" s="23"/>
      <c r="C20" s="1" t="s">
        <v>6</v>
      </c>
      <c r="D20" s="20">
        <f>144469.11+551792.9</f>
        <v>696262.01</v>
      </c>
      <c r="E20" s="20">
        <v>0</v>
      </c>
      <c r="F20" s="20">
        <f>592145.8+147341.51</f>
        <v>739487.31</v>
      </c>
      <c r="G20" s="20">
        <v>0</v>
      </c>
      <c r="H20" s="20">
        <f>613430.15+148340.21+9033</f>
        <v>770803.36</v>
      </c>
      <c r="I20" s="20">
        <v>0</v>
      </c>
      <c r="J20" s="20">
        <f>517883.22+145880.69</f>
        <v>663763.90999999992</v>
      </c>
      <c r="K20" s="20">
        <v>0</v>
      </c>
      <c r="L20" s="173">
        <v>672572.93</v>
      </c>
      <c r="M20" s="173"/>
      <c r="N20" s="173">
        <v>684042.56</v>
      </c>
      <c r="O20" s="173"/>
      <c r="P20" s="21">
        <f>952031+173627.94</f>
        <v>1125658.94</v>
      </c>
      <c r="Q20" s="173"/>
      <c r="R20" s="21">
        <f>784056+178744</f>
        <v>962800</v>
      </c>
      <c r="S20" s="20"/>
      <c r="T20" s="6">
        <v>1113766</v>
      </c>
      <c r="U20" s="21"/>
      <c r="V20" s="6">
        <v>1088033</v>
      </c>
      <c r="X20" s="49">
        <f>+V20-T20</f>
        <v>-25733</v>
      </c>
      <c r="Y20" s="11"/>
      <c r="Z20" s="64">
        <f>+X20/T20</f>
        <v>-2.3104494121745502E-2</v>
      </c>
      <c r="AB20" s="1" t="s">
        <v>85</v>
      </c>
    </row>
    <row r="21" spans="1:28">
      <c r="A21" s="23"/>
      <c r="C21" s="1" t="s">
        <v>7</v>
      </c>
      <c r="D21" s="20">
        <f>2109.91+5050.03</f>
        <v>7159.94</v>
      </c>
      <c r="E21" s="20">
        <v>0</v>
      </c>
      <c r="F21" s="20">
        <f>7407.71+1087.62</f>
        <v>8495.33</v>
      </c>
      <c r="G21" s="20">
        <v>0</v>
      </c>
      <c r="H21" s="20">
        <f>3936.75+2754.09</f>
        <v>6690.84</v>
      </c>
      <c r="I21" s="20">
        <v>0</v>
      </c>
      <c r="J21" s="20">
        <f>207.52+3570.2</f>
        <v>3777.72</v>
      </c>
      <c r="K21" s="20">
        <v>0</v>
      </c>
      <c r="L21" s="173">
        <v>6237.49</v>
      </c>
      <c r="M21" s="173"/>
      <c r="N21" s="173">
        <v>7118.77</v>
      </c>
      <c r="O21" s="173"/>
      <c r="P21" s="21">
        <f>225+1591.56</f>
        <v>1816.56</v>
      </c>
      <c r="Q21" s="173"/>
      <c r="R21" s="21">
        <f>3192+580</f>
        <v>3772</v>
      </c>
      <c r="S21" s="20"/>
      <c r="T21" s="6">
        <f>1907+195</f>
        <v>2102</v>
      </c>
      <c r="U21" s="21"/>
      <c r="V21" s="6">
        <v>1561</v>
      </c>
      <c r="X21" s="21">
        <f>+V21-T21</f>
        <v>-541</v>
      </c>
      <c r="Y21" s="11"/>
      <c r="Z21" s="64">
        <f t="shared" ref="Z21:Z23" si="2">+X21/T21</f>
        <v>-0.25737392959086586</v>
      </c>
    </row>
    <row r="22" spans="1:28">
      <c r="A22" s="23"/>
      <c r="C22" s="1" t="s">
        <v>8</v>
      </c>
      <c r="D22" s="20">
        <f>53835.55+117557.02</f>
        <v>171392.57</v>
      </c>
      <c r="E22" s="20">
        <v>0</v>
      </c>
      <c r="F22" s="20">
        <f>98576.72+64194.68</f>
        <v>162771.4</v>
      </c>
      <c r="G22" s="20">
        <v>0</v>
      </c>
      <c r="H22" s="20">
        <f>124051.18+69430.8</f>
        <v>193481.97999999998</v>
      </c>
      <c r="I22" s="20">
        <v>0</v>
      </c>
      <c r="J22" s="20">
        <f>108043.84+57435.28</f>
        <v>165479.12</v>
      </c>
      <c r="K22" s="20">
        <v>0</v>
      </c>
      <c r="L22" s="173">
        <v>147948.68</v>
      </c>
      <c r="M22" s="173"/>
      <c r="N22" s="173">
        <v>140284.29999999999</v>
      </c>
      <c r="O22" s="173"/>
      <c r="P22" s="21">
        <f>133191+39688.48</f>
        <v>172879.48</v>
      </c>
      <c r="Q22" s="173"/>
      <c r="R22" s="21">
        <f>38308+154747</f>
        <v>193055</v>
      </c>
      <c r="S22" s="20"/>
      <c r="T22" s="6">
        <v>202022</v>
      </c>
      <c r="U22" s="21"/>
      <c r="V22" s="6">
        <v>148550</v>
      </c>
      <c r="X22" s="21">
        <f t="shared" ref="X22:X24" si="3">+V22-T22</f>
        <v>-53472</v>
      </c>
      <c r="Y22" s="11"/>
      <c r="Z22" s="64">
        <f t="shared" si="2"/>
        <v>-0.26468404431200565</v>
      </c>
    </row>
    <row r="23" spans="1:28">
      <c r="A23" s="23"/>
      <c r="C23" s="1" t="s">
        <v>9</v>
      </c>
      <c r="D23" s="20">
        <f>5421.28+1287.39</f>
        <v>6708.67</v>
      </c>
      <c r="E23" s="20">
        <v>0</v>
      </c>
      <c r="F23" s="20">
        <f>1112.74+1576.75</f>
        <v>2689.49</v>
      </c>
      <c r="G23" s="20">
        <v>0</v>
      </c>
      <c r="H23" s="20">
        <f>501.44+1667.18</f>
        <v>2168.62</v>
      </c>
      <c r="I23" s="20">
        <v>0</v>
      </c>
      <c r="J23" s="20">
        <f>1000+302.15</f>
        <v>1302.1500000000001</v>
      </c>
      <c r="K23" s="20">
        <v>0</v>
      </c>
      <c r="L23" s="173">
        <v>1334.34</v>
      </c>
      <c r="M23" s="173"/>
      <c r="N23" s="173">
        <v>1884.18</v>
      </c>
      <c r="O23" s="173"/>
      <c r="P23" s="21">
        <f>8845+182</f>
        <v>9027</v>
      </c>
      <c r="Q23" s="173"/>
      <c r="R23" s="21">
        <f>250+9972</f>
        <v>10222</v>
      </c>
      <c r="S23" s="20">
        <v>2700</v>
      </c>
      <c r="T23" s="6">
        <v>8330</v>
      </c>
      <c r="U23" s="21"/>
      <c r="V23" s="6">
        <v>10556</v>
      </c>
      <c r="X23" s="21">
        <f t="shared" si="3"/>
        <v>2226</v>
      </c>
      <c r="Y23" s="11"/>
      <c r="Z23" s="64">
        <f t="shared" si="2"/>
        <v>0.26722689075630252</v>
      </c>
    </row>
    <row r="24" spans="1:28">
      <c r="A24" s="23"/>
      <c r="C24" s="1" t="s">
        <v>10</v>
      </c>
      <c r="D24" s="20">
        <v>2499.98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173">
        <v>0</v>
      </c>
      <c r="M24" s="173"/>
      <c r="N24" s="173">
        <v>0</v>
      </c>
      <c r="O24" s="173"/>
      <c r="P24" s="21">
        <v>0</v>
      </c>
      <c r="Q24" s="173"/>
      <c r="R24" s="21">
        <f>125000-125000</f>
        <v>0</v>
      </c>
      <c r="S24" s="20"/>
      <c r="T24" s="6">
        <v>0</v>
      </c>
      <c r="U24" s="21"/>
      <c r="V24" s="6">
        <f>125000-125000</f>
        <v>0</v>
      </c>
      <c r="X24" s="21">
        <f t="shared" si="3"/>
        <v>0</v>
      </c>
      <c r="Y24" s="11"/>
      <c r="Z24" s="64">
        <v>0</v>
      </c>
    </row>
    <row r="25" spans="1:28">
      <c r="A25" s="23"/>
      <c r="C25" s="22" t="s">
        <v>11</v>
      </c>
      <c r="D25" s="25">
        <f>SUM(D20:D24)</f>
        <v>884023.17</v>
      </c>
      <c r="E25" s="21"/>
      <c r="F25" s="25">
        <f>SUM(F20:F24)</f>
        <v>913443.53</v>
      </c>
      <c r="G25" s="21"/>
      <c r="H25" s="25">
        <f>SUM(H20:H24)</f>
        <v>973144.79999999993</v>
      </c>
      <c r="I25" s="25">
        <f>SUM(I20:I24)</f>
        <v>0</v>
      </c>
      <c r="J25" s="25">
        <f>SUM(J20:J24)</f>
        <v>834322.89999999991</v>
      </c>
      <c r="K25" s="21"/>
      <c r="L25" s="25">
        <f>SUM(L20:L24)</f>
        <v>828093.44000000006</v>
      </c>
      <c r="M25" s="21"/>
      <c r="N25" s="25">
        <f>SUM(N20:N24)</f>
        <v>833329.81000000017</v>
      </c>
      <c r="O25" s="21"/>
      <c r="P25" s="25">
        <f>SUM(P20:P24)</f>
        <v>1309381.98</v>
      </c>
      <c r="Q25" s="21"/>
      <c r="R25" s="151">
        <f>SUM(R20:R24)</f>
        <v>1169849</v>
      </c>
      <c r="S25" s="21"/>
      <c r="T25" s="25">
        <f>SUM(T20:T24)</f>
        <v>1326220</v>
      </c>
      <c r="U25" s="21"/>
      <c r="V25" s="25">
        <f>SUM(V20:V24)</f>
        <v>1248700</v>
      </c>
      <c r="X25" s="298">
        <f>SUM(X20:X24)</f>
        <v>-77520</v>
      </c>
      <c r="Z25" s="245">
        <f>+X25/T25</f>
        <v>-5.8451840569437953E-2</v>
      </c>
    </row>
    <row r="26" spans="1:28">
      <c r="R26" s="32"/>
      <c r="T26" s="1"/>
      <c r="V26" s="1"/>
    </row>
    <row r="27" spans="1:28">
      <c r="A27" s="22">
        <v>13</v>
      </c>
      <c r="B27" s="19" t="s">
        <v>13</v>
      </c>
      <c r="D27" s="6"/>
      <c r="E27" s="21"/>
      <c r="F27" s="20"/>
      <c r="G27" s="21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6"/>
      <c r="U27" s="21"/>
      <c r="V27" s="6"/>
    </row>
    <row r="28" spans="1:28">
      <c r="A28" s="23"/>
      <c r="C28" s="1" t="s">
        <v>6</v>
      </c>
      <c r="D28" s="20">
        <v>123903.66</v>
      </c>
      <c r="E28" s="20">
        <v>0</v>
      </c>
      <c r="F28" s="20">
        <v>7104.47</v>
      </c>
      <c r="G28" s="20">
        <v>0</v>
      </c>
      <c r="H28" s="20">
        <f>147459.4+81066</f>
        <v>228525.4</v>
      </c>
      <c r="I28" s="20">
        <v>0</v>
      </c>
      <c r="J28" s="20">
        <v>194783.6</v>
      </c>
      <c r="K28" s="20">
        <v>0</v>
      </c>
      <c r="L28" s="173">
        <v>197205.02</v>
      </c>
      <c r="M28" s="173"/>
      <c r="N28" s="173">
        <v>280830.37</v>
      </c>
      <c r="O28" s="173"/>
      <c r="P28" s="21">
        <v>610998.92000000004</v>
      </c>
      <c r="Q28" s="173"/>
      <c r="R28" s="21">
        <v>1313370</v>
      </c>
      <c r="S28" s="20"/>
      <c r="T28" s="6">
        <v>1207591</v>
      </c>
      <c r="U28" s="21"/>
      <c r="V28" s="6">
        <v>1191272</v>
      </c>
      <c r="X28" s="49">
        <f>+V28-T28</f>
        <v>-16319</v>
      </c>
      <c r="Y28" s="11"/>
      <c r="Z28" s="64">
        <f>+X28/T28</f>
        <v>-1.3513681370596501E-2</v>
      </c>
    </row>
    <row r="29" spans="1:28">
      <c r="A29" s="23"/>
      <c r="C29" s="1" t="s">
        <v>7</v>
      </c>
      <c r="D29" s="20">
        <v>22373.93</v>
      </c>
      <c r="E29" s="20">
        <v>0</v>
      </c>
      <c r="F29" s="20">
        <v>0</v>
      </c>
      <c r="G29" s="20">
        <v>0</v>
      </c>
      <c r="H29" s="20">
        <f>43087.62+16165</f>
        <v>59252.62</v>
      </c>
      <c r="I29" s="20">
        <v>0</v>
      </c>
      <c r="J29" s="20">
        <v>77792.25</v>
      </c>
      <c r="K29" s="20">
        <v>0</v>
      </c>
      <c r="L29" s="173">
        <v>82385.070000000007</v>
      </c>
      <c r="M29" s="173"/>
      <c r="N29" s="173">
        <v>86096.11</v>
      </c>
      <c r="O29" s="173"/>
      <c r="P29" s="21">
        <v>40475.120000000003</v>
      </c>
      <c r="Q29" s="173"/>
      <c r="R29" s="21">
        <v>87455</v>
      </c>
      <c r="S29" s="20"/>
      <c r="T29" s="6">
        <v>94142</v>
      </c>
      <c r="U29" s="21"/>
      <c r="V29" s="6">
        <v>75953</v>
      </c>
      <c r="X29" s="21">
        <f>+V29-T29</f>
        <v>-18189</v>
      </c>
      <c r="Y29" s="11"/>
      <c r="Z29" s="64">
        <f t="shared" ref="Z29:Z31" si="4">+X29/T29</f>
        <v>-0.19320813239574261</v>
      </c>
    </row>
    <row r="30" spans="1:28">
      <c r="A30" s="23"/>
      <c r="C30" s="1" t="s">
        <v>8</v>
      </c>
      <c r="D30" s="20">
        <v>40723.089999999997</v>
      </c>
      <c r="E30" s="20">
        <v>0</v>
      </c>
      <c r="F30" s="20">
        <v>12276.17</v>
      </c>
      <c r="G30" s="20">
        <v>0</v>
      </c>
      <c r="H30" s="20">
        <f>48583.59+4729</f>
        <v>53312.59</v>
      </c>
      <c r="I30" s="20">
        <v>0</v>
      </c>
      <c r="J30" s="20">
        <v>46369.64</v>
      </c>
      <c r="K30" s="20">
        <v>0</v>
      </c>
      <c r="L30" s="173">
        <v>36560.550000000003</v>
      </c>
      <c r="M30" s="173"/>
      <c r="N30" s="173">
        <v>51832.18</v>
      </c>
      <c r="O30" s="173"/>
      <c r="P30" s="21">
        <v>20338.77</v>
      </c>
      <c r="Q30" s="173"/>
      <c r="R30" s="21">
        <v>82804</v>
      </c>
      <c r="S30" s="20"/>
      <c r="T30" s="6">
        <v>79619</v>
      </c>
      <c r="U30" s="21"/>
      <c r="V30" s="6">
        <v>72081</v>
      </c>
      <c r="X30" s="21">
        <f t="shared" ref="X30:X32" si="5">+V30-T30</f>
        <v>-7538</v>
      </c>
      <c r="Y30" s="11"/>
      <c r="Z30" s="64">
        <f t="shared" si="4"/>
        <v>-9.4675893944912645E-2</v>
      </c>
    </row>
    <row r="31" spans="1:28">
      <c r="A31" s="23"/>
      <c r="C31" s="1" t="s">
        <v>9</v>
      </c>
      <c r="D31" s="20">
        <f>110005.35+701.8</f>
        <v>110707.15000000001</v>
      </c>
      <c r="E31" s="20">
        <v>0</v>
      </c>
      <c r="F31" s="20">
        <f>38705.65+871.05</f>
        <v>39576.700000000004</v>
      </c>
      <c r="G31" s="20">
        <v>0</v>
      </c>
      <c r="H31" s="20">
        <f>139427.93+1016.9+10</f>
        <v>140454.82999999999</v>
      </c>
      <c r="I31" s="20">
        <v>0</v>
      </c>
      <c r="J31" s="20">
        <f>86447.66+442.07</f>
        <v>86889.73000000001</v>
      </c>
      <c r="K31" s="20">
        <v>0</v>
      </c>
      <c r="L31" s="173">
        <v>96437.27</v>
      </c>
      <c r="M31" s="173"/>
      <c r="N31" s="173">
        <v>103124.13</v>
      </c>
      <c r="O31" s="173"/>
      <c r="P31" s="21">
        <f>1026.44+143340.86</f>
        <v>144367.29999999999</v>
      </c>
      <c r="Q31" s="173"/>
      <c r="R31" s="21">
        <f>1250+271003</f>
        <v>272253</v>
      </c>
      <c r="S31" s="20"/>
      <c r="T31" s="6">
        <v>154236</v>
      </c>
      <c r="U31" s="21"/>
      <c r="V31" s="6">
        <v>91910</v>
      </c>
      <c r="X31" s="21">
        <f t="shared" si="5"/>
        <v>-62326</v>
      </c>
      <c r="Y31" s="11"/>
      <c r="Z31" s="64">
        <f t="shared" si="4"/>
        <v>-0.40409502321118285</v>
      </c>
    </row>
    <row r="32" spans="1:28">
      <c r="A32" s="23"/>
      <c r="C32" s="1" t="s">
        <v>10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173">
        <v>0</v>
      </c>
      <c r="M32" s="173"/>
      <c r="N32" s="173">
        <v>0</v>
      </c>
      <c r="O32" s="173"/>
      <c r="P32" s="21">
        <v>0</v>
      </c>
      <c r="Q32" s="173"/>
      <c r="R32" s="21">
        <v>0</v>
      </c>
      <c r="S32" s="20"/>
      <c r="T32" s="6"/>
      <c r="U32" s="21"/>
      <c r="V32" s="6">
        <v>0</v>
      </c>
      <c r="X32" s="21">
        <f t="shared" si="5"/>
        <v>0</v>
      </c>
      <c r="Y32" s="11"/>
      <c r="Z32" s="64">
        <v>0</v>
      </c>
    </row>
    <row r="33" spans="1:26">
      <c r="A33" s="23"/>
      <c r="C33" s="22" t="s">
        <v>11</v>
      </c>
      <c r="D33" s="25">
        <f>SUM(D28:D32)</f>
        <v>297707.83</v>
      </c>
      <c r="E33" s="21"/>
      <c r="F33" s="25">
        <f>SUM(F28:F32)</f>
        <v>58957.340000000004</v>
      </c>
      <c r="G33" s="21"/>
      <c r="H33" s="25">
        <f>SUM(H28:H32)</f>
        <v>481545.43999999994</v>
      </c>
      <c r="I33" s="25">
        <f>SUM(I28:I32)</f>
        <v>0</v>
      </c>
      <c r="J33" s="25">
        <f>SUM(J28:J32)</f>
        <v>405835.22</v>
      </c>
      <c r="K33" s="21"/>
      <c r="L33" s="25">
        <f>SUM(L28:L32)</f>
        <v>412587.91</v>
      </c>
      <c r="M33" s="21"/>
      <c r="N33" s="25">
        <f>SUM(N28:N32)</f>
        <v>521882.79</v>
      </c>
      <c r="O33" s="21"/>
      <c r="P33" s="25">
        <f>SUM(P28:P32)</f>
        <v>816180.1100000001</v>
      </c>
      <c r="Q33" s="21"/>
      <c r="R33" s="151">
        <f>SUM(R28:R32)</f>
        <v>1755882</v>
      </c>
      <c r="S33" s="21"/>
      <c r="T33" s="25">
        <f>SUM(T28:T32)</f>
        <v>1535588</v>
      </c>
      <c r="U33" s="21"/>
      <c r="V33" s="25">
        <f>SUM(V28:V32)</f>
        <v>1431216</v>
      </c>
      <c r="X33" s="298">
        <f>SUM(X28:X32)</f>
        <v>-104372</v>
      </c>
      <c r="Z33" s="245">
        <f>+X33/T33</f>
        <v>-6.7968752035051067E-2</v>
      </c>
    </row>
    <row r="34" spans="1:26">
      <c r="R34" s="32"/>
      <c r="T34" s="1"/>
      <c r="V34" s="1"/>
    </row>
    <row r="35" spans="1:26">
      <c r="A35" s="22">
        <v>21</v>
      </c>
      <c r="B35" s="19" t="s">
        <v>14</v>
      </c>
      <c r="D35" s="6"/>
      <c r="E35" s="21"/>
      <c r="F35" s="20"/>
      <c r="G35" s="21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6"/>
      <c r="U35" s="21"/>
      <c r="V35" s="6"/>
    </row>
    <row r="36" spans="1:26">
      <c r="A36" s="23"/>
      <c r="C36" s="1" t="s">
        <v>6</v>
      </c>
      <c r="D36" s="20">
        <v>529501.78</v>
      </c>
      <c r="E36" s="20">
        <v>0</v>
      </c>
      <c r="F36" s="20">
        <v>543136.97</v>
      </c>
      <c r="G36" s="20">
        <v>0</v>
      </c>
      <c r="H36" s="20">
        <v>553550.73</v>
      </c>
      <c r="I36" s="20">
        <v>0</v>
      </c>
      <c r="J36" s="20">
        <v>472930.91</v>
      </c>
      <c r="K36" s="20">
        <v>0</v>
      </c>
      <c r="L36" s="173">
        <v>485807.64</v>
      </c>
      <c r="M36" s="173"/>
      <c r="N36" s="173">
        <v>505972.27</v>
      </c>
      <c r="O36" s="173"/>
      <c r="P36" s="21">
        <v>928340.17</v>
      </c>
      <c r="Q36" s="173"/>
      <c r="R36" s="21">
        <v>1165679</v>
      </c>
      <c r="S36" s="20"/>
      <c r="T36" s="6">
        <v>1242244</v>
      </c>
      <c r="U36" s="21"/>
      <c r="V36" s="6">
        <v>1300129</v>
      </c>
      <c r="X36" s="49">
        <f>+V36-T36</f>
        <v>57885</v>
      </c>
      <c r="Y36" s="11"/>
      <c r="Z36" s="64">
        <f>+X36/T36</f>
        <v>4.6597125846452064E-2</v>
      </c>
    </row>
    <row r="37" spans="1:26">
      <c r="A37" s="23"/>
      <c r="C37" s="1" t="s">
        <v>7</v>
      </c>
      <c r="D37" s="20">
        <v>3010.07</v>
      </c>
      <c r="E37" s="20">
        <v>0</v>
      </c>
      <c r="F37" s="20">
        <v>3300.34</v>
      </c>
      <c r="G37" s="20">
        <v>0</v>
      </c>
      <c r="H37" s="20">
        <v>7938.25</v>
      </c>
      <c r="I37" s="20">
        <v>0</v>
      </c>
      <c r="J37" s="20">
        <v>3388.31</v>
      </c>
      <c r="K37" s="20">
        <v>0</v>
      </c>
      <c r="L37" s="173">
        <v>5962.92</v>
      </c>
      <c r="M37" s="173"/>
      <c r="N37" s="173">
        <v>2293.46</v>
      </c>
      <c r="O37" s="173"/>
      <c r="P37" s="21">
        <v>6310.15</v>
      </c>
      <c r="Q37" s="173"/>
      <c r="R37" s="21">
        <v>11130</v>
      </c>
      <c r="S37" s="20"/>
      <c r="T37" s="6">
        <v>12109</v>
      </c>
      <c r="U37" s="21"/>
      <c r="V37" s="6">
        <v>6275</v>
      </c>
      <c r="X37" s="21">
        <f>+V37-T37</f>
        <v>-5834</v>
      </c>
      <c r="Y37" s="11"/>
      <c r="Z37" s="64">
        <f t="shared" ref="Z37:Z39" si="6">+X37/T37</f>
        <v>-0.48179040383186061</v>
      </c>
    </row>
    <row r="38" spans="1:26">
      <c r="A38" s="23"/>
      <c r="C38" s="1" t="s">
        <v>8</v>
      </c>
      <c r="D38" s="20">
        <v>19210.75</v>
      </c>
      <c r="E38" s="20">
        <v>0</v>
      </c>
      <c r="F38" s="20">
        <v>12599.81</v>
      </c>
      <c r="G38" s="20">
        <v>0</v>
      </c>
      <c r="H38" s="20">
        <v>18674.48</v>
      </c>
      <c r="I38" s="20">
        <v>0</v>
      </c>
      <c r="J38" s="20">
        <v>12148</v>
      </c>
      <c r="K38" s="20">
        <v>0</v>
      </c>
      <c r="L38" s="173">
        <v>7890.27</v>
      </c>
      <c r="M38" s="173"/>
      <c r="N38" s="173">
        <v>12811.77</v>
      </c>
      <c r="O38" s="173"/>
      <c r="P38" s="21">
        <v>15667.52</v>
      </c>
      <c r="Q38" s="173"/>
      <c r="R38" s="21">
        <v>29250</v>
      </c>
      <c r="S38" s="20"/>
      <c r="T38" s="6">
        <v>11021</v>
      </c>
      <c r="U38" s="21"/>
      <c r="V38" s="6">
        <v>18025</v>
      </c>
      <c r="X38" s="21">
        <f t="shared" ref="X38:X40" si="7">+V38-T38</f>
        <v>7004</v>
      </c>
      <c r="Y38" s="11"/>
      <c r="Z38" s="64">
        <f t="shared" si="6"/>
        <v>0.63551401869158874</v>
      </c>
    </row>
    <row r="39" spans="1:26">
      <c r="A39" s="23"/>
      <c r="C39" s="1" t="s">
        <v>9</v>
      </c>
      <c r="D39" s="20">
        <v>7423.39</v>
      </c>
      <c r="E39" s="20">
        <v>0</v>
      </c>
      <c r="F39" s="20">
        <v>7828</v>
      </c>
      <c r="G39" s="20">
        <v>0</v>
      </c>
      <c r="H39" s="20">
        <v>10520.78</v>
      </c>
      <c r="I39" s="20">
        <v>0</v>
      </c>
      <c r="J39" s="20">
        <v>8374.2099999999991</v>
      </c>
      <c r="K39" s="20">
        <v>0</v>
      </c>
      <c r="L39" s="173">
        <v>8469.82</v>
      </c>
      <c r="M39" s="173"/>
      <c r="N39" s="173">
        <v>11017.05</v>
      </c>
      <c r="O39" s="173"/>
      <c r="P39" s="21">
        <v>22983.27</v>
      </c>
      <c r="Q39" s="173"/>
      <c r="R39" s="21">
        <v>41810</v>
      </c>
      <c r="S39" s="20"/>
      <c r="T39" s="6">
        <v>32914</v>
      </c>
      <c r="U39" s="21"/>
      <c r="V39" s="6">
        <v>28035</v>
      </c>
      <c r="X39" s="21">
        <f t="shared" si="7"/>
        <v>-4879</v>
      </c>
      <c r="Y39" s="11"/>
      <c r="Z39" s="64">
        <f t="shared" si="6"/>
        <v>-0.14823479370480647</v>
      </c>
    </row>
    <row r="40" spans="1:26">
      <c r="A40" s="23"/>
      <c r="C40" s="1" t="s">
        <v>10</v>
      </c>
      <c r="D40" s="6">
        <v>0</v>
      </c>
      <c r="E40" s="21"/>
      <c r="F40" s="20">
        <v>0</v>
      </c>
      <c r="G40" s="21"/>
      <c r="H40" s="20">
        <f>+'[3]08-09 Expenses-Adj'!H18</f>
        <v>0</v>
      </c>
      <c r="I40" s="21">
        <v>0</v>
      </c>
      <c r="J40" s="21">
        <v>0</v>
      </c>
      <c r="K40" s="21"/>
      <c r="L40" s="21">
        <v>0</v>
      </c>
      <c r="M40" s="21"/>
      <c r="N40" s="21">
        <v>37673.21</v>
      </c>
      <c r="O40" s="21"/>
      <c r="P40" s="21"/>
      <c r="Q40" s="21"/>
      <c r="R40" s="21"/>
      <c r="S40" s="21"/>
      <c r="T40" s="6">
        <v>0</v>
      </c>
      <c r="U40" s="21"/>
      <c r="V40" s="6"/>
      <c r="X40" s="21">
        <f t="shared" si="7"/>
        <v>0</v>
      </c>
      <c r="Y40" s="11"/>
      <c r="Z40" s="64">
        <v>0</v>
      </c>
    </row>
    <row r="41" spans="1:26">
      <c r="A41" s="23"/>
      <c r="C41" s="22" t="s">
        <v>11</v>
      </c>
      <c r="D41" s="25">
        <f>SUM(D36:D40)</f>
        <v>559145.99</v>
      </c>
      <c r="E41" s="21"/>
      <c r="F41" s="25">
        <f>SUM(F36:F40)</f>
        <v>566865.12</v>
      </c>
      <c r="G41" s="21"/>
      <c r="H41" s="25">
        <f>SUM(H36:H40)</f>
        <v>590684.24</v>
      </c>
      <c r="I41" s="25">
        <f>SUM(I36:I40)</f>
        <v>0</v>
      </c>
      <c r="J41" s="25">
        <f>SUM(J36:J40)</f>
        <v>496841.43</v>
      </c>
      <c r="K41" s="21"/>
      <c r="L41" s="25">
        <f>SUM(L36:L40)</f>
        <v>508130.65</v>
      </c>
      <c r="M41" s="21"/>
      <c r="N41" s="25">
        <f>SUM(N36:N40)</f>
        <v>569767.76</v>
      </c>
      <c r="O41" s="21"/>
      <c r="P41" s="25">
        <f>SUM(P36:P40)</f>
        <v>973301.1100000001</v>
      </c>
      <c r="Q41" s="21"/>
      <c r="R41" s="151">
        <f>SUM(R36:R40)</f>
        <v>1247869</v>
      </c>
      <c r="S41" s="21"/>
      <c r="T41" s="25">
        <f>SUM(T36:T40)</f>
        <v>1298288</v>
      </c>
      <c r="U41" s="21"/>
      <c r="V41" s="25">
        <f>SUM(V36:V40)</f>
        <v>1352464</v>
      </c>
      <c r="X41" s="298">
        <f>SUM(X36:X40)</f>
        <v>54176</v>
      </c>
      <c r="Z41" s="245">
        <f>+X41/T41</f>
        <v>4.1728799773239837E-2</v>
      </c>
    </row>
    <row r="42" spans="1:26">
      <c r="R42" s="32"/>
      <c r="T42" s="1"/>
      <c r="V42" s="1"/>
    </row>
    <row r="43" spans="1:26">
      <c r="A43" s="22">
        <v>23</v>
      </c>
      <c r="B43" s="19" t="s">
        <v>15</v>
      </c>
      <c r="D43" s="6"/>
      <c r="E43" s="21"/>
      <c r="F43" s="20"/>
      <c r="G43" s="21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6"/>
      <c r="U43" s="21"/>
      <c r="V43" s="6"/>
    </row>
    <row r="44" spans="1:26">
      <c r="A44" s="23"/>
      <c r="C44" s="1" t="s">
        <v>6</v>
      </c>
      <c r="D44" s="20">
        <v>2953358.83</v>
      </c>
      <c r="E44" s="20">
        <v>0</v>
      </c>
      <c r="F44" s="20">
        <v>2967330.61</v>
      </c>
      <c r="G44" s="20">
        <v>0</v>
      </c>
      <c r="H44" s="20">
        <f>2987677.96+61810</f>
        <v>3049487.96</v>
      </c>
      <c r="I44" s="20">
        <v>0</v>
      </c>
      <c r="J44" s="20">
        <v>2995171.66</v>
      </c>
      <c r="K44" s="20">
        <v>0</v>
      </c>
      <c r="L44" s="173">
        <v>2905657.73</v>
      </c>
      <c r="M44" s="173"/>
      <c r="N44" s="173">
        <v>3073985.27</v>
      </c>
      <c r="O44" s="173"/>
      <c r="P44" s="21">
        <v>5489017.6600000001</v>
      </c>
      <c r="Q44" s="173"/>
      <c r="R44" s="21">
        <f>5695864-3728-14662</f>
        <v>5677474</v>
      </c>
      <c r="S44" s="20"/>
      <c r="T44" s="6">
        <v>5635332</v>
      </c>
      <c r="U44" s="21"/>
      <c r="V44" s="6">
        <v>5768439</v>
      </c>
      <c r="X44" s="49">
        <f>+V44-T44</f>
        <v>133107</v>
      </c>
      <c r="Y44" s="11"/>
      <c r="Z44" s="64">
        <f>+X44/T44</f>
        <v>2.362008130133238E-2</v>
      </c>
    </row>
    <row r="45" spans="1:26">
      <c r="A45" s="23"/>
      <c r="C45" s="1" t="s">
        <v>7</v>
      </c>
      <c r="D45" s="20">
        <v>20411.54</v>
      </c>
      <c r="E45" s="20">
        <v>0</v>
      </c>
      <c r="F45" s="20">
        <v>17973</v>
      </c>
      <c r="G45" s="20">
        <v>0</v>
      </c>
      <c r="H45" s="20">
        <v>5878.9</v>
      </c>
      <c r="I45" s="20">
        <v>0</v>
      </c>
      <c r="J45" s="20">
        <v>4370.43</v>
      </c>
      <c r="K45" s="20">
        <v>0</v>
      </c>
      <c r="L45" s="173">
        <v>4810.33</v>
      </c>
      <c r="M45" s="173"/>
      <c r="N45" s="173">
        <v>4263.9399999999996</v>
      </c>
      <c r="O45" s="173"/>
      <c r="P45" s="21">
        <v>6421.43</v>
      </c>
      <c r="Q45" s="173"/>
      <c r="R45" s="21">
        <v>4050</v>
      </c>
      <c r="S45" s="20"/>
      <c r="T45" s="6">
        <v>2586.84</v>
      </c>
      <c r="U45" s="21"/>
      <c r="V45" s="6">
        <v>1800</v>
      </c>
      <c r="X45" s="21">
        <f>+V45-T45</f>
        <v>-786.84000000000015</v>
      </c>
      <c r="Y45" s="11"/>
      <c r="Z45" s="64">
        <f t="shared" ref="Z45:Z47" si="8">+X45/T45</f>
        <v>-0.30417033910098812</v>
      </c>
    </row>
    <row r="46" spans="1:26">
      <c r="A46" s="23"/>
      <c r="C46" s="1" t="s">
        <v>8</v>
      </c>
      <c r="D46" s="20">
        <v>65013.27</v>
      </c>
      <c r="E46" s="20">
        <v>0</v>
      </c>
      <c r="F46" s="20">
        <v>61680.82</v>
      </c>
      <c r="G46" s="20">
        <v>0</v>
      </c>
      <c r="H46" s="20">
        <v>79165.05</v>
      </c>
      <c r="I46" s="20">
        <v>0</v>
      </c>
      <c r="J46" s="20">
        <v>58055.62</v>
      </c>
      <c r="K46" s="20">
        <v>0</v>
      </c>
      <c r="L46" s="173">
        <v>64141.06</v>
      </c>
      <c r="M46" s="173"/>
      <c r="N46" s="173">
        <v>50572.17</v>
      </c>
      <c r="O46" s="173"/>
      <c r="P46" s="21">
        <v>47512.11</v>
      </c>
      <c r="Q46" s="173"/>
      <c r="R46" s="21">
        <v>61464</v>
      </c>
      <c r="S46" s="20"/>
      <c r="T46" s="6">
        <v>58451</v>
      </c>
      <c r="U46" s="21"/>
      <c r="V46" s="6">
        <v>44939</v>
      </c>
      <c r="X46" s="21">
        <f t="shared" ref="X46:X48" si="9">+V46-T46</f>
        <v>-13512</v>
      </c>
      <c r="Y46" s="11"/>
      <c r="Z46" s="64">
        <f t="shared" si="8"/>
        <v>-0.23116798686078938</v>
      </c>
    </row>
    <row r="47" spans="1:26">
      <c r="A47" s="23"/>
      <c r="C47" s="1" t="s">
        <v>9</v>
      </c>
      <c r="D47" s="20">
        <v>34183.730000000003</v>
      </c>
      <c r="E47" s="20">
        <v>0</v>
      </c>
      <c r="F47" s="20">
        <v>29702.43</v>
      </c>
      <c r="G47" s="20">
        <v>0</v>
      </c>
      <c r="H47" s="20">
        <v>26235.759999999998</v>
      </c>
      <c r="I47" s="20">
        <v>0</v>
      </c>
      <c r="J47" s="20">
        <v>36029.51</v>
      </c>
      <c r="K47" s="20">
        <v>0</v>
      </c>
      <c r="L47" s="173">
        <v>35554.78</v>
      </c>
      <c r="M47" s="173"/>
      <c r="N47" s="173">
        <v>44293.8</v>
      </c>
      <c r="O47" s="173"/>
      <c r="P47" s="21">
        <v>64812.9</v>
      </c>
      <c r="Q47" s="173"/>
      <c r="R47" s="21">
        <v>63082</v>
      </c>
      <c r="S47" s="20"/>
      <c r="T47" s="6">
        <v>37662</v>
      </c>
      <c r="U47" s="21"/>
      <c r="V47" s="6">
        <v>27514</v>
      </c>
      <c r="X47" s="21">
        <f t="shared" si="9"/>
        <v>-10148</v>
      </c>
      <c r="Y47" s="11"/>
      <c r="Z47" s="64">
        <f t="shared" si="8"/>
        <v>-0.26944931230417929</v>
      </c>
    </row>
    <row r="48" spans="1:26" ht="14.25" customHeight="1">
      <c r="A48" s="23"/>
      <c r="C48" s="1" t="s">
        <v>10</v>
      </c>
      <c r="D48" s="6">
        <v>0</v>
      </c>
      <c r="E48" s="21"/>
      <c r="F48" s="20">
        <v>0</v>
      </c>
      <c r="G48" s="21"/>
      <c r="H48" s="20">
        <f>+'[3]08-09 Expenses-Adj'!H19</f>
        <v>0</v>
      </c>
      <c r="I48" s="21">
        <v>0</v>
      </c>
      <c r="J48" s="21">
        <f>+I48</f>
        <v>0</v>
      </c>
      <c r="K48" s="21"/>
      <c r="L48" s="21">
        <v>0</v>
      </c>
      <c r="M48" s="21"/>
      <c r="N48" s="21">
        <v>0</v>
      </c>
      <c r="O48" s="21"/>
      <c r="P48" s="21"/>
      <c r="Q48" s="21"/>
      <c r="R48" s="21">
        <v>0</v>
      </c>
      <c r="S48" s="21"/>
      <c r="T48" s="6">
        <v>0</v>
      </c>
      <c r="U48" s="21"/>
      <c r="V48" s="6">
        <v>0</v>
      </c>
      <c r="X48" s="21">
        <f t="shared" si="9"/>
        <v>0</v>
      </c>
      <c r="Y48" s="11"/>
      <c r="Z48" s="64">
        <v>0</v>
      </c>
    </row>
    <row r="49" spans="1:26">
      <c r="A49" s="23"/>
      <c r="C49" s="22" t="s">
        <v>11</v>
      </c>
      <c r="D49" s="25">
        <f>SUM(D44:D48)</f>
        <v>3072967.37</v>
      </c>
      <c r="E49" s="21"/>
      <c r="F49" s="25">
        <f>SUM(F44:F48)</f>
        <v>3076686.86</v>
      </c>
      <c r="G49" s="21"/>
      <c r="H49" s="25">
        <f>SUM(H44:H48)</f>
        <v>3160767.6699999995</v>
      </c>
      <c r="I49" s="25">
        <f>SUM(I44:I48)</f>
        <v>0</v>
      </c>
      <c r="J49" s="25">
        <f>SUM(J44:J48)</f>
        <v>3093627.22</v>
      </c>
      <c r="K49" s="21"/>
      <c r="L49" s="25">
        <f>SUM(L44:L48)</f>
        <v>3010163.9</v>
      </c>
      <c r="M49" s="21"/>
      <c r="N49" s="25">
        <f>SUM(N44:N48)</f>
        <v>3173115.1799999997</v>
      </c>
      <c r="O49" s="21"/>
      <c r="P49" s="25">
        <f>SUM(P44:P48)</f>
        <v>5607764.1000000006</v>
      </c>
      <c r="Q49" s="21"/>
      <c r="R49" s="151">
        <f>SUM(R44:R48)</f>
        <v>5806070</v>
      </c>
      <c r="S49" s="21"/>
      <c r="T49" s="25">
        <f>SUM(T44:T48)</f>
        <v>5734031.8399999999</v>
      </c>
      <c r="U49" s="21"/>
      <c r="V49" s="25">
        <f>SUM(V44:V48)</f>
        <v>5842692</v>
      </c>
      <c r="X49" s="298">
        <f>SUM(X44:X48)</f>
        <v>108660.16</v>
      </c>
      <c r="Z49" s="245">
        <f>+X49/T49</f>
        <v>1.895004475594262E-2</v>
      </c>
    </row>
    <row r="50" spans="1:26">
      <c r="A50" s="23"/>
      <c r="C50" s="22"/>
      <c r="D50" s="20"/>
      <c r="E50" s="21"/>
      <c r="F50" s="20"/>
      <c r="G50" s="21"/>
      <c r="H50" s="2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6"/>
      <c r="U50" s="21"/>
      <c r="V50" s="6"/>
    </row>
    <row r="51" spans="1:26">
      <c r="A51" s="22">
        <v>31</v>
      </c>
      <c r="B51" s="19" t="s">
        <v>16</v>
      </c>
      <c r="D51" s="6"/>
      <c r="E51" s="21"/>
      <c r="F51" s="20"/>
      <c r="G51" s="21"/>
      <c r="H51" s="2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6"/>
      <c r="U51" s="21"/>
      <c r="V51" s="6"/>
    </row>
    <row r="52" spans="1:26">
      <c r="A52" s="23"/>
      <c r="C52" s="1" t="s">
        <v>6</v>
      </c>
      <c r="D52" s="20">
        <v>1552265.27</v>
      </c>
      <c r="E52" s="20">
        <v>0</v>
      </c>
      <c r="F52" s="20">
        <v>1652048.1</v>
      </c>
      <c r="G52" s="20">
        <v>0</v>
      </c>
      <c r="H52" s="20">
        <f>1631612.82+16792</f>
        <v>1648404.82</v>
      </c>
      <c r="I52" s="20">
        <v>0</v>
      </c>
      <c r="J52" s="20">
        <v>1600022.59</v>
      </c>
      <c r="K52" s="20">
        <v>0</v>
      </c>
      <c r="L52" s="173">
        <v>1654854.54</v>
      </c>
      <c r="M52" s="173"/>
      <c r="N52" s="173">
        <v>1718037.73</v>
      </c>
      <c r="O52" s="173"/>
      <c r="P52" s="21">
        <v>3913305.14</v>
      </c>
      <c r="Q52" s="173"/>
      <c r="R52" s="21">
        <f>4298395-62713</f>
        <v>4235682</v>
      </c>
      <c r="S52" s="20"/>
      <c r="T52" s="6">
        <v>4344257</v>
      </c>
      <c r="U52" s="21"/>
      <c r="V52" s="6">
        <v>4414216</v>
      </c>
      <c r="X52" s="49">
        <f>+V52-T52</f>
        <v>69959</v>
      </c>
      <c r="Y52" s="11"/>
      <c r="Z52" s="64">
        <f>+X52/T52</f>
        <v>1.6103789439713165E-2</v>
      </c>
    </row>
    <row r="53" spans="1:26">
      <c r="A53" s="23"/>
      <c r="C53" s="1" t="s">
        <v>7</v>
      </c>
      <c r="D53" s="20">
        <v>250</v>
      </c>
      <c r="E53" s="20">
        <v>0</v>
      </c>
      <c r="F53" s="20">
        <v>26634.38</v>
      </c>
      <c r="G53" s="20">
        <v>0</v>
      </c>
      <c r="H53" s="20">
        <v>920.15</v>
      </c>
      <c r="I53" s="20">
        <v>0</v>
      </c>
      <c r="J53" s="20">
        <v>768.28</v>
      </c>
      <c r="K53" s="20">
        <v>0</v>
      </c>
      <c r="L53" s="173">
        <v>625</v>
      </c>
      <c r="M53" s="173"/>
      <c r="N53" s="173">
        <v>2581.25</v>
      </c>
      <c r="O53" s="173"/>
      <c r="P53" s="21">
        <v>913.38</v>
      </c>
      <c r="Q53" s="173"/>
      <c r="R53" s="21">
        <v>37300</v>
      </c>
      <c r="S53" s="20"/>
      <c r="T53" s="6">
        <v>164965</v>
      </c>
      <c r="U53" s="21"/>
      <c r="V53" s="6">
        <v>800</v>
      </c>
      <c r="X53" s="21">
        <f>+V53-T53</f>
        <v>-164165</v>
      </c>
      <c r="Y53" s="11"/>
      <c r="Z53" s="64">
        <f t="shared" ref="Z53:Z55" si="10">+X53/T53</f>
        <v>-0.99515048646682625</v>
      </c>
    </row>
    <row r="54" spans="1:26">
      <c r="A54" s="23"/>
      <c r="C54" s="1" t="s">
        <v>8</v>
      </c>
      <c r="D54" s="20">
        <v>62318.17</v>
      </c>
      <c r="E54" s="20">
        <v>0</v>
      </c>
      <c r="F54" s="20">
        <v>61863.54</v>
      </c>
      <c r="G54" s="20">
        <v>0</v>
      </c>
      <c r="H54" s="20">
        <v>52844.08</v>
      </c>
      <c r="I54" s="20">
        <v>0</v>
      </c>
      <c r="J54" s="20">
        <v>36884.22</v>
      </c>
      <c r="K54" s="20">
        <v>0</v>
      </c>
      <c r="L54" s="173">
        <v>34500.14</v>
      </c>
      <c r="M54" s="173"/>
      <c r="N54" s="173">
        <v>32371.7</v>
      </c>
      <c r="O54" s="173"/>
      <c r="P54" s="21">
        <v>45153.72</v>
      </c>
      <c r="Q54" s="173"/>
      <c r="R54" s="21">
        <v>47425</v>
      </c>
      <c r="S54" s="20"/>
      <c r="T54" s="6">
        <v>60484</v>
      </c>
      <c r="U54" s="21"/>
      <c r="V54" s="6">
        <v>54695</v>
      </c>
      <c r="X54" s="21">
        <f t="shared" ref="X54:X56" si="11">+V54-T54</f>
        <v>-5789</v>
      </c>
      <c r="Y54" s="11"/>
      <c r="Z54" s="64">
        <f t="shared" si="10"/>
        <v>-9.571126248264003E-2</v>
      </c>
    </row>
    <row r="55" spans="1:26">
      <c r="A55" s="23"/>
      <c r="C55" s="1" t="s">
        <v>9</v>
      </c>
      <c r="D55" s="20">
        <v>10888.58</v>
      </c>
      <c r="E55" s="20">
        <v>0</v>
      </c>
      <c r="F55" s="20">
        <v>7455.35</v>
      </c>
      <c r="G55" s="20">
        <v>0</v>
      </c>
      <c r="H55" s="20">
        <v>8195.2099999999991</v>
      </c>
      <c r="I55" s="20">
        <v>0</v>
      </c>
      <c r="J55" s="20">
        <v>5952.03</v>
      </c>
      <c r="K55" s="20">
        <v>0</v>
      </c>
      <c r="L55" s="173">
        <v>6000.28</v>
      </c>
      <c r="M55" s="173"/>
      <c r="N55" s="173">
        <v>4651.21</v>
      </c>
      <c r="O55" s="173"/>
      <c r="P55" s="21">
        <v>13033.46</v>
      </c>
      <c r="Q55" s="173"/>
      <c r="R55" s="21">
        <v>28900</v>
      </c>
      <c r="S55" s="20"/>
      <c r="T55" s="6">
        <v>17241</v>
      </c>
      <c r="U55" s="21"/>
      <c r="V55" s="6">
        <v>6280</v>
      </c>
      <c r="X55" s="21">
        <f t="shared" si="11"/>
        <v>-10961</v>
      </c>
      <c r="Y55" s="11"/>
      <c r="Z55" s="64">
        <f t="shared" si="10"/>
        <v>-0.63575198654370391</v>
      </c>
    </row>
    <row r="56" spans="1:26">
      <c r="A56" s="23"/>
      <c r="C56" s="1" t="s">
        <v>10</v>
      </c>
      <c r="D56" s="6">
        <v>0</v>
      </c>
      <c r="E56" s="21"/>
      <c r="F56" s="20">
        <v>0</v>
      </c>
      <c r="G56" s="21"/>
      <c r="H56" s="20">
        <v>0</v>
      </c>
      <c r="I56" s="21">
        <v>0</v>
      </c>
      <c r="J56" s="21">
        <f>+I56</f>
        <v>0</v>
      </c>
      <c r="K56" s="21"/>
      <c r="L56" s="21">
        <v>0</v>
      </c>
      <c r="M56" s="21"/>
      <c r="N56" s="21">
        <v>0</v>
      </c>
      <c r="O56" s="21"/>
      <c r="P56" s="21"/>
      <c r="Q56" s="21"/>
      <c r="R56" s="21"/>
      <c r="S56" s="21"/>
      <c r="T56" s="6"/>
      <c r="U56" s="21"/>
      <c r="V56" s="6"/>
      <c r="X56" s="21">
        <f t="shared" si="11"/>
        <v>0</v>
      </c>
      <c r="Y56" s="11"/>
      <c r="Z56" s="64">
        <v>0</v>
      </c>
    </row>
    <row r="57" spans="1:26">
      <c r="A57" s="23"/>
      <c r="C57" s="22" t="s">
        <v>11</v>
      </c>
      <c r="D57" s="25">
        <f>SUM(D52:D56)</f>
        <v>1625722.02</v>
      </c>
      <c r="E57" s="21"/>
      <c r="F57" s="25">
        <f>SUM(F52:F56)</f>
        <v>1748001.37</v>
      </c>
      <c r="G57" s="21"/>
      <c r="H57" s="25">
        <f>SUM(H52:H56)</f>
        <v>1710364.26</v>
      </c>
      <c r="I57" s="25">
        <f>SUM(I52:I56)</f>
        <v>0</v>
      </c>
      <c r="J57" s="25">
        <f>SUM(J52:J56)</f>
        <v>1643627.12</v>
      </c>
      <c r="K57" s="21"/>
      <c r="L57" s="25">
        <f>SUM(L52:L56)</f>
        <v>1695979.96</v>
      </c>
      <c r="M57" s="21"/>
      <c r="N57" s="25">
        <f>SUM(N52:N56)</f>
        <v>1757641.89</v>
      </c>
      <c r="O57" s="21"/>
      <c r="P57" s="25">
        <f>SUM(P52:P56)</f>
        <v>3972405.7</v>
      </c>
      <c r="Q57" s="21"/>
      <c r="R57" s="151">
        <f>SUM(R52:R56)</f>
        <v>4349307</v>
      </c>
      <c r="S57" s="21"/>
      <c r="T57" s="25">
        <f>SUM(T52:T56)</f>
        <v>4586947</v>
      </c>
      <c r="U57" s="21"/>
      <c r="V57" s="25">
        <f>SUM(V52:V56)</f>
        <v>4475991</v>
      </c>
      <c r="X57" s="298">
        <f>SUM(X52:X56)</f>
        <v>-110956</v>
      </c>
      <c r="Z57" s="245">
        <f>+X57/T57</f>
        <v>-2.4189509928935302E-2</v>
      </c>
    </row>
    <row r="58" spans="1:26">
      <c r="R58" s="32"/>
      <c r="T58" s="1"/>
      <c r="V58" s="1"/>
    </row>
    <row r="59" spans="1:26">
      <c r="A59" s="22">
        <v>32</v>
      </c>
      <c r="B59" s="19" t="s">
        <v>17</v>
      </c>
      <c r="D59" s="6"/>
      <c r="E59" s="21"/>
      <c r="F59" s="20"/>
      <c r="G59" s="21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6"/>
      <c r="U59" s="21"/>
      <c r="V59" s="6"/>
    </row>
    <row r="60" spans="1:26">
      <c r="A60" s="23"/>
      <c r="C60" s="1" t="s">
        <v>6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173">
        <v>0</v>
      </c>
      <c r="M60" s="173"/>
      <c r="N60" s="173">
        <v>0</v>
      </c>
      <c r="O60" s="173"/>
      <c r="P60" s="173">
        <v>0</v>
      </c>
      <c r="Q60" s="173"/>
      <c r="R60" s="21">
        <v>0</v>
      </c>
      <c r="S60" s="20"/>
      <c r="T60" s="6">
        <v>0</v>
      </c>
      <c r="U60" s="21"/>
      <c r="V60" s="6">
        <v>0</v>
      </c>
      <c r="X60" s="49">
        <f>+V60-T60</f>
        <v>0</v>
      </c>
      <c r="Y60" s="11"/>
      <c r="Z60" s="64">
        <v>0</v>
      </c>
    </row>
    <row r="61" spans="1:26">
      <c r="A61" s="23"/>
      <c r="C61" s="1" t="s">
        <v>7</v>
      </c>
      <c r="D61" s="20">
        <v>0</v>
      </c>
      <c r="E61" s="20">
        <v>0</v>
      </c>
      <c r="F61" s="20">
        <v>0</v>
      </c>
      <c r="G61" s="20">
        <v>0</v>
      </c>
      <c r="H61" s="20">
        <v>115000</v>
      </c>
      <c r="I61" s="20">
        <v>0</v>
      </c>
      <c r="J61" s="20">
        <v>0</v>
      </c>
      <c r="K61" s="20">
        <v>0</v>
      </c>
      <c r="L61" s="173">
        <v>0</v>
      </c>
      <c r="M61" s="173"/>
      <c r="N61" s="173">
        <v>0</v>
      </c>
      <c r="O61" s="173"/>
      <c r="P61" s="173">
        <v>0</v>
      </c>
      <c r="Q61" s="173"/>
      <c r="R61" s="21">
        <v>0</v>
      </c>
      <c r="S61" s="20"/>
      <c r="T61" s="6">
        <v>0</v>
      </c>
      <c r="U61" s="21"/>
      <c r="V61" s="6">
        <v>0</v>
      </c>
      <c r="X61" s="21">
        <f>+V61-T61</f>
        <v>0</v>
      </c>
      <c r="Y61" s="11"/>
      <c r="Z61" s="64">
        <v>0</v>
      </c>
    </row>
    <row r="62" spans="1:26">
      <c r="A62" s="23"/>
      <c r="C62" s="1" t="s">
        <v>8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173">
        <v>0</v>
      </c>
      <c r="M62" s="173"/>
      <c r="N62" s="173">
        <v>0</v>
      </c>
      <c r="O62" s="173"/>
      <c r="P62" s="173">
        <v>0</v>
      </c>
      <c r="Q62" s="173"/>
      <c r="R62" s="21">
        <v>0</v>
      </c>
      <c r="S62" s="20"/>
      <c r="T62" s="6">
        <v>0</v>
      </c>
      <c r="U62" s="21"/>
      <c r="V62" s="6">
        <v>0</v>
      </c>
      <c r="X62" s="21">
        <f t="shared" ref="X62:X64" si="12">+V62-T62</f>
        <v>0</v>
      </c>
      <c r="Y62" s="11"/>
      <c r="Z62" s="64">
        <v>0</v>
      </c>
    </row>
    <row r="63" spans="1:26">
      <c r="A63" s="23"/>
      <c r="C63" s="1" t="s">
        <v>9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173">
        <v>0</v>
      </c>
      <c r="M63" s="173"/>
      <c r="N63" s="173">
        <v>0</v>
      </c>
      <c r="O63" s="173"/>
      <c r="P63" s="173">
        <v>0</v>
      </c>
      <c r="Q63" s="173"/>
      <c r="R63" s="21">
        <v>0</v>
      </c>
      <c r="S63" s="20"/>
      <c r="T63" s="6">
        <v>0</v>
      </c>
      <c r="U63" s="21"/>
      <c r="V63" s="6">
        <v>0</v>
      </c>
      <c r="X63" s="21">
        <f t="shared" si="12"/>
        <v>0</v>
      </c>
      <c r="Y63" s="11"/>
      <c r="Z63" s="64">
        <v>0</v>
      </c>
    </row>
    <row r="64" spans="1:26">
      <c r="A64" s="23"/>
      <c r="C64" s="1" t="s">
        <v>10</v>
      </c>
      <c r="D64" s="6">
        <v>0</v>
      </c>
      <c r="E64" s="21"/>
      <c r="F64" s="20">
        <v>0</v>
      </c>
      <c r="G64" s="21"/>
      <c r="H64" s="20">
        <v>0</v>
      </c>
      <c r="I64" s="21">
        <v>0</v>
      </c>
      <c r="J64" s="21">
        <f>+I64</f>
        <v>0</v>
      </c>
      <c r="K64" s="21"/>
      <c r="L64" s="173">
        <v>0</v>
      </c>
      <c r="M64" s="21"/>
      <c r="N64" s="173">
        <v>0</v>
      </c>
      <c r="O64" s="21"/>
      <c r="P64" s="21">
        <v>0</v>
      </c>
      <c r="Q64" s="21"/>
      <c r="R64" s="21">
        <v>0</v>
      </c>
      <c r="S64" s="21"/>
      <c r="T64" s="6">
        <v>0</v>
      </c>
      <c r="U64" s="21"/>
      <c r="V64" s="6">
        <v>0</v>
      </c>
      <c r="X64" s="21">
        <f t="shared" si="12"/>
        <v>0</v>
      </c>
      <c r="Y64" s="11"/>
      <c r="Z64" s="64">
        <v>0</v>
      </c>
    </row>
    <row r="65" spans="1:28">
      <c r="A65" s="23"/>
      <c r="C65" s="22" t="s">
        <v>11</v>
      </c>
      <c r="D65" s="25">
        <f>SUM(D60:D64)</f>
        <v>0</v>
      </c>
      <c r="E65" s="21"/>
      <c r="F65" s="25">
        <f>SUM(F60:F64)</f>
        <v>0</v>
      </c>
      <c r="G65" s="21"/>
      <c r="H65" s="25">
        <f>SUM(H60:H64)</f>
        <v>115000</v>
      </c>
      <c r="I65" s="25">
        <f>SUM(I60:I64)</f>
        <v>0</v>
      </c>
      <c r="J65" s="25">
        <f>SUM(J60:J64)</f>
        <v>0</v>
      </c>
      <c r="K65" s="21"/>
      <c r="L65" s="25">
        <f>SUM(L60:L64)</f>
        <v>0</v>
      </c>
      <c r="M65" s="21"/>
      <c r="N65" s="25">
        <f>SUM(N60:N64)</f>
        <v>0</v>
      </c>
      <c r="O65" s="21"/>
      <c r="P65" s="25">
        <f>SUM(P60:P64)</f>
        <v>0</v>
      </c>
      <c r="Q65" s="21"/>
      <c r="R65" s="151">
        <f>SUM(R60:R64)</f>
        <v>0</v>
      </c>
      <c r="S65" s="21"/>
      <c r="T65" s="25">
        <f>SUM(T60:T64)</f>
        <v>0</v>
      </c>
      <c r="U65" s="21"/>
      <c r="V65" s="25">
        <f>SUM(V60:V64)</f>
        <v>0</v>
      </c>
      <c r="X65" s="298">
        <f>SUM(X60:X64)</f>
        <v>0</v>
      </c>
      <c r="Z65" s="245">
        <v>0</v>
      </c>
    </row>
    <row r="66" spans="1:28">
      <c r="R66" s="32"/>
      <c r="T66" s="1"/>
      <c r="V66" s="1"/>
    </row>
    <row r="67" spans="1:28">
      <c r="A67" s="22">
        <v>33</v>
      </c>
      <c r="B67" s="19" t="s">
        <v>18</v>
      </c>
      <c r="D67" s="6"/>
      <c r="E67" s="21"/>
      <c r="F67" s="20"/>
      <c r="G67" s="21"/>
      <c r="H67" s="20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6"/>
      <c r="U67" s="21"/>
      <c r="V67" s="6"/>
    </row>
    <row r="68" spans="1:28">
      <c r="A68" s="23"/>
      <c r="C68" s="1" t="s">
        <v>6</v>
      </c>
      <c r="D68" s="20">
        <v>445187.65</v>
      </c>
      <c r="E68" s="20">
        <v>0</v>
      </c>
      <c r="F68" s="20">
        <v>449359.28</v>
      </c>
      <c r="G68" s="20">
        <v>0</v>
      </c>
      <c r="H68" s="20">
        <f>467612.31+7851</f>
        <v>475463.31</v>
      </c>
      <c r="I68" s="20">
        <v>0</v>
      </c>
      <c r="J68" s="20">
        <v>435389.9</v>
      </c>
      <c r="K68" s="20">
        <v>0</v>
      </c>
      <c r="L68" s="173">
        <v>453205.69</v>
      </c>
      <c r="M68" s="173"/>
      <c r="N68" s="173">
        <v>462619.32</v>
      </c>
      <c r="O68" s="173"/>
      <c r="P68" s="21">
        <v>1079752.1200000001</v>
      </c>
      <c r="Q68" s="173"/>
      <c r="R68" s="21">
        <v>1134924</v>
      </c>
      <c r="S68" s="20"/>
      <c r="T68" s="6">
        <v>1224989</v>
      </c>
      <c r="U68" s="21"/>
      <c r="V68" s="6">
        <v>1305884</v>
      </c>
      <c r="X68" s="49">
        <f>+V68-T68</f>
        <v>80895</v>
      </c>
      <c r="Y68" s="11"/>
      <c r="Z68" s="64">
        <f>+X68/T68</f>
        <v>6.6037327682126126E-2</v>
      </c>
    </row>
    <row r="69" spans="1:28">
      <c r="A69" s="23"/>
      <c r="C69" s="1" t="s">
        <v>7</v>
      </c>
      <c r="D69" s="20">
        <v>446.58</v>
      </c>
      <c r="E69" s="20">
        <v>0</v>
      </c>
      <c r="F69" s="20">
        <v>564</v>
      </c>
      <c r="G69" s="20">
        <v>0</v>
      </c>
      <c r="H69" s="20">
        <v>450</v>
      </c>
      <c r="I69" s="20">
        <v>0</v>
      </c>
      <c r="J69" s="20">
        <v>0</v>
      </c>
      <c r="K69" s="20">
        <v>0</v>
      </c>
      <c r="L69" s="173">
        <v>1142.93</v>
      </c>
      <c r="M69" s="173"/>
      <c r="N69" s="173">
        <v>517</v>
      </c>
      <c r="O69" s="173"/>
      <c r="P69" s="21">
        <v>1114.02</v>
      </c>
      <c r="Q69" s="173"/>
      <c r="R69" s="21">
        <v>2285</v>
      </c>
      <c r="S69" s="20"/>
      <c r="T69" s="6">
        <v>1355</v>
      </c>
      <c r="U69" s="21"/>
      <c r="V69" s="6">
        <v>2917</v>
      </c>
      <c r="X69" s="21">
        <f>+V69-T69</f>
        <v>1562</v>
      </c>
      <c r="Y69" s="11"/>
      <c r="Z69" s="64">
        <f t="shared" ref="Z69:Z71" si="13">+X69/T69</f>
        <v>1.1527675276752767</v>
      </c>
    </row>
    <row r="70" spans="1:28">
      <c r="A70" s="23"/>
      <c r="C70" s="1" t="s">
        <v>8</v>
      </c>
      <c r="D70" s="20">
        <v>23499.95</v>
      </c>
      <c r="E70" s="20">
        <v>0</v>
      </c>
      <c r="F70" s="20">
        <v>20256.53</v>
      </c>
      <c r="G70" s="20">
        <v>0</v>
      </c>
      <c r="H70" s="20">
        <v>19604.72</v>
      </c>
      <c r="I70" s="20">
        <v>0</v>
      </c>
      <c r="J70" s="20">
        <v>20923.07</v>
      </c>
      <c r="K70" s="20">
        <v>0</v>
      </c>
      <c r="L70" s="173">
        <v>17127.13</v>
      </c>
      <c r="M70" s="173"/>
      <c r="N70" s="173">
        <v>17542.59</v>
      </c>
      <c r="O70" s="173"/>
      <c r="P70" s="21">
        <v>31586.1</v>
      </c>
      <c r="Q70" s="173"/>
      <c r="R70" s="21">
        <v>51888</v>
      </c>
      <c r="S70" s="20"/>
      <c r="T70" s="6">
        <v>46767</v>
      </c>
      <c r="U70" s="21"/>
      <c r="V70" s="6">
        <v>55932</v>
      </c>
      <c r="X70" s="21">
        <f t="shared" ref="X70:X72" si="14">+V70-T70</f>
        <v>9165</v>
      </c>
      <c r="Y70" s="11"/>
      <c r="Z70" s="64">
        <f t="shared" si="13"/>
        <v>0.1959715183783437</v>
      </c>
    </row>
    <row r="71" spans="1:28">
      <c r="A71" s="23"/>
      <c r="C71" s="1" t="s">
        <v>9</v>
      </c>
      <c r="D71" s="20">
        <v>2192.1</v>
      </c>
      <c r="E71" s="20">
        <v>0</v>
      </c>
      <c r="F71" s="20">
        <v>2077.11</v>
      </c>
      <c r="G71" s="20">
        <v>0</v>
      </c>
      <c r="H71" s="20">
        <v>1759.22</v>
      </c>
      <c r="I71" s="20">
        <v>0</v>
      </c>
      <c r="J71" s="20">
        <v>2682.81</v>
      </c>
      <c r="K71" s="20">
        <v>0</v>
      </c>
      <c r="L71" s="173">
        <v>509.5</v>
      </c>
      <c r="M71" s="173"/>
      <c r="N71" s="173">
        <v>5351.74</v>
      </c>
      <c r="O71" s="173"/>
      <c r="P71" s="21">
        <v>6601.18</v>
      </c>
      <c r="Q71" s="173"/>
      <c r="R71" s="21">
        <v>4900</v>
      </c>
      <c r="S71" s="20"/>
      <c r="T71" s="6">
        <v>4814</v>
      </c>
      <c r="U71" s="21"/>
      <c r="V71" s="6">
        <v>4720</v>
      </c>
      <c r="X71" s="21">
        <f t="shared" si="14"/>
        <v>-94</v>
      </c>
      <c r="Y71" s="11"/>
      <c r="Z71" s="64">
        <f t="shared" si="13"/>
        <v>-1.9526381387619442E-2</v>
      </c>
    </row>
    <row r="72" spans="1:28">
      <c r="A72" s="23"/>
      <c r="C72" s="1" t="s">
        <v>10</v>
      </c>
      <c r="D72" s="6">
        <v>0</v>
      </c>
      <c r="E72" s="21"/>
      <c r="F72" s="20">
        <v>0</v>
      </c>
      <c r="G72" s="21"/>
      <c r="H72" s="20">
        <v>0</v>
      </c>
      <c r="I72" s="21">
        <v>0</v>
      </c>
      <c r="J72" s="21">
        <f>+I72</f>
        <v>0</v>
      </c>
      <c r="K72" s="21"/>
      <c r="L72" s="21">
        <v>0</v>
      </c>
      <c r="M72" s="21"/>
      <c r="N72" s="21">
        <v>0</v>
      </c>
      <c r="O72" s="21"/>
      <c r="P72" s="21">
        <v>15507.04</v>
      </c>
      <c r="Q72" s="21"/>
      <c r="R72" s="21">
        <v>0</v>
      </c>
      <c r="S72" s="21"/>
      <c r="T72" s="6">
        <v>0</v>
      </c>
      <c r="U72" s="21"/>
      <c r="V72" s="6">
        <v>0</v>
      </c>
      <c r="X72" s="21">
        <f t="shared" si="14"/>
        <v>0</v>
      </c>
      <c r="Y72" s="11"/>
      <c r="Z72" s="64">
        <v>0</v>
      </c>
    </row>
    <row r="73" spans="1:28">
      <c r="A73" s="23"/>
      <c r="C73" s="22" t="s">
        <v>11</v>
      </c>
      <c r="D73" s="25">
        <f>SUM(D68:D72)</f>
        <v>471326.28</v>
      </c>
      <c r="E73" s="21"/>
      <c r="F73" s="25">
        <f>SUM(F68:F72)</f>
        <v>472256.92000000004</v>
      </c>
      <c r="G73" s="21"/>
      <c r="H73" s="25">
        <f>SUM(H68:H72)</f>
        <v>497277.25</v>
      </c>
      <c r="I73" s="25">
        <f>SUM(I68:I72)</f>
        <v>0</v>
      </c>
      <c r="J73" s="25">
        <f>SUM(J68:J72)</f>
        <v>458995.78</v>
      </c>
      <c r="K73" s="21"/>
      <c r="L73" s="25">
        <f>SUM(L68:L72)</f>
        <v>471985.25</v>
      </c>
      <c r="M73" s="21"/>
      <c r="N73" s="25">
        <f>SUM(N68:N72)</f>
        <v>486030.65</v>
      </c>
      <c r="O73" s="21"/>
      <c r="P73" s="25">
        <f>SUM(P68:P72)</f>
        <v>1134560.4600000002</v>
      </c>
      <c r="Q73" s="21"/>
      <c r="R73" s="151">
        <f>SUM(R68:R72)</f>
        <v>1193997</v>
      </c>
      <c r="S73" s="21"/>
      <c r="T73" s="25">
        <f>SUM(T68:T72)</f>
        <v>1277925</v>
      </c>
      <c r="U73" s="21"/>
      <c r="V73" s="25">
        <f>SUM(V68:V72)</f>
        <v>1369453</v>
      </c>
      <c r="X73" s="298">
        <f>SUM(X68:X72)</f>
        <v>91528</v>
      </c>
      <c r="Z73" s="245">
        <f>+X73/T73</f>
        <v>7.1622356554570887E-2</v>
      </c>
    </row>
    <row r="74" spans="1:28">
      <c r="R74" s="32"/>
      <c r="T74" s="1"/>
      <c r="V74" s="1"/>
    </row>
    <row r="75" spans="1:28">
      <c r="A75" s="22">
        <v>34</v>
      </c>
      <c r="B75" s="19" t="s">
        <v>19</v>
      </c>
      <c r="D75" s="6"/>
      <c r="E75" s="21"/>
      <c r="F75" s="20"/>
      <c r="G75" s="21"/>
      <c r="H75" s="20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6"/>
      <c r="U75" s="21"/>
      <c r="V75" s="6"/>
    </row>
    <row r="76" spans="1:28">
      <c r="A76" s="23"/>
      <c r="C76" s="1" t="s">
        <v>6</v>
      </c>
      <c r="D76" s="20">
        <v>1405649.81</v>
      </c>
      <c r="E76" s="20">
        <v>0</v>
      </c>
      <c r="F76" s="20">
        <v>1532524.88</v>
      </c>
      <c r="G76" s="20">
        <v>0</v>
      </c>
      <c r="H76" s="20">
        <f>1519490.8+518.41</f>
        <v>1520009.21</v>
      </c>
      <c r="I76" s="20">
        <v>0</v>
      </c>
      <c r="J76" s="20">
        <v>1269696.8700000001</v>
      </c>
      <c r="K76" s="20">
        <v>0</v>
      </c>
      <c r="L76" s="173">
        <v>1303872.67</v>
      </c>
      <c r="M76" s="173"/>
      <c r="N76" s="173">
        <v>1308175.19</v>
      </c>
      <c r="O76" s="173"/>
      <c r="P76" s="21">
        <v>3096797.59</v>
      </c>
      <c r="Q76" s="173"/>
      <c r="R76" s="21">
        <v>3409752</v>
      </c>
      <c r="S76" s="20"/>
      <c r="T76" s="6">
        <v>3544841</v>
      </c>
      <c r="U76" s="21"/>
      <c r="V76" s="6">
        <v>3591112</v>
      </c>
      <c r="X76" s="49">
        <f>+V76-T76</f>
        <v>46271</v>
      </c>
      <c r="Y76" s="11"/>
      <c r="Z76" s="64">
        <f>+X76/T76</f>
        <v>1.3053053719475712E-2</v>
      </c>
      <c r="AB76" s="1" t="s">
        <v>85</v>
      </c>
    </row>
    <row r="77" spans="1:28">
      <c r="A77" s="23"/>
      <c r="C77" s="1" t="s">
        <v>7</v>
      </c>
      <c r="D77" s="20">
        <v>56527.47</v>
      </c>
      <c r="E77" s="20">
        <v>0</v>
      </c>
      <c r="F77" s="20">
        <v>51247.85</v>
      </c>
      <c r="G77" s="20">
        <v>0</v>
      </c>
      <c r="H77" s="20">
        <v>39198.639999999999</v>
      </c>
      <c r="I77" s="20">
        <v>0</v>
      </c>
      <c r="J77" s="20">
        <v>54539.79</v>
      </c>
      <c r="K77" s="20">
        <v>0</v>
      </c>
      <c r="L77" s="173">
        <v>41811.120000000003</v>
      </c>
      <c r="M77" s="173"/>
      <c r="N77" s="173">
        <v>41914.629999999997</v>
      </c>
      <c r="O77" s="173"/>
      <c r="P77" s="21">
        <v>80543.990000000005</v>
      </c>
      <c r="Q77" s="173"/>
      <c r="R77" s="21">
        <v>132500</v>
      </c>
      <c r="S77" s="20"/>
      <c r="T77" s="6">
        <v>98148</v>
      </c>
      <c r="U77" s="21"/>
      <c r="V77" s="6">
        <v>132500</v>
      </c>
      <c r="X77" s="21">
        <f>+V77-T77</f>
        <v>34352</v>
      </c>
      <c r="Y77" s="11"/>
      <c r="Z77" s="64">
        <f t="shared" ref="Z77:Z80" si="15">+X77/T77</f>
        <v>0.35000203773892491</v>
      </c>
    </row>
    <row r="78" spans="1:28">
      <c r="A78" s="23"/>
      <c r="C78" s="1" t="s">
        <v>8</v>
      </c>
      <c r="D78" s="20">
        <v>363501.18</v>
      </c>
      <c r="E78" s="20">
        <v>0</v>
      </c>
      <c r="F78" s="20">
        <v>385380.39</v>
      </c>
      <c r="G78" s="20">
        <v>0</v>
      </c>
      <c r="H78" s="20">
        <v>457854.61</v>
      </c>
      <c r="I78" s="20">
        <v>0</v>
      </c>
      <c r="J78" s="20">
        <v>458116.93</v>
      </c>
      <c r="K78" s="20">
        <v>0</v>
      </c>
      <c r="L78" s="173">
        <v>495413.93</v>
      </c>
      <c r="M78" s="173"/>
      <c r="N78" s="173">
        <v>446730.11</v>
      </c>
      <c r="O78" s="173"/>
      <c r="P78" s="21">
        <v>825316.22</v>
      </c>
      <c r="Q78" s="173"/>
      <c r="R78" s="21">
        <v>713350</v>
      </c>
      <c r="S78" s="20"/>
      <c r="T78" s="6">
        <v>819871</v>
      </c>
      <c r="U78" s="21"/>
      <c r="V78" s="6">
        <v>774175</v>
      </c>
      <c r="X78" s="21">
        <f t="shared" ref="X78:X80" si="16">+V78-T78</f>
        <v>-45696</v>
      </c>
      <c r="Y78" s="11"/>
      <c r="Z78" s="64">
        <f t="shared" si="15"/>
        <v>-5.5735597429351691E-2</v>
      </c>
    </row>
    <row r="79" spans="1:28">
      <c r="A79" s="23"/>
      <c r="C79" s="1" t="s">
        <v>9</v>
      </c>
      <c r="D79" s="20">
        <v>49425.47</v>
      </c>
      <c r="E79" s="20">
        <v>0</v>
      </c>
      <c r="F79" s="20">
        <v>-125543.91</v>
      </c>
      <c r="G79" s="20">
        <v>0</v>
      </c>
      <c r="H79" s="20">
        <v>-146579.72</v>
      </c>
      <c r="I79" s="20">
        <v>0</v>
      </c>
      <c r="J79" s="20">
        <v>-150196.29999999999</v>
      </c>
      <c r="K79" s="20">
        <v>0</v>
      </c>
      <c r="L79" s="173">
        <v>-155514.35999999999</v>
      </c>
      <c r="M79" s="173"/>
      <c r="N79" s="173">
        <v>-123513.7</v>
      </c>
      <c r="O79" s="173"/>
      <c r="P79" s="21">
        <v>-424318.87</v>
      </c>
      <c r="Q79" s="173"/>
      <c r="R79" s="21">
        <v>-413725</v>
      </c>
      <c r="S79" s="20"/>
      <c r="T79" s="6">
        <v>-435994</v>
      </c>
      <c r="U79" s="21"/>
      <c r="V79" s="6">
        <v>-466444</v>
      </c>
      <c r="X79" s="21">
        <f t="shared" si="16"/>
        <v>-30450</v>
      </c>
      <c r="Y79" s="11"/>
      <c r="Z79" s="64">
        <f t="shared" si="15"/>
        <v>6.9840410647852957E-2</v>
      </c>
    </row>
    <row r="80" spans="1:28" ht="24.75" customHeight="1">
      <c r="A80" s="23"/>
      <c r="C80" s="1" t="s">
        <v>10</v>
      </c>
      <c r="D80" s="20">
        <v>0</v>
      </c>
      <c r="E80" s="20">
        <v>0</v>
      </c>
      <c r="F80" s="20">
        <v>760030.69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173">
        <v>39073.86</v>
      </c>
      <c r="M80" s="173"/>
      <c r="N80" s="173">
        <v>952230.75</v>
      </c>
      <c r="O80" s="173"/>
      <c r="P80" s="173">
        <v>23435</v>
      </c>
      <c r="Q80" s="173"/>
      <c r="R80" s="21">
        <v>0</v>
      </c>
      <c r="S80" s="20"/>
      <c r="T80" s="6">
        <v>0</v>
      </c>
      <c r="U80" s="274" t="s">
        <v>85</v>
      </c>
      <c r="V80" s="6">
        <v>0</v>
      </c>
      <c r="X80" s="21">
        <f t="shared" si="16"/>
        <v>0</v>
      </c>
      <c r="Y80" s="11"/>
      <c r="Z80" s="64" t="e">
        <f t="shared" si="15"/>
        <v>#DIV/0!</v>
      </c>
    </row>
    <row r="81" spans="1:28">
      <c r="A81" s="23"/>
      <c r="C81" s="22" t="s">
        <v>11</v>
      </c>
      <c r="D81" s="25">
        <f>SUM(D76:D80)</f>
        <v>1875103.93</v>
      </c>
      <c r="E81" s="21"/>
      <c r="F81" s="25">
        <f>SUM(F76:F80)</f>
        <v>2603639.9000000004</v>
      </c>
      <c r="G81" s="21"/>
      <c r="H81" s="25">
        <f>SUM(H76:H80)</f>
        <v>1870482.74</v>
      </c>
      <c r="I81" s="25">
        <f>SUM(I76:I80)</f>
        <v>0</v>
      </c>
      <c r="J81" s="25">
        <f>SUM(J76:J80)</f>
        <v>1632157.29</v>
      </c>
      <c r="K81" s="21"/>
      <c r="L81" s="25">
        <f>SUM(L76:L80)</f>
        <v>1724657.22</v>
      </c>
      <c r="M81" s="21"/>
      <c r="N81" s="25">
        <f>SUM(N76:N80)</f>
        <v>2625536.9799999995</v>
      </c>
      <c r="O81" s="21"/>
      <c r="P81" s="25">
        <f>SUM(P76:P80)</f>
        <v>3601773.9299999997</v>
      </c>
      <c r="Q81" s="21"/>
      <c r="R81" s="151">
        <f>SUM(R76:R80)</f>
        <v>3841877</v>
      </c>
      <c r="S81" s="21"/>
      <c r="T81" s="25">
        <f>SUM(T76:T80)</f>
        <v>4026866</v>
      </c>
      <c r="U81" s="21"/>
      <c r="V81" s="25">
        <f>SUM(V76:V80)</f>
        <v>4031343</v>
      </c>
      <c r="X81" s="298">
        <f>SUM(X76:X80)</f>
        <v>4477</v>
      </c>
      <c r="Z81" s="245">
        <f>+X81/T81</f>
        <v>1.1117827114187559E-3</v>
      </c>
    </row>
    <row r="82" spans="1:28">
      <c r="A82" s="23"/>
      <c r="C82" s="22"/>
      <c r="D82" s="173"/>
      <c r="E82" s="21"/>
      <c r="F82" s="173"/>
      <c r="G82" s="21"/>
      <c r="H82" s="173"/>
      <c r="I82" s="173"/>
      <c r="J82" s="173"/>
      <c r="K82" s="21"/>
      <c r="L82" s="173"/>
      <c r="M82" s="21"/>
      <c r="N82" s="173"/>
      <c r="O82" s="21"/>
      <c r="P82" s="173"/>
      <c r="Q82" s="21"/>
      <c r="R82" s="21"/>
      <c r="S82" s="21"/>
      <c r="T82" s="6"/>
      <c r="U82" s="21"/>
      <c r="V82" s="6"/>
      <c r="X82" s="307"/>
      <c r="Z82" s="198"/>
    </row>
    <row r="83" spans="1:28">
      <c r="A83" s="22">
        <v>35</v>
      </c>
      <c r="B83" s="19" t="s">
        <v>211</v>
      </c>
      <c r="D83" s="173"/>
      <c r="E83" s="21"/>
      <c r="F83" s="173"/>
      <c r="G83" s="21"/>
      <c r="H83" s="173"/>
      <c r="I83" s="173"/>
      <c r="J83" s="173"/>
      <c r="K83" s="21"/>
      <c r="L83" s="173"/>
      <c r="M83" s="21"/>
      <c r="N83" s="173"/>
      <c r="O83" s="21"/>
      <c r="P83" s="173"/>
      <c r="Q83" s="21"/>
      <c r="R83" s="21"/>
      <c r="S83" s="21"/>
      <c r="T83" s="6"/>
      <c r="U83" s="21"/>
      <c r="V83" s="6"/>
      <c r="X83" s="307"/>
      <c r="Z83" s="198"/>
    </row>
    <row r="84" spans="1:28">
      <c r="A84" s="23"/>
      <c r="C84" s="1" t="s">
        <v>6</v>
      </c>
      <c r="D84" s="173"/>
      <c r="E84" s="21"/>
      <c r="F84" s="173"/>
      <c r="G84" s="21"/>
      <c r="H84" s="173"/>
      <c r="I84" s="173"/>
      <c r="J84" s="173"/>
      <c r="K84" s="21"/>
      <c r="L84" s="173"/>
      <c r="M84" s="21"/>
      <c r="N84" s="173"/>
      <c r="O84" s="21"/>
      <c r="P84" s="173">
        <v>0</v>
      </c>
      <c r="Q84" s="21"/>
      <c r="R84" s="21">
        <v>0</v>
      </c>
      <c r="S84" s="21"/>
      <c r="T84" s="6">
        <v>0</v>
      </c>
      <c r="U84" s="21"/>
      <c r="V84" s="6">
        <v>0</v>
      </c>
      <c r="X84" s="49">
        <f>+V84-T84</f>
        <v>0</v>
      </c>
      <c r="Y84" s="11"/>
      <c r="Z84" s="64" t="e">
        <f>+X84/T84</f>
        <v>#DIV/0!</v>
      </c>
    </row>
    <row r="85" spans="1:28">
      <c r="A85" s="23"/>
      <c r="C85" s="22" t="s">
        <v>11</v>
      </c>
      <c r="D85" s="173"/>
      <c r="E85" s="21"/>
      <c r="F85" s="173"/>
      <c r="G85" s="21"/>
      <c r="H85" s="173"/>
      <c r="I85" s="173"/>
      <c r="J85" s="173"/>
      <c r="K85" s="21"/>
      <c r="L85" s="173"/>
      <c r="M85" s="21"/>
      <c r="N85" s="173"/>
      <c r="O85" s="21"/>
      <c r="P85" s="25">
        <f>SUM(P84)</f>
        <v>0</v>
      </c>
      <c r="Q85" s="21"/>
      <c r="R85" s="151">
        <f t="shared" ref="R85" si="17">SUM(R84)</f>
        <v>0</v>
      </c>
      <c r="S85" s="25">
        <f t="shared" ref="S85:Y85" si="18">SUM(S84)</f>
        <v>0</v>
      </c>
      <c r="T85" s="25">
        <f t="shared" si="18"/>
        <v>0</v>
      </c>
      <c r="U85" s="25">
        <f t="shared" si="18"/>
        <v>0</v>
      </c>
      <c r="V85" s="25">
        <f t="shared" si="18"/>
        <v>0</v>
      </c>
      <c r="W85" s="25">
        <f t="shared" si="18"/>
        <v>0</v>
      </c>
      <c r="X85" s="25">
        <f t="shared" si="18"/>
        <v>0</v>
      </c>
      <c r="Y85" s="25">
        <f t="shared" si="18"/>
        <v>0</v>
      </c>
      <c r="Z85" s="64" t="e">
        <f>+X85/T85</f>
        <v>#DIV/0!</v>
      </c>
    </row>
    <row r="86" spans="1:28">
      <c r="R86" s="32"/>
      <c r="T86" s="1"/>
      <c r="V86" s="1"/>
    </row>
    <row r="87" spans="1:28">
      <c r="A87" s="22">
        <v>36</v>
      </c>
      <c r="B87" s="19" t="s">
        <v>20</v>
      </c>
      <c r="D87" s="6"/>
      <c r="E87" s="21"/>
      <c r="F87" s="20"/>
      <c r="G87" s="21"/>
      <c r="H87" s="20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6"/>
      <c r="U87" s="21"/>
      <c r="V87" s="6"/>
    </row>
    <row r="88" spans="1:28">
      <c r="A88" s="23"/>
      <c r="C88" s="1" t="s">
        <v>6</v>
      </c>
      <c r="D88" s="20">
        <f>1339274.35+24671.01</f>
        <v>1363945.36</v>
      </c>
      <c r="E88" s="20">
        <v>0</v>
      </c>
      <c r="F88" s="20">
        <f>1415445.88+43356.9</f>
        <v>1458802.7799999998</v>
      </c>
      <c r="G88" s="20">
        <v>0</v>
      </c>
      <c r="H88" s="20">
        <f>1355674.26+48322.98+1</f>
        <v>1403998.24</v>
      </c>
      <c r="I88" s="20">
        <v>0</v>
      </c>
      <c r="J88" s="20">
        <f>1293105.27+47091.76</f>
        <v>1340197.03</v>
      </c>
      <c r="K88" s="20">
        <v>0</v>
      </c>
      <c r="L88" s="173">
        <v>1332647.5</v>
      </c>
      <c r="M88" s="173"/>
      <c r="N88" s="173">
        <v>1386310.62</v>
      </c>
      <c r="O88" s="173"/>
      <c r="P88" s="21">
        <f>110382.78+2683728.73</f>
        <v>2794111.51</v>
      </c>
      <c r="Q88" s="173"/>
      <c r="R88" s="21">
        <f>96290+2834217</f>
        <v>2930507</v>
      </c>
      <c r="S88" s="20"/>
      <c r="T88" s="6">
        <f>95290+2834246</f>
        <v>2929536</v>
      </c>
      <c r="U88" s="21"/>
      <c r="V88" s="6">
        <f>96739+2866235</f>
        <v>2962974</v>
      </c>
      <c r="X88" s="49">
        <f>+V88-T88</f>
        <v>33438</v>
      </c>
      <c r="Y88" s="11"/>
      <c r="Z88" s="64">
        <f>+X88/T88</f>
        <v>1.141409424564163E-2</v>
      </c>
      <c r="AB88" s="1" t="s">
        <v>85</v>
      </c>
    </row>
    <row r="89" spans="1:28">
      <c r="A89" s="23"/>
      <c r="C89" s="1" t="s">
        <v>7</v>
      </c>
      <c r="D89" s="20">
        <f>84819.93+37608.1</f>
        <v>122428.03</v>
      </c>
      <c r="E89" s="20">
        <v>0</v>
      </c>
      <c r="F89" s="20">
        <f>88626.7+62638.31</f>
        <v>151265.01</v>
      </c>
      <c r="G89" s="20">
        <v>0</v>
      </c>
      <c r="H89" s="20">
        <v>0</v>
      </c>
      <c r="I89" s="20">
        <v>0</v>
      </c>
      <c r="J89" s="20">
        <f>30532.44+92829.8</f>
        <v>123362.24000000001</v>
      </c>
      <c r="K89" s="20">
        <v>0</v>
      </c>
      <c r="L89" s="173">
        <v>110620.93</v>
      </c>
      <c r="M89" s="173"/>
      <c r="N89" s="173">
        <v>113711.49</v>
      </c>
      <c r="O89" s="173"/>
      <c r="P89" s="21">
        <f>225469.97+127376.76</f>
        <v>352846.73</v>
      </c>
      <c r="Q89" s="173"/>
      <c r="R89" s="21">
        <f>128221+205570</f>
        <v>333791</v>
      </c>
      <c r="S89" s="20"/>
      <c r="T89" s="6">
        <f>226140+152669</f>
        <v>378809</v>
      </c>
      <c r="U89" s="21"/>
      <c r="V89" s="6">
        <f>214070+126171</f>
        <v>340241</v>
      </c>
      <c r="X89" s="21">
        <f>+V89-T89</f>
        <v>-38568</v>
      </c>
      <c r="Y89" s="11"/>
      <c r="Z89" s="64">
        <f t="shared" ref="Z89:Z92" si="19">+X89/T89</f>
        <v>-0.10181384286012211</v>
      </c>
    </row>
    <row r="90" spans="1:28">
      <c r="A90" s="23"/>
      <c r="C90" s="1" t="s">
        <v>8</v>
      </c>
      <c r="D90" s="20">
        <f>50489.69+196417.84</f>
        <v>246907.53</v>
      </c>
      <c r="E90" s="20">
        <v>0</v>
      </c>
      <c r="F90" s="20">
        <f>38421.97+209919.86</f>
        <v>248341.83</v>
      </c>
      <c r="G90" s="20">
        <v>0</v>
      </c>
      <c r="H90" s="20">
        <f>71079.72+206283.79</f>
        <v>277363.51</v>
      </c>
      <c r="I90" s="20">
        <v>0</v>
      </c>
      <c r="J90" s="20">
        <f>108218.27+197808.24</f>
        <v>306026.51</v>
      </c>
      <c r="K90" s="20">
        <v>0</v>
      </c>
      <c r="L90" s="173">
        <v>232285.24</v>
      </c>
      <c r="M90" s="173"/>
      <c r="N90" s="173">
        <v>329052.67</v>
      </c>
      <c r="O90" s="173"/>
      <c r="P90" s="21">
        <f>395487.78+140816.14</f>
        <v>536303.92000000004</v>
      </c>
      <c r="Q90" s="173"/>
      <c r="R90" s="21">
        <f>375834+123814</f>
        <v>499648</v>
      </c>
      <c r="S90" s="20"/>
      <c r="T90" s="6">
        <f>365116.04+129128.5</f>
        <v>494244.54</v>
      </c>
      <c r="U90" s="274" t="s">
        <v>85</v>
      </c>
      <c r="V90" s="6">
        <f>314729+114592</f>
        <v>429321</v>
      </c>
      <c r="X90" s="21">
        <f t="shared" ref="X90:X92" si="20">+V90-T90</f>
        <v>-64923.539999999979</v>
      </c>
      <c r="Y90" s="11"/>
      <c r="Z90" s="64">
        <f t="shared" si="19"/>
        <v>-0.1313591446048144</v>
      </c>
    </row>
    <row r="91" spans="1:28">
      <c r="A91" s="23"/>
      <c r="C91" s="1" t="s">
        <v>9</v>
      </c>
      <c r="D91" s="20">
        <f>243106.69+91599.89</f>
        <v>334706.58</v>
      </c>
      <c r="E91" s="20">
        <v>0</v>
      </c>
      <c r="F91" s="20">
        <f>237266.29+231361.07</f>
        <v>468627.36</v>
      </c>
      <c r="G91" s="20">
        <v>0</v>
      </c>
      <c r="H91" s="20">
        <f>247445.69+224778.27</f>
        <v>472223.95999999996</v>
      </c>
      <c r="I91" s="20">
        <v>0</v>
      </c>
      <c r="J91" s="20">
        <f>234682.78+190583.86</f>
        <v>425266.64</v>
      </c>
      <c r="K91" s="20">
        <v>0</v>
      </c>
      <c r="L91" s="173">
        <v>466756.27</v>
      </c>
      <c r="M91" s="173"/>
      <c r="N91" s="173">
        <v>464282.26</v>
      </c>
      <c r="O91" s="173"/>
      <c r="P91" s="21">
        <f>439067.73+515958.8</f>
        <v>955026.53</v>
      </c>
      <c r="Q91" s="173"/>
      <c r="R91" s="21">
        <f>640121+430589</f>
        <v>1070710</v>
      </c>
      <c r="S91" s="20"/>
      <c r="T91" s="6">
        <f>405736.96+626822</f>
        <v>1032558.96</v>
      </c>
      <c r="U91" s="21"/>
      <c r="V91" s="6">
        <f>404159+634580</f>
        <v>1038739</v>
      </c>
      <c r="X91" s="21">
        <f t="shared" si="20"/>
        <v>6180.0400000000373</v>
      </c>
      <c r="Y91" s="11"/>
      <c r="Z91" s="64">
        <f t="shared" si="19"/>
        <v>5.9851691180908811E-3</v>
      </c>
    </row>
    <row r="92" spans="1:28">
      <c r="A92" s="23"/>
      <c r="C92" s="1" t="s">
        <v>10</v>
      </c>
      <c r="D92" s="20">
        <v>0</v>
      </c>
      <c r="E92" s="20">
        <v>0</v>
      </c>
      <c r="F92" s="20">
        <f>24780+52438.03</f>
        <v>77218.03</v>
      </c>
      <c r="G92" s="20">
        <v>0</v>
      </c>
      <c r="H92" s="20">
        <v>253201</v>
      </c>
      <c r="I92" s="20">
        <v>0</v>
      </c>
      <c r="J92" s="20">
        <v>133016.68</v>
      </c>
      <c r="K92" s="20">
        <v>0</v>
      </c>
      <c r="L92" s="173">
        <v>0</v>
      </c>
      <c r="M92" s="173"/>
      <c r="N92" s="173">
        <v>73490.3</v>
      </c>
      <c r="O92" s="173"/>
      <c r="P92" s="21">
        <v>0</v>
      </c>
      <c r="Q92" s="173"/>
      <c r="R92" s="21">
        <v>0</v>
      </c>
      <c r="S92" s="20"/>
      <c r="T92" s="6">
        <v>0</v>
      </c>
      <c r="U92" s="21"/>
      <c r="V92" s="6">
        <v>0</v>
      </c>
      <c r="X92" s="21">
        <f t="shared" si="20"/>
        <v>0</v>
      </c>
      <c r="Y92" s="11"/>
      <c r="Z92" s="64" t="e">
        <f t="shared" si="19"/>
        <v>#DIV/0!</v>
      </c>
    </row>
    <row r="93" spans="1:28">
      <c r="A93" s="23"/>
      <c r="C93" s="22" t="s">
        <v>11</v>
      </c>
      <c r="D93" s="25">
        <f>SUM(D88:D92)</f>
        <v>2067987.5000000002</v>
      </c>
      <c r="E93" s="21"/>
      <c r="F93" s="25">
        <f>SUM(F88:F92)</f>
        <v>2404255.0099999998</v>
      </c>
      <c r="G93" s="21"/>
      <c r="H93" s="25">
        <f>SUM(H88:H92)</f>
        <v>2406786.71</v>
      </c>
      <c r="I93" s="25">
        <f>SUM(I88:I92)</f>
        <v>0</v>
      </c>
      <c r="J93" s="25">
        <f>SUM(J88:J92)</f>
        <v>2327869.1</v>
      </c>
      <c r="K93" s="21"/>
      <c r="L93" s="25">
        <f>SUM(L88:L92)</f>
        <v>2142309.94</v>
      </c>
      <c r="M93" s="21"/>
      <c r="N93" s="25">
        <f>SUM(N88:N92)</f>
        <v>2366847.34</v>
      </c>
      <c r="O93" s="21"/>
      <c r="P93" s="25">
        <f>SUM(P88:P92)</f>
        <v>4638288.6899999995</v>
      </c>
      <c r="Q93" s="21"/>
      <c r="R93" s="151">
        <f>SUM(R88:R92)</f>
        <v>4834656</v>
      </c>
      <c r="S93" s="21"/>
      <c r="T93" s="25">
        <f>SUM(T88:T92)</f>
        <v>4835148.5</v>
      </c>
      <c r="U93" s="21"/>
      <c r="V93" s="25">
        <f>SUM(V88:V92)</f>
        <v>4771275</v>
      </c>
      <c r="X93" s="298">
        <f>SUM(X88:X92)</f>
        <v>-63873.499999999942</v>
      </c>
      <c r="Z93" s="245">
        <f>+X93/T93</f>
        <v>-1.3210245765978013E-2</v>
      </c>
    </row>
    <row r="94" spans="1:28">
      <c r="R94" s="32"/>
      <c r="T94" s="1"/>
      <c r="V94" s="1"/>
    </row>
    <row r="95" spans="1:28">
      <c r="A95" s="22">
        <v>41</v>
      </c>
      <c r="B95" s="19" t="s">
        <v>21</v>
      </c>
      <c r="D95" s="6"/>
      <c r="E95" s="21"/>
      <c r="F95" s="20"/>
      <c r="G95" s="21"/>
      <c r="H95" s="20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6"/>
      <c r="U95" s="21"/>
      <c r="V95" s="6"/>
    </row>
    <row r="96" spans="1:28">
      <c r="A96" s="23"/>
      <c r="C96" s="1" t="s">
        <v>6</v>
      </c>
      <c r="D96" s="20">
        <v>1029576.43</v>
      </c>
      <c r="E96" s="20">
        <v>0</v>
      </c>
      <c r="F96" s="20">
        <v>1091527.48</v>
      </c>
      <c r="G96" s="20">
        <v>0</v>
      </c>
      <c r="H96" s="20">
        <v>1217190.92</v>
      </c>
      <c r="I96" s="20">
        <v>0</v>
      </c>
      <c r="J96" s="20">
        <v>1087481.77</v>
      </c>
      <c r="K96" s="20">
        <v>0</v>
      </c>
      <c r="L96" s="173">
        <v>1051324.3400000001</v>
      </c>
      <c r="M96" s="173"/>
      <c r="N96" s="173">
        <v>1109087.67</v>
      </c>
      <c r="O96" s="173"/>
      <c r="P96" s="21">
        <v>2661392.41</v>
      </c>
      <c r="Q96" s="173"/>
      <c r="R96" s="21">
        <v>2658108</v>
      </c>
      <c r="S96" s="20"/>
      <c r="T96" s="6">
        <v>2546154</v>
      </c>
      <c r="U96" s="21"/>
      <c r="V96" s="6">
        <v>2642185</v>
      </c>
      <c r="X96" s="49">
        <f>+V96-T96</f>
        <v>96031</v>
      </c>
      <c r="Y96" s="11"/>
      <c r="Z96" s="64">
        <f>+X96/T96</f>
        <v>3.771610044011478E-2</v>
      </c>
    </row>
    <row r="97" spans="1:28">
      <c r="A97" s="23"/>
      <c r="C97" s="1" t="s">
        <v>7</v>
      </c>
      <c r="D97" s="20">
        <v>226280.99</v>
      </c>
      <c r="E97" s="20">
        <v>0</v>
      </c>
      <c r="F97" s="20">
        <v>221306.06</v>
      </c>
      <c r="G97" s="20">
        <v>0</v>
      </c>
      <c r="H97" s="20">
        <v>222646.71</v>
      </c>
      <c r="I97" s="20">
        <v>0</v>
      </c>
      <c r="J97" s="20">
        <v>166811.35</v>
      </c>
      <c r="K97" s="20">
        <v>0</v>
      </c>
      <c r="L97" s="173">
        <v>159632.71</v>
      </c>
      <c r="M97" s="173"/>
      <c r="N97" s="173">
        <v>213893.39</v>
      </c>
      <c r="O97" s="173"/>
      <c r="P97" s="21">
        <v>769994.8</v>
      </c>
      <c r="Q97" s="173"/>
      <c r="R97" s="21">
        <f>978037+9000</f>
        <v>987037</v>
      </c>
      <c r="S97" s="20"/>
      <c r="T97" s="6">
        <v>784438</v>
      </c>
      <c r="U97" s="21"/>
      <c r="V97" s="6">
        <f>796555+1760</f>
        <v>798315</v>
      </c>
      <c r="X97" s="21">
        <f>+V97-T97</f>
        <v>13877</v>
      </c>
      <c r="Y97" s="11"/>
      <c r="Z97" s="64">
        <f t="shared" ref="Z97:Z99" si="21">+X97/T97</f>
        <v>1.7690371960562848E-2</v>
      </c>
    </row>
    <row r="98" spans="1:28">
      <c r="A98" s="23"/>
      <c r="C98" s="1" t="s">
        <v>8</v>
      </c>
      <c r="D98" s="20">
        <v>43376.47</v>
      </c>
      <c r="E98" s="20">
        <v>0</v>
      </c>
      <c r="F98" s="20">
        <v>64896.29</v>
      </c>
      <c r="G98" s="20">
        <v>0</v>
      </c>
      <c r="H98" s="20">
        <v>46112.72</v>
      </c>
      <c r="I98" s="20">
        <v>0</v>
      </c>
      <c r="J98" s="20">
        <v>33317.9</v>
      </c>
      <c r="K98" s="20">
        <v>0</v>
      </c>
      <c r="L98" s="173">
        <v>28859.31</v>
      </c>
      <c r="M98" s="173"/>
      <c r="N98" s="173">
        <v>40633.22</v>
      </c>
      <c r="O98" s="173"/>
      <c r="P98" s="21">
        <v>134285.91</v>
      </c>
      <c r="Q98" s="173"/>
      <c r="R98" s="21">
        <v>145493</v>
      </c>
      <c r="S98" s="20"/>
      <c r="T98" s="6">
        <v>108866</v>
      </c>
      <c r="U98" s="21"/>
      <c r="V98" s="6">
        <v>126073</v>
      </c>
      <c r="X98" s="21">
        <f t="shared" ref="X98:X100" si="22">+V98-T98</f>
        <v>17207</v>
      </c>
      <c r="Y98" s="11"/>
      <c r="Z98" s="64">
        <f t="shared" si="21"/>
        <v>0.15805669354986865</v>
      </c>
    </row>
    <row r="99" spans="1:28">
      <c r="A99" s="23"/>
      <c r="C99" s="1" t="s">
        <v>9</v>
      </c>
      <c r="D99" s="20">
        <v>149357.67000000001</v>
      </c>
      <c r="E99" s="20">
        <v>0</v>
      </c>
      <c r="F99" s="20">
        <v>171189.99</v>
      </c>
      <c r="G99" s="20">
        <v>0</v>
      </c>
      <c r="H99" s="20">
        <v>148635.76</v>
      </c>
      <c r="I99" s="20">
        <v>0</v>
      </c>
      <c r="J99" s="20">
        <v>102927.2</v>
      </c>
      <c r="K99" s="20">
        <v>0</v>
      </c>
      <c r="L99" s="173">
        <v>107857.61</v>
      </c>
      <c r="M99" s="173"/>
      <c r="N99" s="173">
        <v>106511.23</v>
      </c>
      <c r="O99" s="173"/>
      <c r="P99" s="21">
        <v>231952.61</v>
      </c>
      <c r="Q99" s="173"/>
      <c r="R99" s="21">
        <v>267633</v>
      </c>
      <c r="S99" s="20"/>
      <c r="T99" s="6">
        <v>233646</v>
      </c>
      <c r="U99" s="21"/>
      <c r="V99" s="6">
        <f>240657-1760</f>
        <v>238897</v>
      </c>
      <c r="X99" s="21">
        <f t="shared" si="22"/>
        <v>5251</v>
      </c>
      <c r="Y99" s="11"/>
      <c r="Z99" s="64">
        <f t="shared" si="21"/>
        <v>2.2474170326048808E-2</v>
      </c>
    </row>
    <row r="100" spans="1:28">
      <c r="A100" s="23"/>
      <c r="C100" s="1" t="s">
        <v>10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173">
        <v>0</v>
      </c>
      <c r="M100" s="173"/>
      <c r="N100" s="173">
        <v>0</v>
      </c>
      <c r="O100" s="173"/>
      <c r="P100" s="173"/>
      <c r="Q100" s="173"/>
      <c r="R100" s="21">
        <v>0</v>
      </c>
      <c r="S100" s="20"/>
      <c r="T100" s="6">
        <v>0</v>
      </c>
      <c r="U100" s="21"/>
      <c r="V100" s="6">
        <v>0</v>
      </c>
      <c r="X100" s="21">
        <f t="shared" si="22"/>
        <v>0</v>
      </c>
      <c r="Y100" s="11"/>
      <c r="Z100" s="64">
        <v>0</v>
      </c>
    </row>
    <row r="101" spans="1:28">
      <c r="A101" s="23"/>
      <c r="C101" s="22" t="s">
        <v>11</v>
      </c>
      <c r="D101" s="25">
        <f>SUM(D96:D100)</f>
        <v>1448591.5599999998</v>
      </c>
      <c r="E101" s="21"/>
      <c r="F101" s="25">
        <f>SUM(F96:F100)</f>
        <v>1548919.82</v>
      </c>
      <c r="G101" s="21"/>
      <c r="H101" s="25">
        <f>SUM(H96:H100)</f>
        <v>1634586.1099999999</v>
      </c>
      <c r="I101" s="25">
        <f>SUM(I96:I100)</f>
        <v>0</v>
      </c>
      <c r="J101" s="25">
        <f>SUM(J96:J100)</f>
        <v>1390538.22</v>
      </c>
      <c r="K101" s="21"/>
      <c r="L101" s="25">
        <f>SUM(L96:L100)</f>
        <v>1347673.9700000002</v>
      </c>
      <c r="M101" s="21"/>
      <c r="N101" s="25">
        <f>SUM(N96:N100)</f>
        <v>1470125.51</v>
      </c>
      <c r="O101" s="21"/>
      <c r="P101" s="25">
        <f>SUM(P96:P100)</f>
        <v>3797625.73</v>
      </c>
      <c r="Q101" s="21"/>
      <c r="R101" s="151">
        <f>SUM(R96:R100)</f>
        <v>4058271</v>
      </c>
      <c r="S101" s="21"/>
      <c r="T101" s="25">
        <f>SUM(T96:T100)</f>
        <v>3673104</v>
      </c>
      <c r="U101" s="21"/>
      <c r="V101" s="25">
        <f>SUM(V96:V100)</f>
        <v>3805470</v>
      </c>
      <c r="X101" s="298">
        <f>SUM(X96:X100)</f>
        <v>132366</v>
      </c>
      <c r="Z101" s="245">
        <f>+X101/T101</f>
        <v>3.6036551102282974E-2</v>
      </c>
    </row>
    <row r="102" spans="1:28">
      <c r="E102" s="27"/>
      <c r="F102" s="26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32"/>
      <c r="S102" s="27"/>
      <c r="T102" s="1"/>
      <c r="V102" s="1"/>
    </row>
    <row r="103" spans="1:28">
      <c r="A103" s="22">
        <v>51</v>
      </c>
      <c r="B103" s="19" t="s">
        <v>22</v>
      </c>
      <c r="D103" s="6"/>
      <c r="E103" s="21"/>
      <c r="F103" s="20"/>
      <c r="G103" s="21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6"/>
      <c r="U103" s="21"/>
      <c r="V103" s="6"/>
    </row>
    <row r="104" spans="1:28">
      <c r="A104" s="23"/>
      <c r="C104" s="1" t="s">
        <v>6</v>
      </c>
      <c r="D104" s="20">
        <v>2119497.5499999998</v>
      </c>
      <c r="E104" s="20">
        <v>0</v>
      </c>
      <c r="F104" s="20">
        <v>2344974.46</v>
      </c>
      <c r="G104" s="20">
        <v>0</v>
      </c>
      <c r="H104" s="20">
        <v>2234547.33</v>
      </c>
      <c r="I104" s="20">
        <v>0</v>
      </c>
      <c r="J104" s="20">
        <v>2124525.19</v>
      </c>
      <c r="K104" s="20">
        <v>0</v>
      </c>
      <c r="L104" s="173">
        <v>2139033.63</v>
      </c>
      <c r="M104" s="173"/>
      <c r="N104" s="173">
        <v>2172236.7200000002</v>
      </c>
      <c r="O104" s="173"/>
      <c r="P104" s="21">
        <v>5177866.43</v>
      </c>
      <c r="Q104" s="173"/>
      <c r="R104" s="21">
        <v>5459336</v>
      </c>
      <c r="S104" s="20"/>
      <c r="T104" s="6">
        <v>5260172</v>
      </c>
      <c r="U104" s="21"/>
      <c r="V104" s="6">
        <v>5365105</v>
      </c>
      <c r="X104" s="49">
        <f>+V104-T104</f>
        <v>104933</v>
      </c>
      <c r="Y104" s="11"/>
      <c r="Z104" s="64">
        <f>+X104/T104</f>
        <v>1.9948587232508745E-2</v>
      </c>
      <c r="AB104" s="1" t="s">
        <v>85</v>
      </c>
    </row>
    <row r="105" spans="1:28">
      <c r="A105" s="23"/>
      <c r="C105" s="1" t="s">
        <v>7</v>
      </c>
      <c r="D105" s="20">
        <f>2443159.44+4820.07</f>
        <v>2447979.5099999998</v>
      </c>
      <c r="E105" s="20">
        <v>0</v>
      </c>
      <c r="F105" s="20">
        <f>2678483.2+4859.67</f>
        <v>2683342.87</v>
      </c>
      <c r="G105" s="20">
        <v>0</v>
      </c>
      <c r="H105" s="20">
        <f>2575534.68+3908.58</f>
        <v>2579443.2600000002</v>
      </c>
      <c r="I105" s="20">
        <v>0</v>
      </c>
      <c r="J105" s="20">
        <f>2460437.43+4760.72</f>
        <v>2465198.1500000004</v>
      </c>
      <c r="K105" s="20">
        <v>0</v>
      </c>
      <c r="L105" s="173">
        <v>2290773.19</v>
      </c>
      <c r="M105" s="173"/>
      <c r="N105" s="173">
        <v>2470760.37</v>
      </c>
      <c r="O105" s="173"/>
      <c r="P105" s="21">
        <f>5157.54+4508008.45</f>
        <v>4513165.99</v>
      </c>
      <c r="Q105" s="173"/>
      <c r="R105" s="21">
        <f>4000+4722490</f>
        <v>4726490</v>
      </c>
      <c r="S105" s="20"/>
      <c r="T105" s="6">
        <f>4859660+4000+414256</f>
        <v>5277916</v>
      </c>
      <c r="U105" s="21"/>
      <c r="V105" s="6">
        <f>4783176+5000</f>
        <v>4788176</v>
      </c>
      <c r="X105" s="21">
        <f>+V105-T105</f>
        <v>-489740</v>
      </c>
      <c r="Y105" s="11"/>
      <c r="Z105" s="64">
        <f t="shared" ref="Z105:Z106" si="23">+X105/T105</f>
        <v>-9.279041197321064E-2</v>
      </c>
    </row>
    <row r="106" spans="1:28">
      <c r="A106" s="23"/>
      <c r="C106" s="1" t="s">
        <v>8</v>
      </c>
      <c r="D106" s="20">
        <v>538124.64</v>
      </c>
      <c r="E106" s="20">
        <v>0</v>
      </c>
      <c r="F106" s="20">
        <v>476902.86</v>
      </c>
      <c r="G106" s="20">
        <v>0</v>
      </c>
      <c r="H106" s="20">
        <v>576122.4</v>
      </c>
      <c r="I106" s="20">
        <v>0</v>
      </c>
      <c r="J106" s="20">
        <v>527149.31000000006</v>
      </c>
      <c r="K106" s="20">
        <v>0</v>
      </c>
      <c r="L106" s="173">
        <v>544676.12</v>
      </c>
      <c r="M106" s="173"/>
      <c r="N106" s="173">
        <v>654021.24</v>
      </c>
      <c r="O106" s="173"/>
      <c r="P106" s="21">
        <v>871425.8</v>
      </c>
      <c r="Q106" s="173"/>
      <c r="R106" s="21">
        <v>795372</v>
      </c>
      <c r="S106" s="20"/>
      <c r="T106" s="6">
        <v>930199</v>
      </c>
      <c r="U106" s="21"/>
      <c r="V106" s="6">
        <v>931134</v>
      </c>
      <c r="X106" s="21">
        <f t="shared" ref="X106:X108" si="24">+V106-T106</f>
        <v>935</v>
      </c>
      <c r="Y106" s="11"/>
      <c r="Z106" s="64">
        <f t="shared" si="23"/>
        <v>1.0051612611924976E-3</v>
      </c>
    </row>
    <row r="107" spans="1:28">
      <c r="A107" s="23"/>
      <c r="C107" s="1" t="s">
        <v>9</v>
      </c>
      <c r="D107" s="20">
        <v>302007.96000000002</v>
      </c>
      <c r="E107" s="20">
        <v>0</v>
      </c>
      <c r="F107" s="20">
        <v>286681.98</v>
      </c>
      <c r="G107" s="20">
        <v>0</v>
      </c>
      <c r="H107" s="20">
        <v>345487.85</v>
      </c>
      <c r="I107" s="20">
        <v>0</v>
      </c>
      <c r="J107" s="20">
        <v>377266.78</v>
      </c>
      <c r="K107" s="20">
        <v>0</v>
      </c>
      <c r="L107" s="173">
        <v>519870.28</v>
      </c>
      <c r="M107" s="173"/>
      <c r="N107" s="173">
        <v>429305.22</v>
      </c>
      <c r="O107" s="173"/>
      <c r="P107" s="21">
        <v>1706139.84</v>
      </c>
      <c r="Q107" s="173"/>
      <c r="R107" s="21">
        <v>1978335</v>
      </c>
      <c r="S107" s="20"/>
      <c r="T107" s="6">
        <v>2243111</v>
      </c>
      <c r="U107" s="21"/>
      <c r="V107" s="6">
        <v>2565627</v>
      </c>
      <c r="X107" s="21">
        <f t="shared" si="24"/>
        <v>322516</v>
      </c>
      <c r="Y107" s="11"/>
      <c r="Z107" s="64">
        <f>+X107/T107</f>
        <v>0.14378066890136065</v>
      </c>
    </row>
    <row r="108" spans="1:28">
      <c r="A108" s="23"/>
      <c r="C108" s="1" t="s">
        <v>10</v>
      </c>
      <c r="D108" s="20">
        <v>75939</v>
      </c>
      <c r="E108" s="20">
        <v>0</v>
      </c>
      <c r="F108" s="20">
        <v>106616.08</v>
      </c>
      <c r="G108" s="20">
        <v>0</v>
      </c>
      <c r="H108" s="20">
        <v>104770.17</v>
      </c>
      <c r="I108" s="20">
        <v>0</v>
      </c>
      <c r="J108" s="20">
        <v>37988.79</v>
      </c>
      <c r="K108" s="20">
        <v>0</v>
      </c>
      <c r="L108" s="173">
        <v>132045.62</v>
      </c>
      <c r="M108" s="173"/>
      <c r="N108" s="173">
        <v>494834.76</v>
      </c>
      <c r="O108" s="173"/>
      <c r="P108" s="21">
        <v>5290.92</v>
      </c>
      <c r="Q108" s="173"/>
      <c r="R108" s="21">
        <v>32000</v>
      </c>
      <c r="S108" s="20"/>
      <c r="T108" s="6">
        <v>0</v>
      </c>
      <c r="U108" s="274" t="s">
        <v>85</v>
      </c>
      <c r="V108" s="6">
        <v>5500</v>
      </c>
      <c r="X108" s="21">
        <f t="shared" si="24"/>
        <v>5500</v>
      </c>
      <c r="Y108" s="11"/>
      <c r="Z108" s="312" t="e">
        <f>+X108/T108</f>
        <v>#DIV/0!</v>
      </c>
    </row>
    <row r="109" spans="1:28">
      <c r="A109" s="23"/>
      <c r="C109" s="22" t="s">
        <v>11</v>
      </c>
      <c r="D109" s="25">
        <f>SUM(D104:D108)</f>
        <v>5483548.6599999992</v>
      </c>
      <c r="E109" s="21"/>
      <c r="F109" s="25">
        <f>SUM(F104:F108)</f>
        <v>5898518.25</v>
      </c>
      <c r="G109" s="21"/>
      <c r="H109" s="25">
        <f>SUM(H104:H108)</f>
        <v>5840371.0099999998</v>
      </c>
      <c r="I109" s="25">
        <f>SUM(I104:I108)</f>
        <v>0</v>
      </c>
      <c r="J109" s="25">
        <f>SUM(J104:J108)</f>
        <v>5532128.2200000007</v>
      </c>
      <c r="K109" s="21"/>
      <c r="L109" s="25">
        <f>SUM(L104:L108)</f>
        <v>5626398.8400000008</v>
      </c>
      <c r="M109" s="21"/>
      <c r="N109" s="25">
        <f>SUM(N104:N108)</f>
        <v>6221158.3099999996</v>
      </c>
      <c r="O109" s="21"/>
      <c r="P109" s="25">
        <f>SUM(P104:P108)</f>
        <v>12273888.98</v>
      </c>
      <c r="Q109" s="21"/>
      <c r="R109" s="151">
        <f>SUM(R104:R108)</f>
        <v>12991533</v>
      </c>
      <c r="S109" s="21"/>
      <c r="T109" s="25">
        <f>SUM(T104:T108)</f>
        <v>13711398</v>
      </c>
      <c r="U109" s="21"/>
      <c r="V109" s="25">
        <f>SUM(V104:V108)</f>
        <v>13655542</v>
      </c>
      <c r="X109" s="298">
        <f>SUM(X104:X108)</f>
        <v>-55856</v>
      </c>
      <c r="Z109" s="245">
        <f>+X109/T109</f>
        <v>-4.0736910999155593E-3</v>
      </c>
    </row>
    <row r="110" spans="1:28">
      <c r="R110" s="32"/>
      <c r="T110" s="1"/>
      <c r="V110" s="1"/>
    </row>
    <row r="111" spans="1:28">
      <c r="A111" s="22">
        <v>52</v>
      </c>
      <c r="B111" s="19" t="s">
        <v>23</v>
      </c>
      <c r="D111" s="6"/>
      <c r="E111" s="21"/>
      <c r="F111" s="20"/>
      <c r="G111" s="21"/>
      <c r="H111" s="20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6"/>
      <c r="U111" s="21"/>
      <c r="V111" s="6"/>
    </row>
    <row r="112" spans="1:28">
      <c r="A112" s="23"/>
      <c r="C112" s="1" t="s">
        <v>6</v>
      </c>
      <c r="D112" s="20">
        <v>102279.46</v>
      </c>
      <c r="E112" s="20">
        <v>0</v>
      </c>
      <c r="F112" s="20">
        <v>166587.07</v>
      </c>
      <c r="G112" s="20">
        <v>0</v>
      </c>
      <c r="H112" s="20">
        <f>183209.49+6311</f>
        <v>189520.49</v>
      </c>
      <c r="I112" s="20">
        <v>0</v>
      </c>
      <c r="J112" s="20">
        <v>174003.27</v>
      </c>
      <c r="K112" s="20">
        <v>0</v>
      </c>
      <c r="L112" s="173">
        <v>180596.01</v>
      </c>
      <c r="M112" s="173"/>
      <c r="N112" s="173">
        <v>206297.54</v>
      </c>
      <c r="O112" s="173"/>
      <c r="P112" s="21">
        <f>37512.02+387744.41</f>
        <v>425256.43</v>
      </c>
      <c r="Q112" s="173"/>
      <c r="R112" s="21">
        <f>81218+481525-15106-30417</f>
        <v>517220</v>
      </c>
      <c r="S112" s="20"/>
      <c r="T112" s="6">
        <f>81218+420758</f>
        <v>501976</v>
      </c>
      <c r="U112" s="21"/>
      <c r="V112" s="6">
        <f>330348+70000</f>
        <v>400348</v>
      </c>
      <c r="X112" s="49">
        <f>+V112-T112</f>
        <v>-101628</v>
      </c>
      <c r="Y112" s="11"/>
      <c r="Z112" s="64">
        <f>+X112/T112</f>
        <v>-0.20245589430570385</v>
      </c>
    </row>
    <row r="113" spans="1:28">
      <c r="A113" s="23"/>
      <c r="C113" s="1" t="s">
        <v>7</v>
      </c>
      <c r="D113" s="20">
        <f>22240.65+99221.23</f>
        <v>121461.88</v>
      </c>
      <c r="E113" s="20">
        <v>0</v>
      </c>
      <c r="F113" s="20">
        <f>136752.46+21911.01</f>
        <v>158663.47</v>
      </c>
      <c r="G113" s="20">
        <v>0</v>
      </c>
      <c r="H113" s="20">
        <f>152212.17+20197.97</f>
        <v>172410.14</v>
      </c>
      <c r="I113" s="20">
        <v>0</v>
      </c>
      <c r="J113" s="20">
        <f>75480.53+15834.2</f>
        <v>91314.73</v>
      </c>
      <c r="K113" s="20">
        <v>0</v>
      </c>
      <c r="L113" s="173">
        <v>99425.02</v>
      </c>
      <c r="M113" s="173"/>
      <c r="N113" s="173">
        <v>235677.46</v>
      </c>
      <c r="O113" s="173"/>
      <c r="P113" s="21">
        <v>1095301.0900000001</v>
      </c>
      <c r="Q113" s="173"/>
      <c r="R113" s="21">
        <v>1327420</v>
      </c>
      <c r="S113" s="20"/>
      <c r="T113" s="6">
        <v>1400946</v>
      </c>
      <c r="U113" s="21"/>
      <c r="V113" s="6">
        <v>1722050</v>
      </c>
      <c r="X113" s="21">
        <f>+V113-T113</f>
        <v>321104</v>
      </c>
      <c r="Y113" s="11"/>
      <c r="Z113" s="64">
        <f t="shared" ref="Z113:Z115" si="25">+X113/T113</f>
        <v>0.22920512282414882</v>
      </c>
    </row>
    <row r="114" spans="1:28">
      <c r="A114" s="23"/>
      <c r="C114" s="1" t="s">
        <v>8</v>
      </c>
      <c r="D114" s="20">
        <v>42660.35</v>
      </c>
      <c r="E114" s="20">
        <v>0</v>
      </c>
      <c r="F114" s="20">
        <v>63919</v>
      </c>
      <c r="G114" s="20">
        <v>0</v>
      </c>
      <c r="H114" s="20">
        <v>86640.84</v>
      </c>
      <c r="I114" s="20">
        <v>0</v>
      </c>
      <c r="J114" s="20">
        <v>60474.45</v>
      </c>
      <c r="K114" s="20">
        <v>0</v>
      </c>
      <c r="L114" s="173">
        <v>89350.18</v>
      </c>
      <c r="M114" s="173"/>
      <c r="N114" s="173">
        <v>57660.24</v>
      </c>
      <c r="O114" s="173"/>
      <c r="P114" s="21">
        <v>87244.6</v>
      </c>
      <c r="Q114" s="173"/>
      <c r="R114" s="21">
        <v>167204</v>
      </c>
      <c r="S114" s="20"/>
      <c r="T114" s="6">
        <v>97540</v>
      </c>
      <c r="U114" s="21"/>
      <c r="V114" s="6">
        <v>152367</v>
      </c>
      <c r="X114" s="21">
        <f t="shared" ref="X114:X116" si="26">+V114-T114</f>
        <v>54827</v>
      </c>
      <c r="Y114" s="11"/>
      <c r="Z114" s="64">
        <f t="shared" si="25"/>
        <v>0.56209760098421158</v>
      </c>
    </row>
    <row r="115" spans="1:28">
      <c r="A115" s="23"/>
      <c r="C115" s="1" t="s">
        <v>9</v>
      </c>
      <c r="D115" s="20">
        <v>0</v>
      </c>
      <c r="E115" s="20">
        <v>0</v>
      </c>
      <c r="F115" s="20">
        <v>1303.68</v>
      </c>
      <c r="G115" s="20">
        <v>0</v>
      </c>
      <c r="H115" s="20">
        <v>1342.06</v>
      </c>
      <c r="I115" s="20">
        <v>0</v>
      </c>
      <c r="J115" s="20">
        <v>250</v>
      </c>
      <c r="K115" s="20">
        <v>0</v>
      </c>
      <c r="L115" s="173">
        <v>1916.59</v>
      </c>
      <c r="M115" s="173"/>
      <c r="N115" s="173">
        <v>1343.35</v>
      </c>
      <c r="O115" s="173"/>
      <c r="P115" s="21">
        <v>60215.25</v>
      </c>
      <c r="Q115" s="173"/>
      <c r="R115" s="21">
        <v>132256</v>
      </c>
      <c r="S115" s="20"/>
      <c r="T115" s="6">
        <v>133531</v>
      </c>
      <c r="U115" s="21"/>
      <c r="V115" s="6">
        <v>272802</v>
      </c>
      <c r="X115" s="21">
        <f t="shared" si="26"/>
        <v>139271</v>
      </c>
      <c r="Y115" s="11"/>
      <c r="Z115" s="64">
        <f t="shared" si="25"/>
        <v>1.0429862728504991</v>
      </c>
    </row>
    <row r="116" spans="1:28">
      <c r="A116" s="23"/>
      <c r="C116" s="1" t="s">
        <v>10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173">
        <v>0</v>
      </c>
      <c r="M116" s="173"/>
      <c r="N116" s="173">
        <v>0</v>
      </c>
      <c r="O116" s="173"/>
      <c r="P116" s="173">
        <v>0</v>
      </c>
      <c r="Q116" s="173"/>
      <c r="R116" s="21">
        <v>0</v>
      </c>
      <c r="S116" s="20"/>
      <c r="T116" s="6">
        <v>0</v>
      </c>
      <c r="U116" s="21"/>
      <c r="V116" s="6">
        <v>0</v>
      </c>
      <c r="X116" s="21">
        <f t="shared" si="26"/>
        <v>0</v>
      </c>
      <c r="Y116" s="11"/>
      <c r="Z116" s="64">
        <v>0</v>
      </c>
    </row>
    <row r="117" spans="1:28">
      <c r="A117" s="23"/>
      <c r="C117" s="22" t="s">
        <v>11</v>
      </c>
      <c r="D117" s="25">
        <f>SUM(D112:D116)</f>
        <v>266401.69</v>
      </c>
      <c r="E117" s="21"/>
      <c r="F117" s="25">
        <f>SUM(F112:F116)</f>
        <v>390473.22000000003</v>
      </c>
      <c r="G117" s="21"/>
      <c r="H117" s="25">
        <f>SUM(H112:H116)</f>
        <v>449913.52999999997</v>
      </c>
      <c r="I117" s="25">
        <f>SUM(I112:I116)</f>
        <v>0</v>
      </c>
      <c r="J117" s="25">
        <f>SUM(J112:J116)</f>
        <v>326042.45</v>
      </c>
      <c r="K117" s="21"/>
      <c r="L117" s="25">
        <f>SUM(L112:L116)</f>
        <v>371287.80000000005</v>
      </c>
      <c r="M117" s="21"/>
      <c r="N117" s="25">
        <f>SUM(N112:N116)</f>
        <v>500978.58999999997</v>
      </c>
      <c r="O117" s="21"/>
      <c r="P117" s="25">
        <f>SUM(P112:P116)</f>
        <v>1668017.37</v>
      </c>
      <c r="Q117" s="21"/>
      <c r="R117" s="151">
        <f>SUM(R112:R116)</f>
        <v>2144100</v>
      </c>
      <c r="S117" s="21"/>
      <c r="T117" s="25">
        <f>SUM(T112:T116)</f>
        <v>2133993</v>
      </c>
      <c r="U117" s="21"/>
      <c r="V117" s="25">
        <f>SUM(V112:V116)</f>
        <v>2547567</v>
      </c>
      <c r="X117" s="298">
        <f>SUM(X112:X116)</f>
        <v>413574</v>
      </c>
      <c r="Z117" s="245">
        <f>+X117/T117</f>
        <v>0.19380288501414952</v>
      </c>
    </row>
    <row r="118" spans="1:28">
      <c r="R118" s="32"/>
      <c r="T118" s="1"/>
      <c r="V118" s="1"/>
    </row>
    <row r="119" spans="1:28">
      <c r="A119" s="22">
        <v>53</v>
      </c>
      <c r="B119" s="19" t="s">
        <v>24</v>
      </c>
      <c r="D119" s="6"/>
      <c r="E119" s="21"/>
      <c r="F119" s="20"/>
      <c r="G119" s="21"/>
      <c r="H119" s="20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6"/>
      <c r="U119" s="21"/>
      <c r="V119" s="6"/>
    </row>
    <row r="120" spans="1:28">
      <c r="A120" s="23"/>
      <c r="C120" s="1" t="s">
        <v>6</v>
      </c>
      <c r="D120" s="20">
        <v>656231.54</v>
      </c>
      <c r="E120" s="20">
        <v>0</v>
      </c>
      <c r="F120" s="20">
        <v>661305.49</v>
      </c>
      <c r="G120" s="20">
        <v>0</v>
      </c>
      <c r="H120" s="20">
        <f>681764.68+45692</f>
        <v>727456.68</v>
      </c>
      <c r="I120" s="20">
        <v>0</v>
      </c>
      <c r="J120" s="20">
        <v>734821.5</v>
      </c>
      <c r="K120" s="20">
        <v>0</v>
      </c>
      <c r="L120" s="173">
        <v>698192.1</v>
      </c>
      <c r="M120" s="173"/>
      <c r="N120" s="173">
        <v>795575.02</v>
      </c>
      <c r="O120" s="173"/>
      <c r="P120" s="21">
        <v>1147815.8999999999</v>
      </c>
      <c r="Q120" s="173"/>
      <c r="R120" s="21">
        <v>1213472</v>
      </c>
      <c r="S120" s="20"/>
      <c r="T120" s="6">
        <v>1147772</v>
      </c>
      <c r="U120" s="21"/>
      <c r="V120" s="6">
        <v>1047562</v>
      </c>
      <c r="X120" s="49">
        <f>+V120-T120</f>
        <v>-100210</v>
      </c>
      <c r="Y120" s="11"/>
      <c r="Z120" s="64">
        <f>+X120/T120</f>
        <v>-8.7308280738683297E-2</v>
      </c>
      <c r="AB120" s="1" t="s">
        <v>85</v>
      </c>
    </row>
    <row r="121" spans="1:28">
      <c r="A121" s="23"/>
      <c r="C121" s="1" t="s">
        <v>7</v>
      </c>
      <c r="D121" s="20">
        <v>11954.32</v>
      </c>
      <c r="E121" s="20">
        <v>0</v>
      </c>
      <c r="F121" s="20">
        <v>32167.49</v>
      </c>
      <c r="G121" s="20">
        <v>0</v>
      </c>
      <c r="H121" s="20">
        <v>37039.39</v>
      </c>
      <c r="I121" s="20">
        <v>0</v>
      </c>
      <c r="J121" s="20">
        <v>44095.5</v>
      </c>
      <c r="K121" s="20">
        <v>0</v>
      </c>
      <c r="L121" s="173">
        <v>28718.93</v>
      </c>
      <c r="M121" s="173"/>
      <c r="N121" s="173">
        <v>30254.51</v>
      </c>
      <c r="O121" s="173"/>
      <c r="P121" s="21">
        <v>47493.88</v>
      </c>
      <c r="Q121" s="173"/>
      <c r="R121" s="21">
        <v>56660</v>
      </c>
      <c r="S121" s="20"/>
      <c r="T121" s="6">
        <f>29684+64908</f>
        <v>94592</v>
      </c>
      <c r="U121" s="21"/>
      <c r="V121" s="6">
        <v>61200</v>
      </c>
      <c r="X121" s="21">
        <f>+V121-T121</f>
        <v>-33392</v>
      </c>
      <c r="Y121" s="11"/>
      <c r="Z121" s="64">
        <f t="shared" ref="Z121:Z123" si="27">+X121/T121</f>
        <v>-0.35301082543978352</v>
      </c>
    </row>
    <row r="122" spans="1:28">
      <c r="A122" s="23"/>
      <c r="C122" s="1" t="s">
        <v>8</v>
      </c>
      <c r="D122" s="20">
        <v>288446.8</v>
      </c>
      <c r="E122" s="20">
        <v>0</v>
      </c>
      <c r="F122" s="20">
        <v>168282.03</v>
      </c>
      <c r="G122" s="20">
        <v>0</v>
      </c>
      <c r="H122" s="20">
        <v>261643.48</v>
      </c>
      <c r="I122" s="20">
        <v>0</v>
      </c>
      <c r="J122" s="20">
        <v>266981.7</v>
      </c>
      <c r="K122" s="20">
        <v>0</v>
      </c>
      <c r="L122" s="173">
        <v>268854.52</v>
      </c>
      <c r="M122" s="173"/>
      <c r="N122" s="173">
        <v>242720.86</v>
      </c>
      <c r="O122" s="173"/>
      <c r="P122" s="21">
        <v>567956.63</v>
      </c>
      <c r="Q122" s="173"/>
      <c r="R122" s="21">
        <v>616518</v>
      </c>
      <c r="S122" s="20"/>
      <c r="T122" s="6">
        <v>505554</v>
      </c>
      <c r="U122" s="21"/>
      <c r="V122" s="6">
        <v>545099</v>
      </c>
      <c r="X122" s="21">
        <f t="shared" ref="X122:X123" si="28">+V122-T122</f>
        <v>39545</v>
      </c>
      <c r="Y122" s="11"/>
      <c r="Z122" s="64">
        <f t="shared" si="27"/>
        <v>7.822111980124774E-2</v>
      </c>
    </row>
    <row r="123" spans="1:28">
      <c r="A123" s="23"/>
      <c r="C123" s="1" t="s">
        <v>9</v>
      </c>
      <c r="D123" s="20">
        <v>9193.39</v>
      </c>
      <c r="E123" s="20">
        <v>0</v>
      </c>
      <c r="F123" s="20">
        <v>6680.57</v>
      </c>
      <c r="G123" s="20">
        <v>0</v>
      </c>
      <c r="H123" s="20">
        <v>6031.75</v>
      </c>
      <c r="I123" s="20">
        <v>0</v>
      </c>
      <c r="J123" s="20">
        <v>5838.17</v>
      </c>
      <c r="K123" s="20">
        <v>0</v>
      </c>
      <c r="L123" s="173">
        <v>5729.48</v>
      </c>
      <c r="M123" s="173"/>
      <c r="N123" s="173">
        <v>5933.31</v>
      </c>
      <c r="O123" s="173"/>
      <c r="P123" s="21">
        <v>15671.79</v>
      </c>
      <c r="Q123" s="173"/>
      <c r="R123" s="21">
        <v>21570</v>
      </c>
      <c r="S123" s="20"/>
      <c r="T123" s="6">
        <v>16370</v>
      </c>
      <c r="U123" s="21"/>
      <c r="V123" s="6">
        <v>11845</v>
      </c>
      <c r="X123" s="21">
        <f t="shared" si="28"/>
        <v>-4525</v>
      </c>
      <c r="Y123" s="11"/>
      <c r="Z123" s="64">
        <f t="shared" si="27"/>
        <v>-0.27642028100183264</v>
      </c>
    </row>
    <row r="124" spans="1:28">
      <c r="A124" s="23"/>
      <c r="C124" s="1" t="s">
        <v>10</v>
      </c>
      <c r="D124" s="20">
        <v>15154.77</v>
      </c>
      <c r="E124" s="20">
        <v>0</v>
      </c>
      <c r="F124" s="20">
        <v>49370.06</v>
      </c>
      <c r="G124" s="20">
        <v>0</v>
      </c>
      <c r="H124" s="20">
        <v>17272.07</v>
      </c>
      <c r="I124" s="20">
        <v>0</v>
      </c>
      <c r="J124" s="20">
        <v>17669</v>
      </c>
      <c r="K124" s="20">
        <v>0</v>
      </c>
      <c r="L124" s="173">
        <v>0</v>
      </c>
      <c r="M124" s="173"/>
      <c r="N124" s="173">
        <v>17999</v>
      </c>
      <c r="O124" s="173"/>
      <c r="P124" s="21">
        <v>0</v>
      </c>
      <c r="Q124" s="173"/>
      <c r="R124" s="21"/>
      <c r="S124" s="20"/>
      <c r="T124" s="6">
        <v>0</v>
      </c>
      <c r="U124" s="21"/>
      <c r="V124" s="6"/>
      <c r="X124" s="21">
        <f t="shared" ref="X124" si="29">+V124-T124</f>
        <v>0</v>
      </c>
      <c r="Y124" s="11"/>
      <c r="Z124" s="64">
        <v>0</v>
      </c>
    </row>
    <row r="125" spans="1:28">
      <c r="A125" s="23"/>
      <c r="C125" s="22" t="s">
        <v>11</v>
      </c>
      <c r="D125" s="25">
        <f>SUM(D120:D124)</f>
        <v>980980.82</v>
      </c>
      <c r="E125" s="21"/>
      <c r="F125" s="25">
        <f>SUM(F120:F124)</f>
        <v>917805.6399999999</v>
      </c>
      <c r="G125" s="21"/>
      <c r="H125" s="25">
        <f>SUM(H120:H124)</f>
        <v>1049443.3700000001</v>
      </c>
      <c r="I125" s="25">
        <f>SUM(I120:I124)</f>
        <v>0</v>
      </c>
      <c r="J125" s="25">
        <f>SUM(J120:J124)</f>
        <v>1069405.8699999999</v>
      </c>
      <c r="K125" s="21"/>
      <c r="L125" s="25">
        <f>SUM(L120:L124)</f>
        <v>1001495.03</v>
      </c>
      <c r="M125" s="21"/>
      <c r="N125" s="25">
        <f>SUM(N120:N124)</f>
        <v>1092482.7000000002</v>
      </c>
      <c r="O125" s="21"/>
      <c r="P125" s="25">
        <f>SUM(P120:P124)</f>
        <v>1778938.1999999997</v>
      </c>
      <c r="Q125" s="21"/>
      <c r="R125" s="151">
        <f>SUM(R120:R124)</f>
        <v>1908220</v>
      </c>
      <c r="S125" s="21"/>
      <c r="T125" s="25">
        <f>SUM(T120:T124)</f>
        <v>1764288</v>
      </c>
      <c r="U125" s="21"/>
      <c r="V125" s="25">
        <f>SUM(V120:V124)</f>
        <v>1665706</v>
      </c>
      <c r="X125" s="298">
        <f>SUM(X120:X124)</f>
        <v>-98582</v>
      </c>
      <c r="Z125" s="245">
        <f>+X125/T125</f>
        <v>-5.5876364856531358E-2</v>
      </c>
    </row>
    <row r="126" spans="1:28">
      <c r="R126" s="32"/>
      <c r="T126" s="1"/>
      <c r="V126" s="1"/>
    </row>
    <row r="127" spans="1:28">
      <c r="A127" s="22">
        <v>61</v>
      </c>
      <c r="B127" s="19" t="s">
        <v>25</v>
      </c>
      <c r="D127" s="6"/>
      <c r="E127" s="21"/>
      <c r="F127" s="20"/>
      <c r="G127" s="21"/>
      <c r="H127" s="20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6"/>
      <c r="U127" s="21"/>
      <c r="V127" s="6"/>
    </row>
    <row r="128" spans="1:28">
      <c r="A128" s="23"/>
      <c r="C128" s="1" t="s">
        <v>6</v>
      </c>
      <c r="D128" s="20">
        <v>0</v>
      </c>
      <c r="E128" s="20">
        <v>0</v>
      </c>
      <c r="F128" s="20">
        <v>0</v>
      </c>
      <c r="G128" s="20">
        <v>0</v>
      </c>
      <c r="H128" s="20">
        <v>28.05</v>
      </c>
      <c r="I128" s="20">
        <v>0</v>
      </c>
      <c r="J128" s="20">
        <v>0</v>
      </c>
      <c r="K128" s="20">
        <v>0</v>
      </c>
      <c r="L128" s="173">
        <v>5936.56</v>
      </c>
      <c r="M128" s="173"/>
      <c r="N128" s="173">
        <v>5206.32</v>
      </c>
      <c r="O128" s="173"/>
      <c r="P128" s="21">
        <v>0</v>
      </c>
      <c r="Q128" s="173"/>
      <c r="R128" s="21">
        <v>0</v>
      </c>
      <c r="S128" s="20"/>
      <c r="T128" s="6">
        <v>0</v>
      </c>
      <c r="U128" s="21"/>
      <c r="V128" s="6">
        <v>0</v>
      </c>
      <c r="X128" s="49">
        <f>+V128-T128</f>
        <v>0</v>
      </c>
      <c r="Y128" s="11"/>
      <c r="Z128" s="312" t="e">
        <f>+X128/T128</f>
        <v>#DIV/0!</v>
      </c>
    </row>
    <row r="129" spans="1:26">
      <c r="A129" s="23"/>
      <c r="C129" s="1" t="s">
        <v>7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173">
        <v>0</v>
      </c>
      <c r="M129" s="173"/>
      <c r="N129" s="173">
        <v>0</v>
      </c>
      <c r="O129" s="173"/>
      <c r="P129" s="173"/>
      <c r="Q129" s="173"/>
      <c r="R129" s="21">
        <v>0</v>
      </c>
      <c r="S129" s="20"/>
      <c r="T129" s="6">
        <v>0</v>
      </c>
      <c r="U129" s="21"/>
      <c r="V129" s="6">
        <v>0</v>
      </c>
      <c r="X129" s="21">
        <f>+V129-T129</f>
        <v>0</v>
      </c>
      <c r="Y129" s="11"/>
      <c r="Z129" s="64">
        <v>0</v>
      </c>
    </row>
    <row r="130" spans="1:26">
      <c r="A130" s="23"/>
      <c r="C130" s="1" t="s">
        <v>8</v>
      </c>
      <c r="D130" s="20">
        <v>0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173">
        <v>0</v>
      </c>
      <c r="M130" s="173"/>
      <c r="N130" s="173">
        <v>0</v>
      </c>
      <c r="O130" s="173"/>
      <c r="P130" s="173">
        <v>0</v>
      </c>
      <c r="Q130" s="173"/>
      <c r="R130" s="21">
        <v>0</v>
      </c>
      <c r="S130" s="20"/>
      <c r="T130" s="6">
        <v>0</v>
      </c>
      <c r="U130" s="21"/>
      <c r="V130" s="6">
        <v>0</v>
      </c>
      <c r="X130" s="21">
        <f t="shared" ref="X130:X132" si="30">+V130-T130</f>
        <v>0</v>
      </c>
      <c r="Y130" s="11"/>
      <c r="Z130" s="64">
        <v>0</v>
      </c>
    </row>
    <row r="131" spans="1:26">
      <c r="A131" s="23"/>
      <c r="C131" s="1" t="s">
        <v>9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173">
        <v>0</v>
      </c>
      <c r="M131" s="173"/>
      <c r="N131" s="173">
        <v>0</v>
      </c>
      <c r="O131" s="173"/>
      <c r="P131" s="173">
        <v>0</v>
      </c>
      <c r="Q131" s="173"/>
      <c r="R131" s="21">
        <v>0</v>
      </c>
      <c r="S131" s="20"/>
      <c r="T131" s="6">
        <v>0</v>
      </c>
      <c r="U131" s="21"/>
      <c r="V131" s="6">
        <v>0</v>
      </c>
      <c r="X131" s="21">
        <f t="shared" si="30"/>
        <v>0</v>
      </c>
      <c r="Y131" s="11"/>
      <c r="Z131" s="64">
        <v>0</v>
      </c>
    </row>
    <row r="132" spans="1:26">
      <c r="A132" s="23"/>
      <c r="C132" s="1" t="s">
        <v>10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173">
        <v>0</v>
      </c>
      <c r="M132" s="173"/>
      <c r="N132" s="173">
        <v>0</v>
      </c>
      <c r="O132" s="173"/>
      <c r="P132" s="173"/>
      <c r="Q132" s="173"/>
      <c r="R132" s="21">
        <v>0</v>
      </c>
      <c r="S132" s="20"/>
      <c r="T132" s="6">
        <v>0</v>
      </c>
      <c r="U132" s="21"/>
      <c r="V132" s="6">
        <v>0</v>
      </c>
      <c r="X132" s="21">
        <f t="shared" si="30"/>
        <v>0</v>
      </c>
      <c r="Y132" s="11"/>
      <c r="Z132" s="64">
        <v>0</v>
      </c>
    </row>
    <row r="133" spans="1:26">
      <c r="A133" s="23"/>
      <c r="C133" s="22" t="s">
        <v>11</v>
      </c>
      <c r="D133" s="25">
        <f>SUM(D128:D132)</f>
        <v>0</v>
      </c>
      <c r="E133" s="21"/>
      <c r="F133" s="25">
        <f>SUM(F128:F132)</f>
        <v>0</v>
      </c>
      <c r="G133" s="21"/>
      <c r="H133" s="25">
        <f>SUM(H128:H132)</f>
        <v>28.05</v>
      </c>
      <c r="I133" s="25">
        <f>SUM(I128:I132)</f>
        <v>0</v>
      </c>
      <c r="J133" s="25">
        <f>SUM(J128:J132)</f>
        <v>0</v>
      </c>
      <c r="K133" s="21"/>
      <c r="L133" s="25">
        <f>SUM(L128:L132)</f>
        <v>5936.56</v>
      </c>
      <c r="M133" s="21"/>
      <c r="N133" s="25">
        <f>SUM(N128:N132)</f>
        <v>5206.32</v>
      </c>
      <c r="O133" s="21"/>
      <c r="P133" s="25">
        <f>SUM(P128:P132)</f>
        <v>0</v>
      </c>
      <c r="Q133" s="21"/>
      <c r="R133" s="151">
        <f>SUM(R128:R132)</f>
        <v>0</v>
      </c>
      <c r="S133" s="21"/>
      <c r="T133" s="25">
        <f>SUM(T128:T132)</f>
        <v>0</v>
      </c>
      <c r="U133" s="21"/>
      <c r="V133" s="25">
        <f>SUM(V128:V132)</f>
        <v>0</v>
      </c>
      <c r="X133" s="298">
        <f>SUM(X128:X132)</f>
        <v>0</v>
      </c>
      <c r="Z133" s="245" t="e">
        <f>+X133/T133</f>
        <v>#DIV/0!</v>
      </c>
    </row>
    <row r="134" spans="1:26">
      <c r="R134" s="32"/>
      <c r="T134" s="1"/>
      <c r="V134" s="1"/>
    </row>
    <row r="135" spans="1:26">
      <c r="A135" s="22">
        <v>71</v>
      </c>
      <c r="B135" s="19" t="s">
        <v>26</v>
      </c>
      <c r="D135" s="6"/>
      <c r="E135" s="21"/>
      <c r="F135" s="20"/>
      <c r="G135" s="21"/>
      <c r="H135" s="20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6"/>
      <c r="U135" s="21"/>
      <c r="V135" s="6"/>
    </row>
    <row r="136" spans="1:26">
      <c r="A136" s="23"/>
      <c r="C136" s="1" t="s">
        <v>26</v>
      </c>
      <c r="D136" s="20">
        <v>241700</v>
      </c>
      <c r="E136" s="20">
        <v>0</v>
      </c>
      <c r="F136" s="20">
        <v>248365</v>
      </c>
      <c r="G136" s="20">
        <v>0</v>
      </c>
      <c r="H136" s="20">
        <v>254660</v>
      </c>
      <c r="I136" s="20">
        <v>0</v>
      </c>
      <c r="J136" s="20">
        <v>261095</v>
      </c>
      <c r="K136" s="20">
        <v>0</v>
      </c>
      <c r="L136" s="173">
        <v>1369706.36</v>
      </c>
      <c r="M136" s="173"/>
      <c r="N136" s="173">
        <v>0</v>
      </c>
      <c r="O136" s="173"/>
      <c r="P136" s="21">
        <v>0</v>
      </c>
      <c r="Q136" s="173"/>
      <c r="R136" s="21">
        <v>0</v>
      </c>
      <c r="S136" s="20"/>
      <c r="T136" s="6">
        <v>0</v>
      </c>
      <c r="U136" s="21"/>
      <c r="V136" s="6">
        <v>0</v>
      </c>
      <c r="X136" s="21">
        <f t="shared" ref="X136" si="31">+V136-T136</f>
        <v>0</v>
      </c>
      <c r="Y136" s="11"/>
      <c r="Z136" s="64">
        <v>1</v>
      </c>
    </row>
    <row r="137" spans="1:26">
      <c r="A137" s="23"/>
      <c r="C137" s="22" t="s">
        <v>11</v>
      </c>
      <c r="D137" s="25">
        <f>SUM(D136:D136)</f>
        <v>241700</v>
      </c>
      <c r="E137" s="21"/>
      <c r="F137" s="25">
        <f>SUM(F136:F136)</f>
        <v>248365</v>
      </c>
      <c r="G137" s="21"/>
      <c r="H137" s="25">
        <f>SUM(H136:H136)</f>
        <v>254660</v>
      </c>
      <c r="I137" s="25">
        <f>SUM(I136:I136)</f>
        <v>0</v>
      </c>
      <c r="J137" s="25">
        <f>SUM(J136)</f>
        <v>261095</v>
      </c>
      <c r="K137" s="21"/>
      <c r="L137" s="25">
        <f>SUM(L136)</f>
        <v>1369706.36</v>
      </c>
      <c r="M137" s="21"/>
      <c r="N137" s="25">
        <f>SUM(N136)</f>
        <v>0</v>
      </c>
      <c r="O137" s="21"/>
      <c r="P137" s="25">
        <f>SUM(P136:P136)</f>
        <v>0</v>
      </c>
      <c r="Q137" s="21"/>
      <c r="R137" s="151">
        <f>SUM(R136:R136)</f>
        <v>0</v>
      </c>
      <c r="S137" s="21"/>
      <c r="T137" s="25">
        <f>SUM(T136:T136)</f>
        <v>0</v>
      </c>
      <c r="U137" s="21"/>
      <c r="V137" s="25">
        <f>SUM(V136:V136)</f>
        <v>0</v>
      </c>
      <c r="X137" s="298">
        <f>SUM(X136:X136)</f>
        <v>0</v>
      </c>
      <c r="Z137" s="245">
        <v>1</v>
      </c>
    </row>
    <row r="138" spans="1:26">
      <c r="R138" s="32"/>
      <c r="T138" s="1"/>
      <c r="V138" s="1"/>
    </row>
    <row r="139" spans="1:26">
      <c r="A139" s="22">
        <v>81</v>
      </c>
      <c r="B139" s="19" t="s">
        <v>10</v>
      </c>
      <c r="D139" s="6"/>
      <c r="E139" s="21"/>
      <c r="F139" s="20"/>
      <c r="G139" s="21"/>
      <c r="H139" s="20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6"/>
      <c r="U139" s="21"/>
      <c r="V139" s="6"/>
    </row>
    <row r="140" spans="1:26">
      <c r="A140" s="23"/>
      <c r="C140" s="1" t="s">
        <v>10</v>
      </c>
      <c r="D140" s="20">
        <v>63750.38</v>
      </c>
      <c r="E140" s="20">
        <v>0</v>
      </c>
      <c r="F140" s="20">
        <v>118761.26</v>
      </c>
      <c r="G140" s="20">
        <v>0</v>
      </c>
      <c r="H140" s="20">
        <v>8910</v>
      </c>
      <c r="I140" s="20">
        <v>0</v>
      </c>
      <c r="J140" s="20">
        <v>0</v>
      </c>
      <c r="K140" s="20">
        <v>0</v>
      </c>
      <c r="L140" s="173">
        <v>0</v>
      </c>
      <c r="M140" s="173"/>
      <c r="N140" s="173">
        <v>0</v>
      </c>
      <c r="O140" s="173"/>
      <c r="P140" s="173">
        <v>0</v>
      </c>
      <c r="Q140" s="173"/>
      <c r="R140" s="21">
        <v>0</v>
      </c>
      <c r="S140" s="20"/>
      <c r="T140" s="6">
        <v>0</v>
      </c>
      <c r="U140" s="274" t="s">
        <v>85</v>
      </c>
      <c r="V140" s="6">
        <v>0</v>
      </c>
      <c r="X140" s="21">
        <f t="shared" ref="X140" si="32">+V140-T140</f>
        <v>0</v>
      </c>
      <c r="Y140" s="11"/>
      <c r="Z140" s="64">
        <v>0</v>
      </c>
    </row>
    <row r="141" spans="1:26">
      <c r="A141" s="23"/>
      <c r="C141" s="22" t="s">
        <v>11</v>
      </c>
      <c r="D141" s="25">
        <f>SUM(D140:D140)</f>
        <v>63750.38</v>
      </c>
      <c r="E141" s="21"/>
      <c r="F141" s="25">
        <f>SUM(F140:F140)</f>
        <v>118761.26</v>
      </c>
      <c r="G141" s="21"/>
      <c r="H141" s="25">
        <f>SUM(H140:H140)</f>
        <v>8910</v>
      </c>
      <c r="I141" s="25">
        <f>SUM(I140:I140)</f>
        <v>0</v>
      </c>
      <c r="J141" s="25">
        <f>SUM(J140)</f>
        <v>0</v>
      </c>
      <c r="K141" s="21"/>
      <c r="L141" s="25">
        <f>SUM(L140)</f>
        <v>0</v>
      </c>
      <c r="M141" s="21"/>
      <c r="N141" s="25">
        <f>SUM(N140)</f>
        <v>0</v>
      </c>
      <c r="O141" s="21"/>
      <c r="P141" s="25">
        <f>SUM(P140:P140)</f>
        <v>0</v>
      </c>
      <c r="Q141" s="21"/>
      <c r="R141" s="151">
        <f>SUM(R140:R140)</f>
        <v>0</v>
      </c>
      <c r="S141" s="21"/>
      <c r="T141" s="25">
        <f>SUM(T140:T140)</f>
        <v>0</v>
      </c>
      <c r="U141" s="21"/>
      <c r="V141" s="25">
        <f>SUM(V140:V140)</f>
        <v>0</v>
      </c>
      <c r="X141" s="299">
        <f>SUM(X140:X140)</f>
        <v>0</v>
      </c>
      <c r="Z141" s="245">
        <v>0</v>
      </c>
    </row>
    <row r="142" spans="1:26">
      <c r="R142" s="32"/>
      <c r="T142" s="1"/>
      <c r="V142" s="1"/>
    </row>
    <row r="143" spans="1:26">
      <c r="A143" s="22">
        <v>95</v>
      </c>
      <c r="B143" s="19" t="s">
        <v>27</v>
      </c>
      <c r="D143" s="6"/>
      <c r="E143" s="21"/>
      <c r="F143" s="20"/>
      <c r="G143" s="21"/>
      <c r="H143" s="20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6"/>
      <c r="U143" s="21"/>
      <c r="V143" s="6"/>
    </row>
    <row r="144" spans="1:26">
      <c r="A144" s="23"/>
      <c r="C144" s="1" t="s">
        <v>7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173">
        <v>0</v>
      </c>
      <c r="M144" s="173"/>
      <c r="N144" s="173">
        <v>0</v>
      </c>
      <c r="O144" s="173"/>
      <c r="P144" s="173">
        <v>8658</v>
      </c>
      <c r="Q144" s="173"/>
      <c r="R144" s="21">
        <v>40000</v>
      </c>
      <c r="S144" s="20"/>
      <c r="T144" s="6">
        <v>10000</v>
      </c>
      <c r="U144" s="21"/>
      <c r="V144" s="6">
        <v>40000</v>
      </c>
      <c r="X144" s="21">
        <f t="shared" ref="X144" si="33">+V144-T144</f>
        <v>30000</v>
      </c>
      <c r="Z144" s="64">
        <v>1</v>
      </c>
    </row>
    <row r="145" spans="1:26">
      <c r="A145" s="23"/>
      <c r="C145" s="22" t="s">
        <v>11</v>
      </c>
      <c r="D145" s="25">
        <f>SUM(D144:D144)</f>
        <v>0</v>
      </c>
      <c r="E145" s="21"/>
      <c r="F145" s="25">
        <f>SUM(F144:F144)</f>
        <v>0</v>
      </c>
      <c r="G145" s="21"/>
      <c r="H145" s="25">
        <f>SUM(H144:H144)</f>
        <v>0</v>
      </c>
      <c r="I145" s="25">
        <f>SUM(I144:I144)</f>
        <v>0</v>
      </c>
      <c r="J145" s="25">
        <f>SUM(J144)</f>
        <v>0</v>
      </c>
      <c r="K145" s="21"/>
      <c r="L145" s="25">
        <f>SUM(L144)</f>
        <v>0</v>
      </c>
      <c r="M145" s="21"/>
      <c r="N145" s="25">
        <f>SUM(N144)</f>
        <v>0</v>
      </c>
      <c r="O145" s="21"/>
      <c r="P145" s="25">
        <f>SUM(P144:P144)</f>
        <v>8658</v>
      </c>
      <c r="Q145" s="21"/>
      <c r="R145" s="151">
        <f>SUM(R144:R144)</f>
        <v>40000</v>
      </c>
      <c r="S145" s="21"/>
      <c r="T145" s="25">
        <f>SUM(T144:T144)</f>
        <v>10000</v>
      </c>
      <c r="U145" s="21"/>
      <c r="V145" s="25">
        <f>SUM(V144:V144)</f>
        <v>40000</v>
      </c>
      <c r="X145" s="151">
        <f>SUM(X144:X144)</f>
        <v>30000</v>
      </c>
      <c r="Z145" s="245">
        <v>0</v>
      </c>
    </row>
    <row r="146" spans="1:26">
      <c r="R146" s="32"/>
      <c r="T146" s="1"/>
      <c r="V146" s="1"/>
    </row>
    <row r="147" spans="1:26">
      <c r="A147" s="22">
        <v>97</v>
      </c>
      <c r="B147" s="19" t="s">
        <v>112</v>
      </c>
      <c r="D147" s="6"/>
      <c r="E147" s="21"/>
      <c r="F147" s="20"/>
      <c r="G147" s="21"/>
      <c r="H147" s="20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6"/>
      <c r="U147" s="21"/>
      <c r="V147" s="6"/>
    </row>
    <row r="148" spans="1:26">
      <c r="A148" s="23"/>
      <c r="C148" s="1" t="s">
        <v>9</v>
      </c>
      <c r="D148" s="20">
        <v>6879286.5300000003</v>
      </c>
      <c r="E148" s="20">
        <v>0</v>
      </c>
      <c r="F148" s="20">
        <v>7068685.5700000003</v>
      </c>
      <c r="G148" s="20">
        <v>0</v>
      </c>
      <c r="H148" s="20">
        <v>6186220.3799999999</v>
      </c>
      <c r="I148" s="20">
        <v>0</v>
      </c>
      <c r="J148" s="20">
        <v>5852730.2400000002</v>
      </c>
      <c r="K148" s="20">
        <v>0</v>
      </c>
      <c r="L148" s="173">
        <v>6749928.9900000002</v>
      </c>
      <c r="M148" s="173"/>
      <c r="N148" s="173">
        <v>6874737.9800000004</v>
      </c>
      <c r="O148" s="173"/>
      <c r="P148" s="173">
        <v>18356703.760000002</v>
      </c>
      <c r="Q148" s="173"/>
      <c r="R148" s="21">
        <v>20499852</v>
      </c>
      <c r="S148" s="20"/>
      <c r="T148" s="6">
        <v>20158511</v>
      </c>
      <c r="U148" s="21"/>
      <c r="V148" s="6">
        <v>20453616</v>
      </c>
      <c r="X148" s="21">
        <f t="shared" ref="X148" si="34">+V148-T148</f>
        <v>295105</v>
      </c>
      <c r="Y148" s="11"/>
      <c r="Z148" s="64">
        <f t="shared" ref="Z148" si="35">+X148/T148</f>
        <v>1.4639226081727961E-2</v>
      </c>
    </row>
    <row r="149" spans="1:26">
      <c r="A149" s="23"/>
      <c r="C149" s="22" t="s">
        <v>11</v>
      </c>
      <c r="D149" s="25">
        <f>SUM(D148:D148)</f>
        <v>6879286.5300000003</v>
      </c>
      <c r="E149" s="21"/>
      <c r="F149" s="25">
        <f>SUM(F148:F148)</f>
        <v>7068685.5700000003</v>
      </c>
      <c r="G149" s="21"/>
      <c r="H149" s="25">
        <f>SUM(H148:H148)</f>
        <v>6186220.3799999999</v>
      </c>
      <c r="I149" s="25">
        <f>SUM(I148:I148)</f>
        <v>0</v>
      </c>
      <c r="J149" s="25">
        <f>SUM(J148)</f>
        <v>5852730.2400000002</v>
      </c>
      <c r="K149" s="21"/>
      <c r="L149" s="25">
        <f>SUM(L148)</f>
        <v>6749928.9900000002</v>
      </c>
      <c r="M149" s="21"/>
      <c r="N149" s="25">
        <f>SUM(N148)</f>
        <v>6874737.9800000004</v>
      </c>
      <c r="O149" s="21"/>
      <c r="P149" s="25">
        <f>SUM(P148:P148)</f>
        <v>18356703.760000002</v>
      </c>
      <c r="Q149" s="21"/>
      <c r="R149" s="151">
        <f>SUM(R148:R148)</f>
        <v>20499852</v>
      </c>
      <c r="S149" s="21"/>
      <c r="T149" s="25">
        <f>SUM(T148:T148)</f>
        <v>20158511</v>
      </c>
      <c r="U149" s="21"/>
      <c r="V149" s="25">
        <f>SUM(V148:V148)</f>
        <v>20453616</v>
      </c>
      <c r="X149" s="299">
        <f>SUM(X148:X148)</f>
        <v>295105</v>
      </c>
      <c r="Z149" s="245">
        <f>+X149/T149</f>
        <v>1.4639226081727961E-2</v>
      </c>
    </row>
    <row r="150" spans="1:26">
      <c r="R150" s="32"/>
      <c r="T150" s="1"/>
      <c r="V150" s="1"/>
    </row>
    <row r="151" spans="1:26">
      <c r="A151" s="22">
        <v>99</v>
      </c>
      <c r="B151" s="19" t="s">
        <v>28</v>
      </c>
      <c r="D151" s="6"/>
      <c r="E151" s="21"/>
      <c r="F151" s="20"/>
      <c r="G151" s="21"/>
      <c r="H151" s="20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6"/>
      <c r="U151" s="21"/>
      <c r="V151" s="6"/>
    </row>
    <row r="152" spans="1:26">
      <c r="A152" s="23"/>
      <c r="C152" s="1" t="s">
        <v>7</v>
      </c>
      <c r="D152" s="20">
        <v>451383.71</v>
      </c>
      <c r="E152" s="20">
        <v>0</v>
      </c>
      <c r="F152" s="20">
        <v>445600.27</v>
      </c>
      <c r="G152" s="20">
        <v>0</v>
      </c>
      <c r="H152" s="20">
        <v>413763.61</v>
      </c>
      <c r="I152" s="20">
        <v>0</v>
      </c>
      <c r="J152" s="20">
        <v>344585.45</v>
      </c>
      <c r="K152" s="20">
        <v>0</v>
      </c>
      <c r="L152" s="173">
        <v>389849.29</v>
      </c>
      <c r="M152" s="173"/>
      <c r="N152" s="173">
        <v>394201.7</v>
      </c>
      <c r="O152" s="173"/>
      <c r="P152" s="173">
        <v>841621.84</v>
      </c>
      <c r="Q152" s="173"/>
      <c r="R152" s="21">
        <v>969000</v>
      </c>
      <c r="S152" s="20"/>
      <c r="T152" s="6">
        <v>969000</v>
      </c>
      <c r="U152" s="21"/>
      <c r="V152" s="6">
        <v>1094615</v>
      </c>
      <c r="X152" s="21">
        <f t="shared" ref="X152" si="36">+V152-T152</f>
        <v>125615</v>
      </c>
      <c r="Y152" s="11"/>
      <c r="Z152" s="64">
        <f t="shared" ref="Z152" si="37">+X152/T152</f>
        <v>0.12963364293085655</v>
      </c>
    </row>
    <row r="153" spans="1:26">
      <c r="A153" s="23"/>
      <c r="C153" s="22" t="s">
        <v>11</v>
      </c>
      <c r="D153" s="25">
        <f>SUM(D152:D152)</f>
        <v>451383.71</v>
      </c>
      <c r="E153" s="21"/>
      <c r="F153" s="25">
        <f>SUM(F152:F152)</f>
        <v>445600.27</v>
      </c>
      <c r="G153" s="21"/>
      <c r="H153" s="25">
        <f>SUM(H152:H152)</f>
        <v>413763.61</v>
      </c>
      <c r="I153" s="25">
        <f>SUM(I152:I152)</f>
        <v>0</v>
      </c>
      <c r="J153" s="25">
        <f>SUM(J152)</f>
        <v>344585.45</v>
      </c>
      <c r="K153" s="21"/>
      <c r="L153" s="25">
        <f>SUM(L152)</f>
        <v>389849.29</v>
      </c>
      <c r="M153" s="21"/>
      <c r="N153" s="25">
        <f>SUM(N152)</f>
        <v>394201.7</v>
      </c>
      <c r="O153" s="21"/>
      <c r="P153" s="25">
        <f>SUM(P152:P152)</f>
        <v>841621.84</v>
      </c>
      <c r="Q153" s="21"/>
      <c r="R153" s="151">
        <f>SUM(R152:R152)</f>
        <v>969000</v>
      </c>
      <c r="S153" s="21"/>
      <c r="T153" s="25">
        <f>SUM(T152:T152)</f>
        <v>969000</v>
      </c>
      <c r="U153" s="21"/>
      <c r="V153" s="25">
        <f>SUM(V152:V152)</f>
        <v>1094615</v>
      </c>
      <c r="X153" s="299">
        <f>SUM(X152:X152)</f>
        <v>125615</v>
      </c>
      <c r="Z153" s="245">
        <f>+X153/T153</f>
        <v>0.12963364293085655</v>
      </c>
    </row>
    <row r="154" spans="1:26">
      <c r="T154" s="1"/>
    </row>
    <row r="155" spans="1:26">
      <c r="A155" s="22" t="s">
        <v>29</v>
      </c>
      <c r="C155" s="19" t="s">
        <v>30</v>
      </c>
      <c r="D155" s="20">
        <v>2021.1</v>
      </c>
      <c r="E155" s="20">
        <v>0</v>
      </c>
      <c r="F155" s="20">
        <v>2006213.19</v>
      </c>
      <c r="G155" s="20">
        <v>0</v>
      </c>
      <c r="H155" s="20">
        <v>31307.55</v>
      </c>
      <c r="I155" s="20">
        <v>0</v>
      </c>
      <c r="J155" s="20">
        <v>0</v>
      </c>
      <c r="K155" s="20">
        <v>0</v>
      </c>
      <c r="L155" s="173">
        <v>0</v>
      </c>
      <c r="M155" s="173"/>
      <c r="N155" s="173">
        <v>0</v>
      </c>
      <c r="O155" s="173"/>
      <c r="P155" s="173">
        <v>0</v>
      </c>
      <c r="Q155" s="173"/>
      <c r="R155" s="20">
        <v>0</v>
      </c>
      <c r="S155" s="20"/>
      <c r="T155" s="6">
        <v>0</v>
      </c>
      <c r="U155" s="21"/>
      <c r="V155" s="21">
        <v>0</v>
      </c>
      <c r="X155" s="28">
        <v>0</v>
      </c>
      <c r="Z155" s="64" t="s">
        <v>85</v>
      </c>
    </row>
    <row r="156" spans="1:26">
      <c r="T156" s="1"/>
    </row>
    <row r="157" spans="1:26" s="19" customFormat="1" ht="13.5" thickBot="1">
      <c r="B157" s="19" t="s">
        <v>31</v>
      </c>
      <c r="D157" s="30">
        <f>D153+D145+D141+D137+D133+D125+D117+D109+D101+D93+D81+D73+D65+D57+D49+D41+D33+D25+D17+D148+D155</f>
        <v>55221106.460000001</v>
      </c>
      <c r="E157" s="31"/>
      <c r="F157" s="30">
        <f>F153+F145+F141+F137+F133+F125+F117+F109+F101+F93+F81+F73+F65+F57+F49+F41+F33+F25+F17+F148+F155</f>
        <v>57706498.170000002</v>
      </c>
      <c r="G157" s="31"/>
      <c r="H157" s="30">
        <f>+H155+H153+H149+H145+H141+H137+H133+H125+H117+H109+H101+H93+H81+H73+H65+H57+H49+H41+H33+H25+H17</f>
        <v>59390529.75</v>
      </c>
      <c r="I157" s="30">
        <f>+I17+I25+I33+I41+I49+I57+I65+I73+I81+I93+I101+I109+I117+I125+I133+I137+I141+I145+I149+I153+I155</f>
        <v>96415628.039999992</v>
      </c>
      <c r="J157" s="30">
        <f>+J17+J25+J33+J41+J49+J57+J65+J73+J81+J93+J101+J109+J117+J125+J133+J137+J141+J145+J149+J153+J155</f>
        <v>54729974.25</v>
      </c>
      <c r="K157" s="31"/>
      <c r="L157" s="30">
        <f>+L17+L25+L33+L41+L49+L57+L65+L73+L81+L93+L101+L109+L117+L125+L133+L137+L141+L145+L149+L153+L155</f>
        <v>56306439.109999999</v>
      </c>
      <c r="M157" s="31"/>
      <c r="N157" s="30">
        <f>+N17+N25+N33+N41+N49+N57+N65+N73+N81+N93+N101+N109+N117+N125+N133+N137+N141+N145+N149+N153+N155</f>
        <v>59216543.940000013</v>
      </c>
      <c r="O157" s="31"/>
      <c r="P157" s="30">
        <f>P153+P145+P141+P137+P133+P125+P117+P109+P101+P93+P81+P73+P65+P57+P49+P41+P33+P25+P17+P149+P155+P85</f>
        <v>118204060.92000002</v>
      </c>
      <c r="Q157" s="31"/>
      <c r="R157" s="30">
        <f>R153+R145+R141+R137+R133+R125+R117+R109+R101+R93+R81+R73+R65+R57+R49+R41+R33+R25+R17+R149+R155+R85</f>
        <v>127014606</v>
      </c>
      <c r="S157" s="31"/>
      <c r="T157" s="30">
        <f>T153+T145+T141+T137+T133+T125+T117+T109+T101+T93+T81+T73+T65+T57+T49+T41+T33+T25+T17+T149+T155+T85</f>
        <v>126741162.22</v>
      </c>
      <c r="U157" s="31"/>
      <c r="V157" s="162">
        <f>V153+V145+V141+V137+V133+V125+V117+V109+V101+V93+V81+V73+V65+V57+V49+V41+V33+V25+V17+V149+V155+V85</f>
        <v>129368604</v>
      </c>
      <c r="X157" s="30">
        <f>X153+X145+X141+X137+X133+X125+X117+X109+X101+X93+X81+X73+X65+X57+X49+X41+X33+X25+X17+X149+X155+X85</f>
        <v>2627441.7800000003</v>
      </c>
      <c r="Z157" s="300">
        <f t="shared" ref="Z157" si="38">+X157/T157</f>
        <v>2.0730769183252645E-2</v>
      </c>
    </row>
    <row r="158" spans="1:26" ht="13.5" thickTop="1">
      <c r="C158" s="1" t="s">
        <v>85</v>
      </c>
      <c r="H158" s="6">
        <f>+H157-'[2]General Fund Summary'!H30</f>
        <v>56388042.75</v>
      </c>
      <c r="J158" s="21">
        <f>+J157-'[2]General Fund Summary'!J30</f>
        <v>53524674.25</v>
      </c>
      <c r="L158" s="21"/>
      <c r="N158" s="21"/>
      <c r="R158" s="6" t="s">
        <v>85</v>
      </c>
      <c r="T158" s="6" t="s">
        <v>85</v>
      </c>
      <c r="U158" s="21"/>
      <c r="V158" s="21" t="s">
        <v>85</v>
      </c>
      <c r="X158" s="21" t="s">
        <v>85</v>
      </c>
      <c r="Z158" s="64" t="s">
        <v>85</v>
      </c>
    </row>
    <row r="159" spans="1:26" ht="6" customHeight="1">
      <c r="J159" s="21"/>
      <c r="R159" s="6"/>
      <c r="T159" s="1"/>
      <c r="Z159" s="1" t="s">
        <v>207</v>
      </c>
    </row>
    <row r="160" spans="1:26" ht="5.25" customHeight="1">
      <c r="T160" s="1"/>
    </row>
    <row r="161" spans="3:26">
      <c r="C161" s="33" t="s">
        <v>32</v>
      </c>
      <c r="T161" s="1"/>
    </row>
    <row r="162" spans="3:26">
      <c r="C162" s="1" t="s">
        <v>6</v>
      </c>
      <c r="D162" s="24">
        <f>+D12+D20+D28+D36+D44+D52+D60+D68+D76+D88+D96+D104+D112+D120+D128</f>
        <v>39951109.889999993</v>
      </c>
      <c r="E162" s="34"/>
      <c r="F162" s="24">
        <f>+F12+F20+F28+F36+F44+F52+F60+F68+F76+F88+F96+F104+F112+F120+F128</f>
        <v>39214040.75</v>
      </c>
      <c r="G162" s="34"/>
      <c r="H162" s="24">
        <f>+H12+H20+H28+H36+H44+H52+H60+H68+H76+H88+H96+H104+H112+H120+H128</f>
        <v>43933214.340000004</v>
      </c>
      <c r="I162" s="24"/>
      <c r="J162" s="24">
        <f>+J12+J20+J28+J36+J44+J52+J60+J68+J76+J88+J96+J104+J112+J120+J128</f>
        <v>40598511.200000003</v>
      </c>
      <c r="K162" s="34"/>
      <c r="L162" s="24">
        <f>+L12+L20+L28+L36+L44+L52+L60+L68+L76+L88+L96+L104+L112+L120+L128</f>
        <v>40136252.360000007</v>
      </c>
      <c r="M162" s="34"/>
      <c r="N162" s="24">
        <f>+N12+N20+N28+N36+N44+N52+N60+N68+N76+N88+N96+N104+N112+N120+N128</f>
        <v>41786733.609999999</v>
      </c>
      <c r="O162" s="34"/>
      <c r="P162" s="6">
        <f>+P12+P20+P28+P36+P44+P52+P60+P68+P76+P88+P96+P104+P112+P120+P128+P84</f>
        <v>83531557.600000024</v>
      </c>
      <c r="Q162" s="34"/>
      <c r="R162" s="24">
        <f>+R12+R20+R28+R36+R44+R52+R60+R68+R76+R88+R96+R104+R112+R120+R128</f>
        <v>88111357</v>
      </c>
      <c r="S162" s="34"/>
      <c r="T162" s="6">
        <f>+T12+T20+T28+T36+T44+T52+T60+T68+T76+T88+T96+T104+T112+T120+T128+T84</f>
        <v>87844013</v>
      </c>
      <c r="U162" s="256"/>
      <c r="V162" s="256">
        <f>+V12+V20+V28+V36+V44+V52+V60+V68+V76+V88+V96+V104+V112+V120+V128</f>
        <v>90477192</v>
      </c>
      <c r="X162" s="256">
        <f>+X12+X20+X28+X36+X44+X52+X60+X68+X76+X88+X96+X104+X112+X120+X128</f>
        <v>2633179</v>
      </c>
      <c r="Z162" s="64">
        <f t="shared" ref="Z162:Z170" si="39">+X162/T162</f>
        <v>2.9975622812222845E-2</v>
      </c>
    </row>
    <row r="163" spans="3:26">
      <c r="C163" s="1" t="s">
        <v>7</v>
      </c>
      <c r="D163" s="6">
        <f>+D13+D21+D29+D37+D45+D53+D61+D69+D77+D89+D97+D105+D113+D121+D129+D144+D152</f>
        <v>3787819.7599999993</v>
      </c>
      <c r="E163" s="21"/>
      <c r="F163" s="6">
        <f>+F13+F21+F29+F37+F45+F53+F61+F69+F77+F89+F97+F105+F113+F121+F129+F144+F152</f>
        <v>4167515.4900000007</v>
      </c>
      <c r="G163" s="21"/>
      <c r="H163" s="6">
        <f>+H13+H21+H29+H37+H45+H53+H61+H69+H77+H89+H97+H105+H113+H121+H129+H144+H152</f>
        <v>4098883.8400000003</v>
      </c>
      <c r="I163" s="6">
        <f>+I13+I21+I29+I37+I45+I53+I61+I69+I77+I89+I97+I105+I113+I121+I129+I144+I152</f>
        <v>957554.85</v>
      </c>
      <c r="J163" s="6">
        <f>+J13+J21+J29+J37+J45+J53+J61+J69+J77+J89+J97+J105+J113+J121+J129+J144+J152</f>
        <v>3775153.7700000005</v>
      </c>
      <c r="K163" s="21"/>
      <c r="L163" s="6">
        <f>+L13+L21+L29+L37+L45+L53+L61+L69+L77+L89+L97+L105+L113+L121+L129+L144+L152</f>
        <v>3626035.93</v>
      </c>
      <c r="M163" s="21"/>
      <c r="N163" s="6">
        <f>+N13+N21+N29+N37+N45+N53+N61+N69+N77+N89+N97+N105+N113+N121+N129+N144+N152</f>
        <v>4052062.76</v>
      </c>
      <c r="O163" s="21"/>
      <c r="P163" s="6">
        <f>+P13+P21+P29+P37+P45+P53+P61+P69+P77+P89+P97+P105+P113+P121+P129+P144+P152</f>
        <v>8549029.5700000003</v>
      </c>
      <c r="Q163" s="21"/>
      <c r="R163" s="6">
        <f>+R13+R21+R29+R37+R45+R53+R61+R69+R77+R89+R97+R105+R113+R121+R129+R144+R152</f>
        <v>9392903</v>
      </c>
      <c r="S163" s="21"/>
      <c r="T163" s="6">
        <f>+T13+T21+T29+T37+T45+T53+T61+T69+T77+T89+T97+T105+T113+T121+T129+T144+T152</f>
        <v>10168761.719999999</v>
      </c>
      <c r="U163" s="52"/>
      <c r="V163" s="52">
        <f>+V13+V21+V29+V37+V45+V53+V61+V69+V77+V89+V97+V105+V113+V121+V129+V144+V152</f>
        <v>9636725</v>
      </c>
      <c r="X163" s="52">
        <f>+X13+X21+X29+X37+X45+X53+X61+X69+X77+X89+X97+X105+X113+X121+X129+X144+X152</f>
        <v>-532036.72</v>
      </c>
      <c r="Z163" s="64">
        <f t="shared" si="39"/>
        <v>-5.2320698886432364E-2</v>
      </c>
    </row>
    <row r="164" spans="3:26">
      <c r="C164" s="1" t="s">
        <v>8</v>
      </c>
      <c r="D164" s="6">
        <f>+D14+D22+D30+D38+D46+D54+D62+D70+D78+D90+D98+D106+D114+D122+D130</f>
        <v>3042011.3800000004</v>
      </c>
      <c r="E164" s="21"/>
      <c r="F164" s="6">
        <f>+F14+F22+F30+F38+F46+F54+F62+F70+F78+F90+F98+F106+F114+F122+F130</f>
        <v>2826044.9</v>
      </c>
      <c r="G164" s="21"/>
      <c r="H164" s="6">
        <f>+H14+H22+H30+H38+H46+H54+H62+H70+H78+H90+H98+H106+H114+H122+H130</f>
        <v>3377965.65</v>
      </c>
      <c r="I164" s="6">
        <f>+I14+I22+I30+I38+I46+I54+I62+I70+I78+I90+I98+I106+I114+I122+I130</f>
        <v>3230058.1899999995</v>
      </c>
      <c r="J164" s="6">
        <f>+J14+J22+J30+J38+J46+J54+J62+J70+J78+J90+J98+J106+J114+J122+J130</f>
        <v>3051646.91</v>
      </c>
      <c r="K164" s="21"/>
      <c r="L164" s="6">
        <f>+L14+L22+L30+L38+L46+L54+L62+L70+L78+L90+L98+L106+L114+L122+L130</f>
        <v>3082899.1300000004</v>
      </c>
      <c r="M164" s="21"/>
      <c r="N164" s="6">
        <f>+N14+N22+N30+N38+N46+N54+N62+N70+N78+N90+N98+N106+N114+N122+N130</f>
        <v>3696969.5100000002</v>
      </c>
      <c r="O164" s="21"/>
      <c r="P164" s="6">
        <f>+P14+P22+P30+P38+P46+P54+P62+P70+P78+P90+P98+P106+P114+P122+P130</f>
        <v>4776720.1999999993</v>
      </c>
      <c r="Q164" s="21"/>
      <c r="R164" s="6">
        <f>+R14+R22+R30+R38+R46+R54+R62+R70+R78+R90+R98+R106+R114+R122+R130</f>
        <v>5349625</v>
      </c>
      <c r="S164" s="21"/>
      <c r="T164" s="6">
        <f>+T14+T22+T30+T38+T46+T54+T62+T70+T78+T90+T98+T106+T114+T122+T130</f>
        <v>4960114.54</v>
      </c>
      <c r="U164" s="52"/>
      <c r="V164" s="52">
        <f>+V14+V22+V30+V38+V46+V54+V62+V70+V78+V90+V98+V106+V114+V122+V130</f>
        <v>4837807</v>
      </c>
      <c r="X164" s="52">
        <f>+X14+X22+X30+X38+X46+X54+X62+X70+X78+X90+X98+X106+X114+X122+X130</f>
        <v>-122307.53999999998</v>
      </c>
      <c r="Z164" s="64">
        <f t="shared" si="39"/>
        <v>-2.4658208800154034E-2</v>
      </c>
    </row>
    <row r="165" spans="3:26">
      <c r="C165" s="1" t="s">
        <v>9</v>
      </c>
      <c r="D165" s="6">
        <f>+D15+D23+D31+D39+D47+D55+D63+D71+D79+D91+D99+D107+D115+D123+D131+D148</f>
        <v>8009100.2000000002</v>
      </c>
      <c r="E165" s="21"/>
      <c r="F165" s="6">
        <f>+F15+F23+F31+F39+F47+F55+F63+F71+F79+F91+F99+F107+F115+F123+F131+F148</f>
        <v>8132322.7200000007</v>
      </c>
      <c r="G165" s="21"/>
      <c r="H165" s="6">
        <f>+H15+H23+H31+H39+H47+H55+H63+H71+H79+H91+H99+H107+H115+H123+H131+H148</f>
        <v>7310345.1299999999</v>
      </c>
      <c r="I165" s="6">
        <f>+I15+I23+I31+I39+I47+I55+I63+I71+I79+I91+I99+I107+I115+I123+I131+I148</f>
        <v>339525</v>
      </c>
      <c r="J165" s="6">
        <f>+J15+J23+J31+J39+J47+J55+J63+J71+J79+J91+J99+J107+J115+J123+J131+J148</f>
        <v>6846320.8800000008</v>
      </c>
      <c r="K165" s="21"/>
      <c r="L165" s="6">
        <f>+L15+L23+L31+L39+L47+L55+L63+L71+L79+L91+L99+L107+L115+L123+L131+L148</f>
        <v>7912070.8500000006</v>
      </c>
      <c r="M165" s="21"/>
      <c r="N165" s="6">
        <f>+N15+N23+N31+N39+N47+N55+N63+N71+N79+N91+N99+N107+N115+N123+N131+N148</f>
        <v>8024560.040000001</v>
      </c>
      <c r="O165" s="21"/>
      <c r="P165" s="6">
        <f>+P15+P23+P31+P39+P47+P55+P63+P71+P79+P91+P99+P107+P115+P123+P131+P148</f>
        <v>21273577.150000002</v>
      </c>
      <c r="Q165" s="21"/>
      <c r="R165" s="6">
        <f>+R15+R23+R31+R39+R47+R55+R63+R71+R79+R91+R99+R107+R115+R123+R131+R148</f>
        <v>24117413</v>
      </c>
      <c r="S165" s="21"/>
      <c r="T165" s="6">
        <f>+T15+T23+T31+T39+T47+T55+T63+T71+T79+T91+T99+T107+T115+T123+T131+T148</f>
        <v>23760652.960000001</v>
      </c>
      <c r="U165" s="52"/>
      <c r="V165" s="52">
        <f>+V15+V23+V31+V39+V47+V55+V63+V71+V79+V91+V99+V107+V115+V123+V131+V148</f>
        <v>24401373</v>
      </c>
      <c r="X165" s="52">
        <f>+X15+X23+X31+X39+X47+X55+X63+X71+X79+X91+X99+X107+X115+X123+X131+X148</f>
        <v>640720.04</v>
      </c>
      <c r="Z165" s="64">
        <f t="shared" si="39"/>
        <v>2.6965590595453063E-2</v>
      </c>
    </row>
    <row r="166" spans="3:26">
      <c r="C166" s="1" t="s">
        <v>26</v>
      </c>
      <c r="D166" s="6">
        <f>+D136</f>
        <v>241700</v>
      </c>
      <c r="E166" s="21"/>
      <c r="F166" s="6">
        <f>+F136</f>
        <v>248365</v>
      </c>
      <c r="G166" s="21"/>
      <c r="H166" s="6">
        <f>+H136</f>
        <v>254660</v>
      </c>
      <c r="I166" s="6">
        <f>+I136</f>
        <v>0</v>
      </c>
      <c r="J166" s="6">
        <f>+J136</f>
        <v>261095</v>
      </c>
      <c r="K166" s="21"/>
      <c r="L166" s="6">
        <f>+L136</f>
        <v>1369706.36</v>
      </c>
      <c r="M166" s="21"/>
      <c r="N166" s="6">
        <f>+N136</f>
        <v>0</v>
      </c>
      <c r="O166" s="21"/>
      <c r="P166" s="6">
        <f>+P136</f>
        <v>0</v>
      </c>
      <c r="Q166" s="21"/>
      <c r="R166" s="6">
        <f>+R136</f>
        <v>0</v>
      </c>
      <c r="S166" s="21"/>
      <c r="T166" s="6">
        <f>+T136</f>
        <v>0</v>
      </c>
      <c r="U166" s="52"/>
      <c r="V166" s="52">
        <f>+V136</f>
        <v>0</v>
      </c>
      <c r="X166" s="52">
        <f>+X136</f>
        <v>0</v>
      </c>
      <c r="Z166" s="64">
        <v>0</v>
      </c>
    </row>
    <row r="167" spans="3:26">
      <c r="C167" s="1" t="s">
        <v>10</v>
      </c>
      <c r="D167" s="6">
        <f>+D16+D24+D32+D40+D48+D56+D64+D72+D80+D92+D100+D108+D116+D124+D132+D140</f>
        <v>187344.13</v>
      </c>
      <c r="E167" s="21"/>
      <c r="F167" s="6">
        <f>+F16+F24+F32+F40+F48+F56+F64+F72+F80+F92+F100+F108+F116+F124+F132+F140</f>
        <v>1111996.1199999999</v>
      </c>
      <c r="G167" s="21"/>
      <c r="H167" s="6">
        <f>+H16+H24+H32+H40+H48+H56+H64+H72+H80+H92+H100+H108+H116+H124+H132+H140</f>
        <v>384153.24</v>
      </c>
      <c r="I167" s="6">
        <f>+I16+I24+I32+I40+I48+I56+I64+I72+I80+I92+I100+I108+I116+I124+I132+I140</f>
        <v>0</v>
      </c>
      <c r="J167" s="6">
        <f>+J16+J24+J32+J40+J48+J56+J64+J72+J80+J92+J100+J108+J116+J124+J132+J140</f>
        <v>197246.49</v>
      </c>
      <c r="K167" s="21"/>
      <c r="L167" s="6">
        <f>+L16+L24+L32+L40+L48+L56+L64+L72+L80+L92+L100+L108+L116+L124+L132+L140</f>
        <v>179474.47999999998</v>
      </c>
      <c r="M167" s="21"/>
      <c r="N167" s="6">
        <f>+N16+N24+N32+N40+N48+N56+N64+N72+N80+N92+N100+N108+N116+N124+N132+N140</f>
        <v>1656218.02</v>
      </c>
      <c r="O167" s="21"/>
      <c r="P167" s="6">
        <f>+P16+P24+P32+P40+P48+P56+P64+P72+P80+P92+P100+P108+P116+P124+P132+P140</f>
        <v>73176.399999999994</v>
      </c>
      <c r="Q167" s="21"/>
      <c r="R167" s="6">
        <f>+R16+R24+R32+R40+R48+R56+R64+R72+R80+R92+R100+R108+R116+R124+R132+R140</f>
        <v>43308</v>
      </c>
      <c r="S167" s="21"/>
      <c r="T167" s="6">
        <f>+T16+T24+T32+T40+T48+T56+T64+T72+T80+T92+T100+T108+T116+T124+T132+T140</f>
        <v>7620</v>
      </c>
      <c r="U167" s="52"/>
      <c r="V167" s="52">
        <f>+V16+V24+V32+V40+V48+V56+V64+V72+V80+V92+V100+V108+V116+V124+V132+V140</f>
        <v>15507</v>
      </c>
      <c r="X167" s="52">
        <f>+X16+X24+X32+X40+X48+X56+X64+X72+X80+X92+X100+X108+X116+X124+X132+X140</f>
        <v>7887</v>
      </c>
      <c r="Z167" s="64">
        <f t="shared" si="39"/>
        <v>1.0350393700787401</v>
      </c>
    </row>
    <row r="168" spans="3:26">
      <c r="C168" s="1" t="s">
        <v>30</v>
      </c>
      <c r="D168" s="6">
        <f>+D155</f>
        <v>2021.1</v>
      </c>
      <c r="E168" s="21"/>
      <c r="F168" s="35">
        <f>+F155</f>
        <v>2006213.19</v>
      </c>
      <c r="G168" s="21"/>
      <c r="H168" s="35">
        <f>+H155</f>
        <v>31307.55</v>
      </c>
      <c r="I168" s="6">
        <f>+I155</f>
        <v>0</v>
      </c>
      <c r="J168" s="35">
        <f>+J155</f>
        <v>0</v>
      </c>
      <c r="K168" s="21"/>
      <c r="L168" s="35">
        <f>+L155</f>
        <v>0</v>
      </c>
      <c r="M168" s="21"/>
      <c r="N168" s="35">
        <f>+N155</f>
        <v>0</v>
      </c>
      <c r="O168" s="21"/>
      <c r="P168" s="35">
        <f>+P155</f>
        <v>0</v>
      </c>
      <c r="Q168" s="21"/>
      <c r="R168" s="35">
        <f>+R155</f>
        <v>0</v>
      </c>
      <c r="S168" s="21"/>
      <c r="T168" s="35">
        <f>+T155</f>
        <v>0</v>
      </c>
      <c r="U168" s="21"/>
      <c r="V168" s="192">
        <f>+V155</f>
        <v>0</v>
      </c>
      <c r="X168" s="192">
        <f>+X155</f>
        <v>0</v>
      </c>
      <c r="Z168" s="64">
        <v>0</v>
      </c>
    </row>
    <row r="169" spans="3:26" ht="13.5" thickBot="1">
      <c r="C169" s="19" t="s">
        <v>67</v>
      </c>
      <c r="D169" s="36">
        <f>SUM(D162:D168)</f>
        <v>55221106.460000001</v>
      </c>
      <c r="E169" s="34"/>
      <c r="F169" s="36">
        <f>SUM(F162:F168)</f>
        <v>57706498.169999994</v>
      </c>
      <c r="G169" s="34"/>
      <c r="H169" s="36">
        <f>SUM(H162:H168)</f>
        <v>59390529.750000007</v>
      </c>
      <c r="I169" s="24"/>
      <c r="J169" s="36">
        <f>SUM(J162:J168)</f>
        <v>54729974.250000015</v>
      </c>
      <c r="K169" s="34"/>
      <c r="L169" s="76">
        <f>SUM(L162:L168)</f>
        <v>56306439.110000007</v>
      </c>
      <c r="M169" s="77"/>
      <c r="N169" s="76">
        <f>SUM(N162:N168)</f>
        <v>59216543.939999998</v>
      </c>
      <c r="O169" s="77"/>
      <c r="P169" s="76">
        <f>SUM(P162:P168)</f>
        <v>118204060.92000003</v>
      </c>
      <c r="Q169" s="77"/>
      <c r="R169" s="76">
        <f>SUM(R162:R168)</f>
        <v>127014606</v>
      </c>
      <c r="S169" s="77"/>
      <c r="T169" s="257">
        <f>SUM(T162:T168)</f>
        <v>126741162.22</v>
      </c>
      <c r="U169" s="77"/>
      <c r="V169" s="257">
        <f>SUM(V162:V168)</f>
        <v>129368604</v>
      </c>
      <c r="X169" s="257">
        <f>SUM(X162:X168)</f>
        <v>2627441.7800000003</v>
      </c>
      <c r="Z169" s="301">
        <f t="shared" si="39"/>
        <v>2.0730769183252645E-2</v>
      </c>
    </row>
    <row r="170" spans="3:26" ht="13.5" thickTop="1">
      <c r="C170" s="1" t="s">
        <v>113</v>
      </c>
      <c r="F170" s="27">
        <f>+F169-F149</f>
        <v>50637812.599999994</v>
      </c>
      <c r="H170" s="27">
        <f>+H169-H149</f>
        <v>53204309.370000005</v>
      </c>
      <c r="J170" s="27">
        <f>+J169-J149</f>
        <v>48877244.010000013</v>
      </c>
      <c r="L170" s="21">
        <f>+L169-L149</f>
        <v>49556510.120000005</v>
      </c>
      <c r="M170" s="21"/>
      <c r="N170" s="21">
        <f>+N169-N149</f>
        <v>52341805.959999993</v>
      </c>
      <c r="O170" s="21"/>
      <c r="P170" s="21">
        <f>+P169-P149</f>
        <v>99847357.160000026</v>
      </c>
      <c r="Q170" s="21"/>
      <c r="R170" s="21">
        <f>+R169-R149</f>
        <v>106514754</v>
      </c>
      <c r="S170" s="21"/>
      <c r="T170" s="21">
        <f>+T169-T149</f>
        <v>106582651.22</v>
      </c>
      <c r="U170" s="21"/>
      <c r="V170" s="21">
        <f>+V169-V149</f>
        <v>108914988</v>
      </c>
      <c r="X170" s="21">
        <f>+X169-X149</f>
        <v>2332336.7800000003</v>
      </c>
      <c r="Z170" s="64">
        <f t="shared" si="39"/>
        <v>2.1882893259858621E-2</v>
      </c>
    </row>
    <row r="171" spans="3:26">
      <c r="F171" s="27"/>
      <c r="H171" s="27"/>
      <c r="J171" s="27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X171" s="21"/>
      <c r="Z171" s="64"/>
    </row>
    <row r="172" spans="3:26" ht="6" customHeight="1">
      <c r="L172" s="21"/>
      <c r="M172" s="21"/>
      <c r="N172" s="21"/>
      <c r="O172" s="21"/>
      <c r="P172" s="21"/>
      <c r="Q172" s="21"/>
      <c r="R172" s="6"/>
      <c r="S172" s="21"/>
      <c r="T172" s="21"/>
      <c r="U172" s="21"/>
      <c r="V172" s="21"/>
    </row>
    <row r="173" spans="3:26">
      <c r="C173" s="33" t="s">
        <v>32</v>
      </c>
    </row>
    <row r="174" spans="3:26">
      <c r="C174" s="1" t="s">
        <v>6</v>
      </c>
      <c r="D174" s="37">
        <f>+D162/$R$169</f>
        <v>0.3145394939067086</v>
      </c>
      <c r="F174" s="37">
        <f>+F162/F$169</f>
        <v>0.67954289366992449</v>
      </c>
      <c r="H174" s="37">
        <f>+H162/H$169</f>
        <v>0.73973434022113593</v>
      </c>
      <c r="J174" s="37">
        <f>+J162/J$169</f>
        <v>0.7417966435458353</v>
      </c>
      <c r="L174" s="37">
        <f>+L162/L$169</f>
        <v>0.71281816066524828</v>
      </c>
      <c r="N174" s="37">
        <f>+N162/N$169</f>
        <v>0.70565978406878305</v>
      </c>
      <c r="P174" s="37">
        <f>+P162/P$169</f>
        <v>0.70667248612155387</v>
      </c>
      <c r="R174" s="37">
        <f>+R162/R$169</f>
        <v>0.69371043043663816</v>
      </c>
      <c r="T174" s="166">
        <f>+T162/T$169</f>
        <v>0.69309773921370943</v>
      </c>
      <c r="U174" s="166"/>
      <c r="V174" s="166">
        <f t="shared" ref="V174:V180" si="40">+V162/V$169</f>
        <v>0.69937518998040671</v>
      </c>
      <c r="X174" s="166"/>
      <c r="Z174" s="1" t="s">
        <v>85</v>
      </c>
    </row>
    <row r="175" spans="3:26">
      <c r="C175" s="1" t="s">
        <v>7</v>
      </c>
      <c r="D175" s="37">
        <f t="shared" ref="D175:D180" si="41">+D163/$R$169</f>
        <v>2.9821922685017811E-2</v>
      </c>
      <c r="F175" s="37">
        <f t="shared" ref="F175:F180" si="42">+F163/F$169</f>
        <v>7.2219171534594631E-2</v>
      </c>
      <c r="H175" s="37">
        <f t="shared" ref="H175:H180" si="43">+H163/H$169</f>
        <v>6.9015781762748127E-2</v>
      </c>
      <c r="J175" s="37">
        <f t="shared" ref="J175:J180" si="44">+J163/J$169</f>
        <v>6.8977810089139585E-2</v>
      </c>
      <c r="L175" s="37">
        <f t="shared" ref="L175:N182" si="45">+L163/L$169</f>
        <v>6.4398246227508588E-2</v>
      </c>
      <c r="N175" s="37">
        <f t="shared" si="45"/>
        <v>6.8427883331145994E-2</v>
      </c>
      <c r="P175" s="37">
        <f t="shared" ref="P175" si="46">+P163/P$169</f>
        <v>7.2324330513364884E-2</v>
      </c>
      <c r="R175" s="37">
        <f t="shared" ref="R175:T180" si="47">+R163/R$169</f>
        <v>7.3951361152905515E-2</v>
      </c>
      <c r="T175" s="166">
        <f t="shared" si="47"/>
        <v>8.0232511221167799E-2</v>
      </c>
      <c r="U175" s="166"/>
      <c r="V175" s="166">
        <f t="shared" si="40"/>
        <v>7.4490445919938961E-2</v>
      </c>
      <c r="X175" s="166"/>
    </row>
    <row r="176" spans="3:26">
      <c r="C176" s="1" t="s">
        <v>8</v>
      </c>
      <c r="D176" s="37">
        <f t="shared" si="41"/>
        <v>2.3950091062755415E-2</v>
      </c>
      <c r="F176" s="37">
        <f t="shared" si="42"/>
        <v>4.8972732527879891E-2</v>
      </c>
      <c r="H176" s="37">
        <f t="shared" si="43"/>
        <v>5.6877176617539757E-2</v>
      </c>
      <c r="J176" s="37">
        <f t="shared" si="44"/>
        <v>5.575823763520224E-2</v>
      </c>
      <c r="L176" s="37">
        <f t="shared" si="45"/>
        <v>5.4752159410707227E-2</v>
      </c>
      <c r="N176" s="37">
        <f t="shared" si="45"/>
        <v>6.2431362319048576E-2</v>
      </c>
      <c r="P176" s="37">
        <f t="shared" ref="P176" si="48">+P164/P$169</f>
        <v>4.0410796065905565E-2</v>
      </c>
      <c r="R176" s="37">
        <f t="shared" si="47"/>
        <v>4.2118187572852843E-2</v>
      </c>
      <c r="T176" s="166">
        <f t="shared" si="47"/>
        <v>3.9135782354513426E-2</v>
      </c>
      <c r="U176" s="166" t="s">
        <v>85</v>
      </c>
      <c r="V176" s="166">
        <f t="shared" si="40"/>
        <v>3.7395526042779285E-2</v>
      </c>
      <c r="X176" s="166"/>
    </row>
    <row r="177" spans="3:24">
      <c r="C177" s="1" t="s">
        <v>9</v>
      </c>
      <c r="D177" s="37">
        <f t="shared" si="41"/>
        <v>6.3056529105007031E-2</v>
      </c>
      <c r="F177" s="37">
        <f t="shared" si="42"/>
        <v>0.14092559725323567</v>
      </c>
      <c r="H177" s="37">
        <f t="shared" si="43"/>
        <v>0.12308940770140207</v>
      </c>
      <c r="J177" s="37">
        <f t="shared" si="44"/>
        <v>0.12509271151356333</v>
      </c>
      <c r="L177" s="37">
        <f t="shared" si="45"/>
        <v>0.14051804687103395</v>
      </c>
      <c r="N177" s="37">
        <f t="shared" si="45"/>
        <v>0.13551213066623288</v>
      </c>
      <c r="P177" s="37">
        <f t="shared" ref="P177" si="49">+P165/P$169</f>
        <v>0.17997331888959264</v>
      </c>
      <c r="R177" s="37">
        <f t="shared" si="47"/>
        <v>0.18987905217766846</v>
      </c>
      <c r="T177" s="166">
        <f t="shared" si="47"/>
        <v>0.18747384467530567</v>
      </c>
      <c r="U177" s="166"/>
      <c r="V177" s="166">
        <f t="shared" si="40"/>
        <v>0.18861897126137342</v>
      </c>
      <c r="X177" s="166"/>
    </row>
    <row r="178" spans="3:24">
      <c r="C178" s="1" t="s">
        <v>26</v>
      </c>
      <c r="D178" s="37">
        <f t="shared" si="41"/>
        <v>1.9029307542787637E-3</v>
      </c>
      <c r="F178" s="37">
        <f t="shared" si="42"/>
        <v>4.3039347019174709E-3</v>
      </c>
      <c r="H178" s="37">
        <f t="shared" si="43"/>
        <v>4.2878890131469146E-3</v>
      </c>
      <c r="J178" s="37">
        <f t="shared" si="44"/>
        <v>4.7706033773622673E-3</v>
      </c>
      <c r="L178" s="37">
        <f t="shared" si="45"/>
        <v>2.4325927578622897E-2</v>
      </c>
      <c r="N178" s="37">
        <f t="shared" si="45"/>
        <v>0</v>
      </c>
      <c r="P178" s="37">
        <f t="shared" ref="P178" si="50">+P166/P$169</f>
        <v>0</v>
      </c>
      <c r="R178" s="37">
        <f t="shared" si="47"/>
        <v>0</v>
      </c>
      <c r="T178" s="166">
        <f t="shared" si="47"/>
        <v>0</v>
      </c>
      <c r="U178" s="166"/>
      <c r="V178" s="166">
        <f t="shared" si="40"/>
        <v>0</v>
      </c>
      <c r="X178" s="166"/>
    </row>
    <row r="179" spans="3:24">
      <c r="C179" s="1" t="s">
        <v>10</v>
      </c>
      <c r="D179" s="37">
        <f t="shared" si="41"/>
        <v>1.4749809954927547E-3</v>
      </c>
      <c r="F179" s="37">
        <f t="shared" si="42"/>
        <v>1.9269859639102063E-2</v>
      </c>
      <c r="H179" s="37">
        <f t="shared" si="43"/>
        <v>6.4682575086813391E-3</v>
      </c>
      <c r="J179" s="37">
        <f t="shared" si="44"/>
        <v>3.6039938388971551E-3</v>
      </c>
      <c r="L179" s="37">
        <f t="shared" si="45"/>
        <v>3.1874592468790195E-3</v>
      </c>
      <c r="N179" s="37">
        <f t="shared" si="45"/>
        <v>2.7968839614789583E-2</v>
      </c>
      <c r="P179" s="37">
        <f t="shared" ref="P179" si="51">+P167/P$169</f>
        <v>6.1906840958302989E-4</v>
      </c>
      <c r="R179" s="37">
        <f t="shared" si="47"/>
        <v>3.409686599350629E-4</v>
      </c>
      <c r="T179" s="166">
        <f t="shared" si="47"/>
        <v>6.0122535303669079E-5</v>
      </c>
      <c r="U179" s="166"/>
      <c r="V179" s="166">
        <f t="shared" si="40"/>
        <v>1.19866795501635E-4</v>
      </c>
      <c r="X179" s="166"/>
    </row>
    <row r="180" spans="3:24">
      <c r="C180" s="1" t="s">
        <v>30</v>
      </c>
      <c r="D180" s="37">
        <f t="shared" si="41"/>
        <v>1.5912343183586302E-5</v>
      </c>
      <c r="F180" s="37">
        <f t="shared" si="42"/>
        <v>3.4765810673345873E-2</v>
      </c>
      <c r="H180" s="37">
        <f t="shared" si="43"/>
        <v>5.2714717534574601E-4</v>
      </c>
      <c r="J180" s="37">
        <f t="shared" si="44"/>
        <v>0</v>
      </c>
      <c r="L180" s="37">
        <f t="shared" si="45"/>
        <v>0</v>
      </c>
      <c r="N180" s="37">
        <f t="shared" si="45"/>
        <v>0</v>
      </c>
      <c r="P180" s="37">
        <f t="shared" ref="P180" si="52">+P168/P$169</f>
        <v>0</v>
      </c>
      <c r="R180" s="37">
        <f t="shared" si="47"/>
        <v>0</v>
      </c>
      <c r="T180" s="166">
        <f t="shared" si="47"/>
        <v>0</v>
      </c>
      <c r="U180" s="166"/>
      <c r="V180" s="166">
        <f t="shared" si="40"/>
        <v>0</v>
      </c>
      <c r="X180" s="166"/>
    </row>
    <row r="181" spans="3:24">
      <c r="D181" s="5">
        <f>SUM(D174:D180)</f>
        <v>0.434761860852444</v>
      </c>
      <c r="F181" s="5">
        <f>SUM(F174:F180)</f>
        <v>1.0000000000000002</v>
      </c>
      <c r="H181" s="5">
        <f>SUM(H174:H180)</f>
        <v>0.99999999999999989</v>
      </c>
      <c r="J181" s="5">
        <f>SUM(J174:J180)</f>
        <v>1</v>
      </c>
      <c r="L181" s="37">
        <f t="shared" si="45"/>
        <v>1</v>
      </c>
      <c r="N181" s="37">
        <f t="shared" si="45"/>
        <v>1</v>
      </c>
      <c r="P181" s="5">
        <f>SUM(P174:P180)</f>
        <v>1</v>
      </c>
      <c r="R181" s="5">
        <f>SUM(R174:R180)</f>
        <v>0.99999999999999989</v>
      </c>
      <c r="T181" s="64">
        <f>SUM(T174:T180)</f>
        <v>1</v>
      </c>
      <c r="U181" s="64"/>
      <c r="V181" s="64">
        <f>SUM(V174:V180)</f>
        <v>1</v>
      </c>
      <c r="X181" s="64"/>
    </row>
    <row r="182" spans="3:24">
      <c r="C182" s="1" t="s">
        <v>114</v>
      </c>
      <c r="F182" s="164">
        <f>+F162/F170</f>
        <v>0.77440234355620652</v>
      </c>
      <c r="H182" s="164">
        <f>+H162/H170</f>
        <v>0.82574541160705983</v>
      </c>
      <c r="J182" s="164">
        <f>+J162/J170</f>
        <v>0.83062193915217009</v>
      </c>
      <c r="L182" s="37">
        <f t="shared" si="45"/>
        <v>0.88012154388215935</v>
      </c>
      <c r="N182" s="37">
        <f t="shared" si="45"/>
        <v>0.88390511295347296</v>
      </c>
      <c r="P182" s="259">
        <f>+P162/P170</f>
        <v>0.8365925746651981</v>
      </c>
      <c r="Q182" s="259"/>
      <c r="R182" s="259">
        <f>+R162/R170</f>
        <v>0.82722208605955194</v>
      </c>
      <c r="S182" s="259"/>
      <c r="T182" s="259">
        <f>+T162/T170</f>
        <v>0.8241867883233539</v>
      </c>
      <c r="U182" s="259"/>
      <c r="V182" s="259">
        <f>+V162/V170</f>
        <v>0.83071387750600501</v>
      </c>
      <c r="X182" s="259"/>
    </row>
  </sheetData>
  <pageMargins left="0" right="0" top="0.5" bottom="0" header="0.5" footer="0.25"/>
  <pageSetup scale="77" firstPageNumber="17" fitToHeight="5" orientation="portrait" useFirstPageNumber="1" r:id="rId1"/>
  <headerFooter alignWithMargins="0">
    <oddFooter>&amp;L&amp;8&amp;Z&amp;F&amp;R&amp;8&amp;D  &amp;T</oddFooter>
  </headerFooter>
  <rowBreaks count="2" manualBreakCount="2">
    <brk id="58" max="25" man="1"/>
    <brk id="110" max="25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61"/>
  <sheetViews>
    <sheetView showGridLines="0" workbookViewId="0">
      <selection sqref="A1:T1"/>
    </sheetView>
  </sheetViews>
  <sheetFormatPr defaultColWidth="8.85546875" defaultRowHeight="12.75"/>
  <cols>
    <col min="1" max="1" width="3.85546875" style="121" customWidth="1"/>
    <col min="2" max="2" width="3.140625" style="121" customWidth="1"/>
    <col min="3" max="3" width="24" style="121" customWidth="1"/>
    <col min="4" max="4" width="15.28515625" style="121" hidden="1" customWidth="1"/>
    <col min="5" max="5" width="7.7109375" style="142" hidden="1" customWidth="1"/>
    <col min="6" max="6" width="15.42578125" style="142" hidden="1" customWidth="1"/>
    <col min="7" max="7" width="1.7109375" style="142" customWidth="1"/>
    <col min="8" max="8" width="15.42578125" style="142" hidden="1" customWidth="1"/>
    <col min="9" max="9" width="1.140625" style="142" hidden="1" customWidth="1"/>
    <col min="10" max="10" width="15.42578125" style="142" customWidth="1"/>
    <col min="11" max="11" width="1.140625" style="142" customWidth="1"/>
    <col min="12" max="12" width="15.42578125" style="121" bestFit="1" customWidth="1"/>
    <col min="13" max="13" width="1.140625" style="142" customWidth="1"/>
    <col min="14" max="14" width="15.42578125" style="129" customWidth="1"/>
    <col min="15" max="15" width="1.140625" style="209" customWidth="1"/>
    <col min="16" max="16" width="15.42578125" style="129" customWidth="1"/>
    <col min="17" max="17" width="1.140625" style="209" customWidth="1"/>
    <col min="18" max="18" width="15.42578125" style="147" customWidth="1"/>
    <col min="19" max="19" width="1.140625" style="227" customWidth="1"/>
    <col min="20" max="20" width="15.42578125" style="129" customWidth="1"/>
    <col min="21" max="21" width="1.7109375" style="121" customWidth="1"/>
    <col min="22" max="16384" width="8.85546875" style="121"/>
  </cols>
  <sheetData>
    <row r="1" spans="1:26" ht="20.25">
      <c r="A1" s="325" t="s">
        <v>93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174"/>
      <c r="V1" s="174"/>
    </row>
    <row r="2" spans="1:26" ht="20.25">
      <c r="A2" s="325" t="s">
        <v>205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174"/>
      <c r="V2" s="174"/>
    </row>
    <row r="3" spans="1:26" ht="20.25">
      <c r="A3" s="326" t="s">
        <v>220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170"/>
      <c r="V3" s="170"/>
      <c r="W3" s="170"/>
      <c r="X3" s="170"/>
      <c r="Y3" s="170"/>
      <c r="Z3" s="170"/>
    </row>
    <row r="4" spans="1:26">
      <c r="C4" s="122"/>
      <c r="D4" s="122"/>
      <c r="E4" s="123"/>
      <c r="F4" s="123"/>
      <c r="G4" s="123"/>
      <c r="H4" s="123"/>
      <c r="I4" s="123"/>
      <c r="J4" s="123"/>
      <c r="K4" s="123"/>
      <c r="L4" s="122"/>
      <c r="M4" s="123"/>
      <c r="N4" s="148"/>
      <c r="O4" s="206"/>
      <c r="P4" s="200"/>
      <c r="Q4" s="213"/>
      <c r="V4" s="129"/>
    </row>
    <row r="5" spans="1:26">
      <c r="B5" s="127"/>
      <c r="D5" s="154" t="s">
        <v>91</v>
      </c>
      <c r="E5" s="12"/>
      <c r="F5" s="154" t="s">
        <v>97</v>
      </c>
      <c r="G5" s="12"/>
      <c r="H5" s="154" t="s">
        <v>98</v>
      </c>
      <c r="I5" s="265"/>
      <c r="J5" s="154" t="s">
        <v>212</v>
      </c>
      <c r="K5" s="12"/>
      <c r="L5" s="154" t="s">
        <v>214</v>
      </c>
      <c r="M5" s="9"/>
      <c r="N5" s="183" t="s">
        <v>214</v>
      </c>
      <c r="O5" s="9"/>
      <c r="P5" s="183" t="s">
        <v>216</v>
      </c>
      <c r="Q5" s="13"/>
      <c r="R5" s="183" t="s">
        <v>216</v>
      </c>
      <c r="S5" s="239"/>
      <c r="T5" s="183"/>
    </row>
    <row r="6" spans="1:26" ht="69" customHeight="1">
      <c r="B6" s="127"/>
      <c r="D6" s="165" t="s">
        <v>2</v>
      </c>
      <c r="E6" s="40"/>
      <c r="F6" s="175" t="s">
        <v>2</v>
      </c>
      <c r="G6" s="40"/>
      <c r="H6" s="175" t="s">
        <v>2</v>
      </c>
      <c r="I6" s="40"/>
      <c r="J6" s="175" t="s">
        <v>2</v>
      </c>
      <c r="K6" s="40"/>
      <c r="L6" s="175" t="s">
        <v>3</v>
      </c>
      <c r="M6" s="9"/>
      <c r="N6" s="184" t="s">
        <v>223</v>
      </c>
      <c r="O6" s="9"/>
      <c r="P6" s="184" t="s">
        <v>206</v>
      </c>
      <c r="Q6" s="214"/>
      <c r="R6" s="184" t="s">
        <v>217</v>
      </c>
      <c r="S6" s="239"/>
      <c r="T6" s="184" t="s">
        <v>99</v>
      </c>
    </row>
    <row r="7" spans="1:26" s="129" customFormat="1">
      <c r="B7" s="130"/>
      <c r="D7" s="130"/>
      <c r="E7" s="128"/>
      <c r="F7" s="128"/>
      <c r="G7" s="128"/>
      <c r="H7" s="128"/>
      <c r="I7" s="128"/>
      <c r="J7" s="128"/>
      <c r="K7" s="128"/>
      <c r="L7" s="131"/>
      <c r="M7" s="128"/>
      <c r="N7" s="130"/>
      <c r="O7" s="128"/>
      <c r="P7" s="131"/>
      <c r="Q7" s="131"/>
      <c r="R7" s="131"/>
      <c r="S7" s="227"/>
    </row>
    <row r="8" spans="1:26" s="134" customFormat="1">
      <c r="A8" s="132" t="s">
        <v>36</v>
      </c>
      <c r="B8" s="133"/>
      <c r="D8" s="135"/>
      <c r="E8" s="136"/>
      <c r="F8" s="136"/>
      <c r="G8" s="136"/>
      <c r="H8" s="136"/>
      <c r="I8" s="136"/>
      <c r="J8" s="136"/>
      <c r="K8" s="136"/>
      <c r="L8" s="135"/>
      <c r="M8" s="136"/>
      <c r="N8" s="135"/>
      <c r="O8" s="136"/>
      <c r="P8" s="135"/>
      <c r="Q8" s="136"/>
      <c r="R8" s="215"/>
      <c r="S8" s="228"/>
      <c r="T8" s="135"/>
    </row>
    <row r="9" spans="1:26">
      <c r="A9" s="132" t="s">
        <v>37</v>
      </c>
      <c r="C9" s="122"/>
      <c r="D9" s="122"/>
      <c r="E9" s="123"/>
      <c r="F9" s="123"/>
      <c r="G9" s="123"/>
      <c r="H9" s="123"/>
      <c r="I9" s="123"/>
      <c r="J9" s="123"/>
      <c r="K9" s="123"/>
      <c r="L9" s="124"/>
      <c r="M9" s="123"/>
      <c r="N9" s="148"/>
      <c r="O9" s="206"/>
      <c r="P9" s="200"/>
      <c r="Q9" s="213"/>
    </row>
    <row r="10" spans="1:26">
      <c r="B10" s="121" t="s">
        <v>123</v>
      </c>
      <c r="C10" s="122"/>
      <c r="D10" s="167">
        <v>1408890</v>
      </c>
      <c r="E10" s="69"/>
      <c r="F10" s="167">
        <v>1435442.43</v>
      </c>
      <c r="G10" s="172"/>
      <c r="H10" s="167">
        <f>1472179.98+5532.24+1736.51</f>
        <v>1479448.73</v>
      </c>
      <c r="I10" s="167"/>
      <c r="J10" s="199">
        <f>2387816.41+13649.5+349.84</f>
        <v>2401815.75</v>
      </c>
      <c r="K10" s="172"/>
      <c r="L10" s="199">
        <f>2277396+14000</f>
        <v>2291396</v>
      </c>
      <c r="M10" s="69"/>
      <c r="N10" s="199">
        <f>2487396+14000</f>
        <v>2501396</v>
      </c>
      <c r="O10" s="207"/>
      <c r="P10" s="199">
        <f>2508941+13999</f>
        <v>2522940</v>
      </c>
      <c r="Q10" s="207"/>
      <c r="R10" s="199">
        <f>+P10-N10</f>
        <v>21544</v>
      </c>
      <c r="S10" s="229"/>
      <c r="T10" s="200">
        <f>+R10/N10</f>
        <v>8.6127906177190655E-3</v>
      </c>
    </row>
    <row r="11" spans="1:26">
      <c r="B11" s="121" t="s">
        <v>46</v>
      </c>
      <c r="C11" s="122"/>
      <c r="D11" s="126">
        <v>1109</v>
      </c>
      <c r="E11" s="138"/>
      <c r="F11" s="126">
        <v>1129.2</v>
      </c>
      <c r="G11" s="138"/>
      <c r="H11" s="167">
        <v>650.13</v>
      </c>
      <c r="I11" s="167"/>
      <c r="J11" s="147">
        <v>76754.75</v>
      </c>
      <c r="K11" s="138"/>
      <c r="L11" s="147">
        <v>50000</v>
      </c>
      <c r="M11" s="138"/>
      <c r="N11" s="126">
        <v>106000</v>
      </c>
      <c r="O11" s="144"/>
      <c r="P11" s="147">
        <v>120000</v>
      </c>
      <c r="Q11" s="129"/>
      <c r="R11" s="216">
        <f>+P11-N11</f>
        <v>14000</v>
      </c>
      <c r="S11" s="230"/>
      <c r="T11" s="200">
        <v>1</v>
      </c>
    </row>
    <row r="12" spans="1:26">
      <c r="B12" s="121" t="s">
        <v>208</v>
      </c>
      <c r="C12" s="122"/>
      <c r="D12" s="126"/>
      <c r="E12" s="138"/>
      <c r="F12" s="126"/>
      <c r="G12" s="138"/>
      <c r="H12" s="167"/>
      <c r="I12" s="167"/>
      <c r="J12" s="147"/>
      <c r="K12" s="138"/>
      <c r="L12" s="147">
        <v>0</v>
      </c>
      <c r="M12" s="138"/>
      <c r="N12" s="126">
        <v>4620</v>
      </c>
      <c r="O12" s="144"/>
      <c r="P12" s="147">
        <v>0</v>
      </c>
      <c r="Q12" s="129"/>
      <c r="R12" s="216">
        <f>+P12-N12</f>
        <v>-4620</v>
      </c>
      <c r="S12" s="230"/>
      <c r="T12" s="200">
        <v>1</v>
      </c>
    </row>
    <row r="13" spans="1:26">
      <c r="C13" s="140" t="s">
        <v>11</v>
      </c>
      <c r="D13" s="43">
        <f>SUM(D10:D11)</f>
        <v>1409999</v>
      </c>
      <c r="E13" s="41"/>
      <c r="F13" s="43">
        <f>SUM(F10:F11)</f>
        <v>1436571.63</v>
      </c>
      <c r="G13" s="41"/>
      <c r="H13" s="43">
        <f>SUM(H10:H11)</f>
        <v>1480098.8599999999</v>
      </c>
      <c r="I13" s="41"/>
      <c r="J13" s="43">
        <f>SUM(J10:J12)</f>
        <v>2478570.5</v>
      </c>
      <c r="K13" s="41"/>
      <c r="L13" s="43">
        <f t="shared" ref="L13:R13" si="0">SUM(L10:L12)</f>
        <v>2341396</v>
      </c>
      <c r="M13" s="43">
        <f t="shared" si="0"/>
        <v>0</v>
      </c>
      <c r="N13" s="43">
        <f t="shared" si="0"/>
        <v>2612016</v>
      </c>
      <c r="O13" s="43">
        <f t="shared" si="0"/>
        <v>0</v>
      </c>
      <c r="P13" s="313">
        <f t="shared" si="0"/>
        <v>2642940</v>
      </c>
      <c r="Q13" s="43">
        <f t="shared" si="0"/>
        <v>0</v>
      </c>
      <c r="R13" s="43">
        <f t="shared" si="0"/>
        <v>30924</v>
      </c>
      <c r="S13" s="230"/>
      <c r="T13" s="217">
        <f>+R13/N13</f>
        <v>1.1839131153867357E-2</v>
      </c>
    </row>
    <row r="14" spans="1:26">
      <c r="C14" s="122"/>
      <c r="D14" s="126"/>
      <c r="E14" s="138"/>
      <c r="F14" s="138"/>
      <c r="G14" s="138"/>
      <c r="H14" s="138"/>
      <c r="I14" s="138"/>
      <c r="J14" s="138"/>
      <c r="K14" s="138"/>
      <c r="L14" s="126"/>
      <c r="M14" s="138"/>
      <c r="N14" s="126"/>
      <c r="O14" s="144"/>
      <c r="P14" s="147"/>
      <c r="Q14" s="129"/>
      <c r="S14" s="230"/>
      <c r="T14" s="200"/>
    </row>
    <row r="15" spans="1:26">
      <c r="A15" s="137" t="s">
        <v>47</v>
      </c>
      <c r="C15" s="122"/>
      <c r="D15" s="126"/>
      <c r="E15" s="138"/>
      <c r="F15" s="138"/>
      <c r="G15" s="138"/>
      <c r="H15" s="138"/>
      <c r="I15" s="138"/>
      <c r="J15" s="138"/>
      <c r="K15" s="138"/>
      <c r="L15" s="126"/>
      <c r="M15" s="138"/>
      <c r="N15" s="126"/>
      <c r="O15" s="144"/>
      <c r="P15" s="147"/>
      <c r="Q15" s="129"/>
      <c r="S15" s="230"/>
      <c r="T15" s="200"/>
    </row>
    <row r="16" spans="1:26">
      <c r="A16" s="137"/>
      <c r="B16" s="121" t="s">
        <v>82</v>
      </c>
      <c r="C16" s="122"/>
      <c r="D16" s="126">
        <v>9945</v>
      </c>
      <c r="E16" s="138"/>
      <c r="F16" s="138">
        <v>11395.42</v>
      </c>
      <c r="G16" s="138"/>
      <c r="H16" s="138">
        <v>11645.57</v>
      </c>
      <c r="I16" s="138"/>
      <c r="J16" s="147">
        <v>24362.22</v>
      </c>
      <c r="K16" s="138"/>
      <c r="L16" s="147">
        <v>13644</v>
      </c>
      <c r="M16" s="138"/>
      <c r="N16" s="126">
        <v>19200</v>
      </c>
      <c r="O16" s="144"/>
      <c r="P16" s="147">
        <v>24362</v>
      </c>
      <c r="Q16" s="129"/>
      <c r="R16" s="147">
        <f>+P16-N16</f>
        <v>5162</v>
      </c>
      <c r="S16" s="230"/>
      <c r="T16" s="200">
        <f>+R16/N16</f>
        <v>0.26885416666666667</v>
      </c>
    </row>
    <row r="17" spans="1:20">
      <c r="C17" s="140" t="s">
        <v>11</v>
      </c>
      <c r="D17" s="146">
        <f>SUM(D16:D16)</f>
        <v>9945</v>
      </c>
      <c r="E17" s="138"/>
      <c r="F17" s="146">
        <f>SUM(F16:F16)</f>
        <v>11395.42</v>
      </c>
      <c r="G17" s="138"/>
      <c r="H17" s="146">
        <f>SUM(H16:H16)</f>
        <v>11645.57</v>
      </c>
      <c r="I17" s="138"/>
      <c r="J17" s="146">
        <f>SUM(J16:J16)</f>
        <v>24362.22</v>
      </c>
      <c r="K17" s="138"/>
      <c r="L17" s="146">
        <f>SUM(L16:L16)</f>
        <v>13644</v>
      </c>
      <c r="M17" s="138"/>
      <c r="N17" s="146">
        <f>SUM(N16:N16)</f>
        <v>19200</v>
      </c>
      <c r="O17" s="144"/>
      <c r="P17" s="201">
        <f>SUM(P16:P16)</f>
        <v>24362</v>
      </c>
      <c r="Q17" s="129"/>
      <c r="R17" s="201">
        <f>SUM(R16:R16)</f>
        <v>5162</v>
      </c>
      <c r="S17" s="230"/>
      <c r="T17" s="217">
        <f>+R17/N17</f>
        <v>0.26885416666666667</v>
      </c>
    </row>
    <row r="18" spans="1:20">
      <c r="C18" s="122"/>
      <c r="D18" s="126"/>
      <c r="E18" s="138"/>
      <c r="F18" s="138"/>
      <c r="G18" s="138"/>
      <c r="H18" s="138"/>
      <c r="I18" s="138"/>
      <c r="J18" s="138"/>
      <c r="K18" s="138"/>
      <c r="L18" s="126"/>
      <c r="M18" s="138"/>
      <c r="N18" s="126"/>
      <c r="O18" s="144"/>
      <c r="P18" s="147"/>
      <c r="Q18" s="129"/>
      <c r="S18" s="230"/>
      <c r="T18" s="213"/>
    </row>
    <row r="19" spans="1:20">
      <c r="A19" s="137" t="s">
        <v>51</v>
      </c>
      <c r="C19" s="122"/>
      <c r="D19" s="126"/>
      <c r="E19" s="138"/>
      <c r="F19" s="138"/>
      <c r="G19" s="138"/>
      <c r="H19" s="138"/>
      <c r="I19" s="138"/>
      <c r="J19" s="138"/>
      <c r="K19" s="138"/>
      <c r="L19" s="126"/>
      <c r="M19" s="138"/>
      <c r="N19" s="126"/>
      <c r="O19" s="144"/>
      <c r="P19" s="147"/>
      <c r="Q19" s="129"/>
      <c r="S19" s="230"/>
      <c r="T19" s="200"/>
    </row>
    <row r="20" spans="1:20">
      <c r="A20" s="137"/>
      <c r="B20" s="121" t="s">
        <v>124</v>
      </c>
      <c r="C20" s="122"/>
      <c r="D20" s="126">
        <v>171999</v>
      </c>
      <c r="E20" s="138"/>
      <c r="F20" s="138">
        <v>172926.69</v>
      </c>
      <c r="G20" s="138"/>
      <c r="H20" s="138">
        <v>186309.38</v>
      </c>
      <c r="I20" s="138"/>
      <c r="J20" s="147">
        <v>360264.2</v>
      </c>
      <c r="K20" s="138"/>
      <c r="L20" s="147">
        <v>306600</v>
      </c>
      <c r="M20" s="138"/>
      <c r="N20" s="126">
        <v>306600</v>
      </c>
      <c r="O20" s="144"/>
      <c r="P20" s="147">
        <v>354173</v>
      </c>
      <c r="Q20" s="129"/>
      <c r="R20" s="147">
        <f>+P20-N20</f>
        <v>47573</v>
      </c>
      <c r="S20" s="230"/>
      <c r="T20" s="213">
        <f>+R20/N20</f>
        <v>0.15516307893020223</v>
      </c>
    </row>
    <row r="21" spans="1:20">
      <c r="A21" s="137"/>
      <c r="B21" s="121" t="s">
        <v>125</v>
      </c>
      <c r="C21" s="122"/>
      <c r="D21" s="126">
        <v>707738</v>
      </c>
      <c r="E21" s="138"/>
      <c r="F21" s="138">
        <v>738056.69</v>
      </c>
      <c r="G21" s="138"/>
      <c r="H21" s="138">
        <v>749502.38</v>
      </c>
      <c r="I21" s="138"/>
      <c r="J21" s="147">
        <v>1801610.33</v>
      </c>
      <c r="K21" s="138"/>
      <c r="L21" s="147">
        <v>1680000</v>
      </c>
      <c r="M21" s="138"/>
      <c r="N21" s="126">
        <v>1680000</v>
      </c>
      <c r="O21" s="144"/>
      <c r="P21" s="147">
        <v>1768296</v>
      </c>
      <c r="Q21" s="129"/>
      <c r="R21" s="147">
        <f t="shared" ref="R21:R22" si="1">+P21-N21</f>
        <v>88296</v>
      </c>
      <c r="S21" s="230"/>
      <c r="T21" s="213">
        <f>+R21/N21</f>
        <v>5.2557142857142858E-2</v>
      </c>
    </row>
    <row r="22" spans="1:20">
      <c r="B22" s="121" t="s">
        <v>83</v>
      </c>
      <c r="D22" s="147">
        <v>96596</v>
      </c>
      <c r="E22" s="138"/>
      <c r="F22" s="138">
        <v>95217.45</v>
      </c>
      <c r="G22" s="138"/>
      <c r="H22" s="138">
        <v>116630.04</v>
      </c>
      <c r="I22" s="138"/>
      <c r="J22" s="147">
        <v>202566.28</v>
      </c>
      <c r="K22" s="138"/>
      <c r="L22" s="147">
        <v>306236</v>
      </c>
      <c r="M22" s="138"/>
      <c r="N22" s="126">
        <v>306236</v>
      </c>
      <c r="O22" s="144"/>
      <c r="P22" s="147">
        <v>248940</v>
      </c>
      <c r="Q22" s="129"/>
      <c r="R22" s="147">
        <f t="shared" si="1"/>
        <v>-57296</v>
      </c>
      <c r="S22" s="230"/>
      <c r="T22" s="213">
        <f>+R22/N22</f>
        <v>-0.18709753262189946</v>
      </c>
    </row>
    <row r="23" spans="1:20">
      <c r="B23" s="121" t="s">
        <v>52</v>
      </c>
      <c r="D23" s="147"/>
      <c r="E23" s="138"/>
      <c r="F23" s="138"/>
      <c r="G23" s="138"/>
      <c r="H23" s="138"/>
      <c r="I23" s="138"/>
      <c r="J23" s="147">
        <v>3799.75</v>
      </c>
      <c r="K23" s="138"/>
      <c r="L23" s="147">
        <v>0</v>
      </c>
      <c r="M23" s="138"/>
      <c r="N23" s="126">
        <v>2225</v>
      </c>
      <c r="O23" s="144"/>
      <c r="P23" s="147"/>
      <c r="Q23" s="129"/>
      <c r="S23" s="230"/>
      <c r="T23" s="213"/>
    </row>
    <row r="24" spans="1:20">
      <c r="C24" s="140" t="s">
        <v>11</v>
      </c>
      <c r="D24" s="146">
        <f>SUM(D20:D22)</f>
        <v>976333</v>
      </c>
      <c r="E24" s="138"/>
      <c r="F24" s="146">
        <f>SUM(F20:F22)</f>
        <v>1006200.8299999998</v>
      </c>
      <c r="G24" s="138"/>
      <c r="H24" s="146">
        <f>SUM(H20:H22)</f>
        <v>1052441.8</v>
      </c>
      <c r="I24" s="138"/>
      <c r="J24" s="146">
        <f>SUM(J20:J23)</f>
        <v>2368240.56</v>
      </c>
      <c r="K24" s="138"/>
      <c r="L24" s="146">
        <f>SUM(L20:L23)</f>
        <v>2292836</v>
      </c>
      <c r="M24" s="138"/>
      <c r="N24" s="146">
        <f>SUM(N20:N23)</f>
        <v>2295061</v>
      </c>
      <c r="O24" s="144"/>
      <c r="P24" s="201">
        <f>SUM(P20:P22)</f>
        <v>2371409</v>
      </c>
      <c r="Q24" s="129"/>
      <c r="R24" s="201">
        <f>SUM(R20:R22)</f>
        <v>78573</v>
      </c>
      <c r="S24" s="230"/>
      <c r="T24" s="217">
        <f>+R24/N24</f>
        <v>3.423569133892302E-2</v>
      </c>
    </row>
    <row r="25" spans="1:20">
      <c r="C25" s="122"/>
      <c r="D25" s="126"/>
      <c r="E25" s="138"/>
      <c r="F25" s="138"/>
      <c r="G25" s="138"/>
      <c r="H25" s="138"/>
      <c r="I25" s="138"/>
      <c r="J25" s="126"/>
      <c r="K25" s="138"/>
      <c r="L25" s="126"/>
      <c r="M25" s="138"/>
      <c r="N25" s="147"/>
      <c r="O25" s="144"/>
      <c r="P25" s="147"/>
      <c r="Q25" s="129"/>
      <c r="S25" s="230"/>
      <c r="T25" s="200"/>
    </row>
    <row r="26" spans="1:20" s="137" customFormat="1" ht="13.5" thickBot="1">
      <c r="B26" s="137" t="s">
        <v>59</v>
      </c>
      <c r="C26" s="140"/>
      <c r="D26" s="155">
        <f>D24+D17+D13</f>
        <v>2396277</v>
      </c>
      <c r="E26" s="156"/>
      <c r="F26" s="155">
        <f>F24+F17+F13</f>
        <v>2454167.88</v>
      </c>
      <c r="G26" s="156"/>
      <c r="H26" s="155">
        <f>H24+H17+H13</f>
        <v>2544186.23</v>
      </c>
      <c r="I26" s="156"/>
      <c r="J26" s="155">
        <f>J24+J17+J13</f>
        <v>4871173.28</v>
      </c>
      <c r="K26" s="156"/>
      <c r="L26" s="155">
        <f>L24+L17+L13</f>
        <v>4647876</v>
      </c>
      <c r="M26" s="156"/>
      <c r="N26" s="196">
        <f>N24+N17+N13</f>
        <v>4926277</v>
      </c>
      <c r="O26" s="208"/>
      <c r="P26" s="196">
        <f>P24+P17+P13</f>
        <v>5038711</v>
      </c>
      <c r="Q26" s="218"/>
      <c r="R26" s="196">
        <f>+P26-N26</f>
        <v>112434</v>
      </c>
      <c r="S26" s="231"/>
      <c r="T26" s="219">
        <f>+R26/N26</f>
        <v>2.2823320734907924E-2</v>
      </c>
    </row>
    <row r="27" spans="1:20">
      <c r="C27" s="121" t="s">
        <v>63</v>
      </c>
      <c r="Q27" s="129"/>
      <c r="R27" s="129"/>
      <c r="S27" s="232"/>
      <c r="T27" s="147"/>
    </row>
    <row r="28" spans="1:20">
      <c r="A28" s="137" t="s">
        <v>4</v>
      </c>
      <c r="Q28" s="129"/>
      <c r="R28" s="129"/>
      <c r="S28" s="232"/>
      <c r="T28" s="147"/>
    </row>
    <row r="29" spans="1:20">
      <c r="A29" s="22">
        <v>35</v>
      </c>
      <c r="B29" s="137" t="s">
        <v>77</v>
      </c>
      <c r="C29" s="122"/>
      <c r="D29" s="126"/>
      <c r="E29" s="138"/>
      <c r="F29" s="138"/>
      <c r="G29" s="138"/>
      <c r="H29" s="138"/>
      <c r="I29" s="138"/>
      <c r="J29" s="138"/>
      <c r="K29" s="138"/>
      <c r="L29" s="126"/>
      <c r="M29" s="138"/>
      <c r="N29" s="147"/>
      <c r="O29" s="144"/>
      <c r="P29" s="147"/>
      <c r="Q29" s="129"/>
      <c r="S29" s="230"/>
      <c r="T29" s="200"/>
    </row>
    <row r="30" spans="1:20">
      <c r="B30" s="121" t="s">
        <v>6</v>
      </c>
      <c r="C30" s="122"/>
      <c r="D30" s="126">
        <v>0</v>
      </c>
      <c r="E30" s="138"/>
      <c r="F30" s="263" t="s">
        <v>131</v>
      </c>
      <c r="G30" s="138"/>
      <c r="H30" s="263" t="s">
        <v>131</v>
      </c>
      <c r="I30" s="263"/>
      <c r="J30" s="308">
        <v>73813.72</v>
      </c>
      <c r="K30" s="138"/>
      <c r="L30" s="147">
        <v>100145</v>
      </c>
      <c r="M30" s="138"/>
      <c r="N30" s="126">
        <v>100145</v>
      </c>
      <c r="O30" s="144"/>
      <c r="P30" s="147">
        <v>123928</v>
      </c>
      <c r="Q30" s="129"/>
      <c r="R30" s="147">
        <f>+P30-N30</f>
        <v>23783</v>
      </c>
      <c r="S30" s="230"/>
      <c r="T30" s="200">
        <v>0</v>
      </c>
    </row>
    <row r="31" spans="1:20">
      <c r="B31" s="121" t="s">
        <v>84</v>
      </c>
      <c r="C31" s="122"/>
      <c r="D31" s="126">
        <v>2125704</v>
      </c>
      <c r="E31" s="138"/>
      <c r="F31" s="138">
        <v>2195051.64</v>
      </c>
      <c r="G31" s="138"/>
      <c r="H31" s="138">
        <v>2191407.29</v>
      </c>
      <c r="I31" s="138"/>
      <c r="J31" s="144">
        <v>4213879.24</v>
      </c>
      <c r="K31" s="138"/>
      <c r="L31" s="147">
        <v>3826500</v>
      </c>
      <c r="M31" s="138"/>
      <c r="N31" s="126">
        <v>4416217</v>
      </c>
      <c r="O31" s="144"/>
      <c r="P31" s="147">
        <v>4338445</v>
      </c>
      <c r="Q31" s="129"/>
      <c r="R31" s="147">
        <f t="shared" ref="R31:R34" si="2">+P31-N31</f>
        <v>-77772</v>
      </c>
      <c r="S31" s="230"/>
      <c r="T31" s="200">
        <f>+R31/N31</f>
        <v>-1.7610547670098637E-2</v>
      </c>
    </row>
    <row r="32" spans="1:20">
      <c r="B32" s="121" t="s">
        <v>8</v>
      </c>
      <c r="C32" s="122"/>
      <c r="D32" s="126">
        <v>116111</v>
      </c>
      <c r="E32" s="138"/>
      <c r="F32" s="138">
        <v>126397.56</v>
      </c>
      <c r="G32" s="138"/>
      <c r="H32" s="138">
        <v>139828.57</v>
      </c>
      <c r="I32" s="138"/>
      <c r="J32" s="144">
        <v>363117.68</v>
      </c>
      <c r="K32" s="138"/>
      <c r="L32" s="147">
        <v>400236</v>
      </c>
      <c r="M32" s="138"/>
      <c r="N32" s="126">
        <v>475320</v>
      </c>
      <c r="O32" s="144"/>
      <c r="P32" s="147">
        <v>349583</v>
      </c>
      <c r="Q32" s="129"/>
      <c r="R32" s="147">
        <f t="shared" si="2"/>
        <v>-125737</v>
      </c>
      <c r="S32" s="230"/>
      <c r="T32" s="200">
        <f t="shared" ref="T32:T33" si="3">+R32/N32</f>
        <v>-0.26453126314903647</v>
      </c>
    </row>
    <row r="33" spans="1:29">
      <c r="B33" s="121" t="s">
        <v>9</v>
      </c>
      <c r="C33" s="122"/>
      <c r="D33" s="126">
        <v>2250</v>
      </c>
      <c r="E33" s="138"/>
      <c r="F33" s="138">
        <v>2025</v>
      </c>
      <c r="G33" s="138"/>
      <c r="H33" s="138">
        <v>2317.8000000000002</v>
      </c>
      <c r="I33" s="138"/>
      <c r="J33" s="144">
        <v>265</v>
      </c>
      <c r="K33" s="138"/>
      <c r="L33" s="147">
        <v>4000</v>
      </c>
      <c r="M33" s="138"/>
      <c r="N33" s="126">
        <v>4950</v>
      </c>
      <c r="O33" s="144"/>
      <c r="P33" s="147">
        <v>4950</v>
      </c>
      <c r="Q33" s="129"/>
      <c r="R33" s="147">
        <f t="shared" si="2"/>
        <v>0</v>
      </c>
      <c r="S33" s="230"/>
      <c r="T33" s="200">
        <f t="shared" si="3"/>
        <v>0</v>
      </c>
    </row>
    <row r="34" spans="1:29">
      <c r="B34" s="121" t="s">
        <v>10</v>
      </c>
      <c r="D34" s="126">
        <v>18260</v>
      </c>
      <c r="E34" s="138"/>
      <c r="F34" s="138">
        <v>18120</v>
      </c>
      <c r="G34" s="138"/>
      <c r="H34" s="138">
        <v>129518.02</v>
      </c>
      <c r="I34" s="138"/>
      <c r="J34" s="144">
        <v>170509.48</v>
      </c>
      <c r="K34" s="138"/>
      <c r="L34" s="147">
        <v>200000</v>
      </c>
      <c r="M34" s="138"/>
      <c r="N34" s="126">
        <v>534249</v>
      </c>
      <c r="O34" s="210"/>
      <c r="P34" s="147">
        <v>0</v>
      </c>
      <c r="Q34" s="129"/>
      <c r="R34" s="147">
        <f t="shared" si="2"/>
        <v>-534249</v>
      </c>
      <c r="S34" s="230"/>
      <c r="T34" s="200">
        <v>0</v>
      </c>
    </row>
    <row r="35" spans="1:29" s="137" customFormat="1">
      <c r="B35" s="140"/>
      <c r="C35" s="22" t="s">
        <v>11</v>
      </c>
      <c r="D35" s="143">
        <f>SUM(D30:D34)</f>
        <v>2262325</v>
      </c>
      <c r="E35" s="141"/>
      <c r="F35" s="143">
        <f>SUM(F30:F34)</f>
        <v>2341594.2000000002</v>
      </c>
      <c r="G35" s="141"/>
      <c r="H35" s="143">
        <f>SUM(H30:H34)</f>
        <v>2463071.6799999997</v>
      </c>
      <c r="I35" s="141"/>
      <c r="J35" s="143">
        <f>SUM(J30:J34)</f>
        <v>4821585.12</v>
      </c>
      <c r="K35" s="141"/>
      <c r="L35" s="143">
        <f>SUM(L30:L34)</f>
        <v>4530881</v>
      </c>
      <c r="M35" s="141"/>
      <c r="N35" s="143">
        <f>SUM(N30:N34)</f>
        <v>5530881</v>
      </c>
      <c r="O35" s="211"/>
      <c r="P35" s="202">
        <f>SUM(P30:P34)</f>
        <v>4816906</v>
      </c>
      <c r="Q35" s="220"/>
      <c r="R35" s="202">
        <f>SUM(R30:R34)</f>
        <v>-713975</v>
      </c>
      <c r="S35" s="233"/>
      <c r="T35" s="221">
        <f>+R35/N35</f>
        <v>-0.12908883774574068</v>
      </c>
    </row>
    <row r="36" spans="1:29" s="78" customFormat="1"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318"/>
      <c r="O36" s="115"/>
      <c r="P36" s="115"/>
      <c r="Q36" s="113"/>
      <c r="R36" s="115"/>
      <c r="S36" s="234"/>
      <c r="T36" s="113"/>
    </row>
    <row r="37" spans="1:29" s="1" customFormat="1">
      <c r="A37" s="22">
        <v>51</v>
      </c>
      <c r="B37" s="19" t="s">
        <v>22</v>
      </c>
      <c r="D37" s="6"/>
      <c r="E37" s="21"/>
      <c r="F37" s="21"/>
      <c r="G37" s="21"/>
      <c r="H37" s="21"/>
      <c r="I37" s="21"/>
      <c r="J37" s="21"/>
      <c r="K37" s="21"/>
      <c r="L37" s="20"/>
      <c r="M37" s="21"/>
      <c r="N37" s="6"/>
      <c r="O37" s="21"/>
      <c r="P37" s="21"/>
      <c r="Q37" s="21"/>
      <c r="R37" s="52"/>
      <c r="S37" s="235"/>
      <c r="T37" s="21"/>
      <c r="U37" s="21"/>
      <c r="V37" s="20"/>
      <c r="W37" s="21"/>
      <c r="X37" s="20"/>
      <c r="Y37" s="21"/>
      <c r="Z37" s="20"/>
      <c r="AA37" s="21"/>
      <c r="AB37" s="20"/>
    </row>
    <row r="38" spans="1:29" s="1" customFormat="1">
      <c r="A38" s="22"/>
      <c r="B38" s="1" t="s">
        <v>198</v>
      </c>
      <c r="D38" s="6"/>
      <c r="E38" s="21"/>
      <c r="F38" s="21"/>
      <c r="G38" s="21"/>
      <c r="H38" s="21"/>
      <c r="I38" s="21"/>
      <c r="J38" s="21">
        <v>12622.21</v>
      </c>
      <c r="K38" s="21"/>
      <c r="L38" s="173">
        <v>37360</v>
      </c>
      <c r="M38" s="21"/>
      <c r="N38" s="6">
        <v>40360</v>
      </c>
      <c r="O38" s="21"/>
      <c r="P38" s="21">
        <v>40305</v>
      </c>
      <c r="Q38" s="21"/>
      <c r="R38" s="147">
        <f>+P38-N38</f>
        <v>-55</v>
      </c>
      <c r="S38" s="235"/>
      <c r="T38" s="200">
        <f>+R38/N38</f>
        <v>-1.3627353815659068E-3</v>
      </c>
      <c r="U38" s="21"/>
      <c r="V38" s="173"/>
      <c r="W38" s="21"/>
      <c r="X38" s="173"/>
      <c r="Y38" s="21"/>
      <c r="Z38" s="173"/>
      <c r="AA38" s="21"/>
      <c r="AB38" s="173"/>
    </row>
    <row r="39" spans="1:29" s="1" customFormat="1">
      <c r="A39" s="23"/>
      <c r="B39" s="1" t="s">
        <v>7</v>
      </c>
      <c r="D39" s="20">
        <v>162</v>
      </c>
      <c r="E39" s="20">
        <v>0</v>
      </c>
      <c r="F39" s="173">
        <v>29822.71</v>
      </c>
      <c r="G39" s="173"/>
      <c r="H39" s="173">
        <v>29694.15</v>
      </c>
      <c r="I39" s="173"/>
      <c r="J39" s="21">
        <v>74359.25</v>
      </c>
      <c r="K39" s="173"/>
      <c r="L39" s="21">
        <v>79200</v>
      </c>
      <c r="M39" s="20"/>
      <c r="N39" s="6">
        <v>89200</v>
      </c>
      <c r="O39" s="21">
        <v>0</v>
      </c>
      <c r="P39" s="21">
        <v>81500</v>
      </c>
      <c r="Q39" s="21">
        <v>0</v>
      </c>
      <c r="R39" s="147">
        <f>+P39-N39</f>
        <v>-7700</v>
      </c>
      <c r="S39" s="235">
        <v>0</v>
      </c>
      <c r="T39" s="200">
        <f>+R39/N39</f>
        <v>-8.632286995515695E-2</v>
      </c>
      <c r="U39" s="20">
        <v>0</v>
      </c>
      <c r="V39" s="20"/>
      <c r="W39" s="20"/>
      <c r="X39" s="20"/>
      <c r="Y39" s="20"/>
      <c r="Z39" s="149"/>
      <c r="AA39" s="20"/>
      <c r="AB39" s="20"/>
      <c r="AC39" s="29"/>
    </row>
    <row r="40" spans="1:29" s="1" customFormat="1">
      <c r="A40" s="23"/>
      <c r="B40" s="1" t="s">
        <v>199</v>
      </c>
      <c r="D40" s="173"/>
      <c r="E40" s="173"/>
      <c r="F40" s="173"/>
      <c r="G40" s="173"/>
      <c r="H40" s="173"/>
      <c r="I40" s="173"/>
      <c r="J40" s="21">
        <v>0</v>
      </c>
      <c r="K40" s="173"/>
      <c r="L40" s="21">
        <v>0</v>
      </c>
      <c r="M40" s="173"/>
      <c r="N40" s="6">
        <v>0</v>
      </c>
      <c r="O40" s="21"/>
      <c r="P40" s="21">
        <v>0</v>
      </c>
      <c r="Q40" s="21"/>
      <c r="R40" s="147">
        <f>+P40-N40</f>
        <v>0</v>
      </c>
      <c r="S40" s="235"/>
      <c r="T40" s="200">
        <v>0</v>
      </c>
      <c r="U40" s="173"/>
      <c r="V40" s="173"/>
      <c r="W40" s="173"/>
      <c r="X40" s="173"/>
      <c r="Y40" s="173"/>
      <c r="Z40" s="149"/>
      <c r="AA40" s="173"/>
      <c r="AB40" s="173"/>
      <c r="AC40" s="29"/>
    </row>
    <row r="41" spans="1:29" s="1" customFormat="1">
      <c r="A41" s="23"/>
      <c r="B41" s="121" t="s">
        <v>10</v>
      </c>
      <c r="D41" s="173"/>
      <c r="E41" s="173"/>
      <c r="F41" s="173"/>
      <c r="G41" s="173"/>
      <c r="H41" s="173"/>
      <c r="I41" s="173"/>
      <c r="J41" s="21">
        <v>0</v>
      </c>
      <c r="K41" s="173"/>
      <c r="L41" s="21"/>
      <c r="M41" s="173"/>
      <c r="N41" s="6">
        <v>0</v>
      </c>
      <c r="O41" s="21"/>
      <c r="P41" s="21"/>
      <c r="Q41" s="21"/>
      <c r="R41" s="147"/>
      <c r="S41" s="235"/>
      <c r="T41" s="200"/>
      <c r="U41" s="173"/>
      <c r="V41" s="173"/>
      <c r="W41" s="173"/>
      <c r="X41" s="173"/>
      <c r="Y41" s="173"/>
      <c r="Z41" s="149"/>
      <c r="AA41" s="173"/>
      <c r="AB41" s="173"/>
      <c r="AC41" s="29"/>
    </row>
    <row r="42" spans="1:29" s="1" customFormat="1">
      <c r="A42" s="23"/>
      <c r="C42" s="22" t="s">
        <v>11</v>
      </c>
      <c r="D42" s="25">
        <f>SUM(D39:D39)</f>
        <v>162</v>
      </c>
      <c r="E42" s="21"/>
      <c r="F42" s="25">
        <f>SUM(F39:F39)</f>
        <v>29822.71</v>
      </c>
      <c r="G42" s="21"/>
      <c r="H42" s="25">
        <f>SUM(H39:H39)</f>
        <v>29694.15</v>
      </c>
      <c r="I42" s="173"/>
      <c r="J42" s="25">
        <f>SUM(J38:J41)</f>
        <v>86981.459999999992</v>
      </c>
      <c r="K42" s="21"/>
      <c r="L42" s="25">
        <f t="shared" ref="L42:R42" si="4">SUM(L38:L40)</f>
        <v>116560</v>
      </c>
      <c r="M42" s="25">
        <f t="shared" si="4"/>
        <v>0</v>
      </c>
      <c r="N42" s="25">
        <f>SUM(N38:N41)</f>
        <v>129560</v>
      </c>
      <c r="O42" s="25">
        <f t="shared" si="4"/>
        <v>0</v>
      </c>
      <c r="P42" s="151">
        <f t="shared" si="4"/>
        <v>121805</v>
      </c>
      <c r="Q42" s="25">
        <f t="shared" si="4"/>
        <v>0</v>
      </c>
      <c r="R42" s="25">
        <f t="shared" si="4"/>
        <v>-7755</v>
      </c>
      <c r="S42" s="235"/>
      <c r="T42" s="221">
        <f>+R42/N42</f>
        <v>-5.9856437171966655E-2</v>
      </c>
      <c r="U42" s="21"/>
      <c r="V42" s="20"/>
      <c r="W42" s="21"/>
      <c r="X42" s="20"/>
      <c r="Y42" s="21"/>
      <c r="Z42" s="149"/>
      <c r="AA42" s="21"/>
      <c r="AB42" s="20"/>
      <c r="AC42" s="29"/>
    </row>
    <row r="43" spans="1:29" s="1" customFormat="1">
      <c r="A43" s="23"/>
      <c r="C43" s="22"/>
      <c r="D43" s="173"/>
      <c r="E43" s="21"/>
      <c r="F43" s="173"/>
      <c r="G43" s="21"/>
      <c r="H43" s="173"/>
      <c r="I43" s="173"/>
      <c r="J43" s="173"/>
      <c r="K43" s="21"/>
      <c r="L43" s="173"/>
      <c r="M43" s="173"/>
      <c r="N43" s="6"/>
      <c r="O43" s="21"/>
      <c r="P43" s="21"/>
      <c r="Q43" s="21"/>
      <c r="R43" s="21"/>
      <c r="S43" s="235"/>
      <c r="T43" s="259"/>
      <c r="U43" s="21"/>
      <c r="V43" s="173"/>
      <c r="W43" s="21"/>
      <c r="X43" s="173"/>
      <c r="Y43" s="21"/>
      <c r="Z43" s="149"/>
      <c r="AA43" s="21"/>
      <c r="AB43" s="173"/>
      <c r="AC43" s="29"/>
    </row>
    <row r="44" spans="1:29" s="1" customFormat="1">
      <c r="A44" s="22">
        <v>52</v>
      </c>
      <c r="B44" s="19" t="s">
        <v>23</v>
      </c>
      <c r="D44" s="20"/>
      <c r="E44" s="21"/>
      <c r="F44" s="192">
        <v>0</v>
      </c>
      <c r="G44" s="21"/>
      <c r="H44" s="192">
        <v>0</v>
      </c>
      <c r="I44" s="21"/>
      <c r="J44" s="192">
        <v>0</v>
      </c>
      <c r="K44" s="21"/>
      <c r="L44" s="192">
        <v>0</v>
      </c>
      <c r="M44" s="20"/>
      <c r="N44" s="35">
        <v>0</v>
      </c>
      <c r="O44" s="21"/>
      <c r="P44" s="192">
        <v>0</v>
      </c>
      <c r="Q44" s="21"/>
      <c r="R44" s="203">
        <f>+P44-N44</f>
        <v>0</v>
      </c>
      <c r="S44" s="235"/>
      <c r="T44" s="224">
        <v>0</v>
      </c>
      <c r="U44" s="21"/>
      <c r="V44" s="20"/>
      <c r="W44" s="21"/>
      <c r="X44" s="20"/>
      <c r="Y44" s="21"/>
      <c r="Z44" s="149"/>
      <c r="AA44" s="21"/>
      <c r="AB44" s="20"/>
      <c r="AC44" s="29"/>
    </row>
    <row r="45" spans="1:29" s="1" customFormat="1">
      <c r="A45" s="22"/>
      <c r="B45" s="19"/>
      <c r="D45" s="173"/>
      <c r="E45" s="21"/>
      <c r="F45" s="203">
        <f>SUM(F44)</f>
        <v>0</v>
      </c>
      <c r="G45" s="21"/>
      <c r="H45" s="203">
        <f>SUM(H44)</f>
        <v>0</v>
      </c>
      <c r="I45" s="144"/>
      <c r="J45" s="203">
        <f>SUM(J44)</f>
        <v>0</v>
      </c>
      <c r="K45" s="21"/>
      <c r="L45" s="203">
        <f>SUM(L44)</f>
        <v>0</v>
      </c>
      <c r="M45" s="173"/>
      <c r="N45" s="139">
        <f>SUM(N44)</f>
        <v>0</v>
      </c>
      <c r="O45" s="21"/>
      <c r="P45" s="203">
        <f>SUM(P44)</f>
        <v>0</v>
      </c>
      <c r="Q45" s="21"/>
      <c r="R45" s="203">
        <f>SUM(R44)</f>
        <v>0</v>
      </c>
      <c r="S45" s="235"/>
      <c r="T45" s="249">
        <f>SUM(T39)</f>
        <v>-8.632286995515695E-2</v>
      </c>
      <c r="U45" s="21"/>
      <c r="V45" s="173"/>
      <c r="W45" s="21"/>
      <c r="X45" s="173"/>
      <c r="Y45" s="21"/>
      <c r="Z45" s="149"/>
      <c r="AA45" s="21"/>
      <c r="AB45" s="173"/>
      <c r="AC45" s="29"/>
    </row>
    <row r="46" spans="1:29" s="1" customFormat="1">
      <c r="A46" s="22"/>
      <c r="B46" s="19"/>
      <c r="D46" s="173"/>
      <c r="E46" s="21"/>
      <c r="F46" s="21"/>
      <c r="G46" s="21"/>
      <c r="H46" s="21"/>
      <c r="I46" s="21"/>
      <c r="J46" s="173"/>
      <c r="K46" s="21"/>
      <c r="L46" s="173"/>
      <c r="M46" s="173"/>
      <c r="N46" s="21"/>
      <c r="O46" s="21"/>
      <c r="P46" s="21"/>
      <c r="Q46" s="21"/>
      <c r="R46" s="21"/>
      <c r="S46" s="235"/>
      <c r="T46" s="21"/>
      <c r="U46" s="21"/>
      <c r="V46" s="173"/>
      <c r="W46" s="21"/>
      <c r="X46" s="173"/>
      <c r="Y46" s="21"/>
      <c r="Z46" s="149"/>
      <c r="AA46" s="21"/>
      <c r="AB46" s="173"/>
      <c r="AC46" s="29"/>
    </row>
    <row r="47" spans="1:29" s="19" customFormat="1" ht="13.5" thickBot="1">
      <c r="B47" s="19" t="s">
        <v>31</v>
      </c>
      <c r="D47" s="171">
        <f>+D42+D35</f>
        <v>2262487</v>
      </c>
      <c r="E47" s="42"/>
      <c r="F47" s="171">
        <f>+F42+F35+F45</f>
        <v>2371416.91</v>
      </c>
      <c r="G47" s="42"/>
      <c r="H47" s="171">
        <f>+H42+H35+H45</f>
        <v>2492765.8299999996</v>
      </c>
      <c r="I47" s="42"/>
      <c r="J47" s="171">
        <f>+J42+J35+J45</f>
        <v>4908566.58</v>
      </c>
      <c r="K47" s="42"/>
      <c r="L47" s="171">
        <f>+L42+L35+L45</f>
        <v>4647441</v>
      </c>
      <c r="M47" s="42" t="e">
        <f>+#REF!+#REF!+#REF!+#REF!+#REF!+#REF!+#REF!+#REF!+#REF!+#REF!+#REF!+#REF!+O3+M11+M20+M25+M29+M33+M37+#REF!+M42</f>
        <v>#REF!</v>
      </c>
      <c r="N47" s="171">
        <f>+N42+N35+N45</f>
        <v>5660441</v>
      </c>
      <c r="O47" s="180"/>
      <c r="P47" s="314">
        <f>+P42+P35+P45</f>
        <v>4938711</v>
      </c>
      <c r="Q47" s="222"/>
      <c r="R47" s="171">
        <f>+R42+R35+R45</f>
        <v>-721730</v>
      </c>
      <c r="S47" s="236"/>
      <c r="T47" s="223">
        <f>+R47/N47</f>
        <v>-0.12750419976111402</v>
      </c>
      <c r="U47" s="31"/>
      <c r="V47" s="54"/>
      <c r="W47" s="31"/>
      <c r="X47" s="54"/>
      <c r="Y47" s="31"/>
      <c r="Z47" s="168"/>
      <c r="AA47" s="31"/>
      <c r="AB47" s="54"/>
      <c r="AC47" s="56"/>
    </row>
    <row r="48" spans="1:29" s="1" customFormat="1">
      <c r="A48" s="23"/>
      <c r="C48" s="22"/>
      <c r="D48" s="20"/>
      <c r="E48" s="21"/>
      <c r="F48" s="21"/>
      <c r="G48" s="21"/>
      <c r="H48" s="21"/>
      <c r="I48" s="21"/>
      <c r="J48" s="21"/>
      <c r="K48" s="21"/>
      <c r="L48" s="20"/>
      <c r="M48" s="20"/>
      <c r="N48" s="21"/>
      <c r="O48" s="21"/>
      <c r="P48" s="21"/>
      <c r="Q48" s="21"/>
      <c r="R48" s="21"/>
      <c r="S48" s="235"/>
      <c r="T48" s="21"/>
      <c r="U48" s="21"/>
      <c r="V48" s="20"/>
      <c r="W48" s="21"/>
      <c r="X48" s="20"/>
      <c r="Y48" s="21"/>
      <c r="Z48" s="149"/>
      <c r="AA48" s="21"/>
      <c r="AB48" s="20"/>
    </row>
    <row r="49" spans="1:20">
      <c r="A49" s="129" t="s">
        <v>65</v>
      </c>
      <c r="B49" s="148"/>
      <c r="C49" s="148"/>
      <c r="D49" s="144">
        <f>+D26-D47</f>
        <v>133790</v>
      </c>
      <c r="E49" s="144"/>
      <c r="F49" s="144">
        <f>+F26-F47</f>
        <v>82750.969999999739</v>
      </c>
      <c r="G49" s="144"/>
      <c r="H49" s="144">
        <f>+H26-H47</f>
        <v>51420.400000000373</v>
      </c>
      <c r="I49" s="144"/>
      <c r="J49" s="144">
        <f>+J26-J47</f>
        <v>-37393.299999999814</v>
      </c>
      <c r="K49" s="144"/>
      <c r="L49" s="144">
        <f>+L26-L47</f>
        <v>435</v>
      </c>
      <c r="M49" s="144"/>
      <c r="N49" s="144">
        <f>+N26-N47</f>
        <v>-734164</v>
      </c>
      <c r="O49" s="144"/>
      <c r="P49" s="144">
        <f>+P26-P47</f>
        <v>100000</v>
      </c>
      <c r="Q49" s="129"/>
      <c r="R49" s="144">
        <f>+P49-N49</f>
        <v>834164</v>
      </c>
      <c r="S49" s="230"/>
      <c r="T49" s="213">
        <f>+R49/N49</f>
        <v>-1.136209348319994</v>
      </c>
    </row>
    <row r="50" spans="1:20"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44"/>
      <c r="O50" s="144"/>
      <c r="P50" s="144"/>
      <c r="Q50" s="129"/>
      <c r="R50" s="144"/>
      <c r="S50" s="230"/>
      <c r="T50" s="213"/>
    </row>
    <row r="51" spans="1:20">
      <c r="A51" s="121" t="s">
        <v>115</v>
      </c>
      <c r="C51" s="122"/>
      <c r="D51" s="139">
        <v>420722</v>
      </c>
      <c r="E51" s="138"/>
      <c r="F51" s="139">
        <f>D53</f>
        <v>554512</v>
      </c>
      <c r="G51" s="138"/>
      <c r="H51" s="139">
        <f>F53</f>
        <v>637262.96999999974</v>
      </c>
      <c r="I51" s="138"/>
      <c r="J51" s="139">
        <v>1645876</v>
      </c>
      <c r="K51" s="138"/>
      <c r="L51" s="139">
        <f>J53</f>
        <v>1608482.7000000002</v>
      </c>
      <c r="M51" s="138"/>
      <c r="N51" s="203">
        <f>J53</f>
        <v>1608482.7000000002</v>
      </c>
      <c r="O51" s="144"/>
      <c r="P51" s="203">
        <f>+N53</f>
        <v>874318.70000000019</v>
      </c>
      <c r="Q51" s="129"/>
      <c r="R51" s="203">
        <f>+P51-N51</f>
        <v>-734164</v>
      </c>
      <c r="S51" s="230"/>
      <c r="T51" s="224">
        <f>+R51/N51</f>
        <v>-0.45643263679491231</v>
      </c>
    </row>
    <row r="52" spans="1:20">
      <c r="C52" s="122"/>
      <c r="D52" s="122"/>
      <c r="E52" s="123"/>
      <c r="F52" s="123"/>
      <c r="G52" s="123"/>
      <c r="H52" s="123"/>
      <c r="I52" s="123"/>
      <c r="J52" s="123"/>
      <c r="K52" s="123"/>
      <c r="L52" s="122"/>
      <c r="M52" s="123"/>
      <c r="N52" s="148"/>
      <c r="O52" s="206"/>
      <c r="P52" s="148"/>
      <c r="Q52" s="129"/>
      <c r="R52" s="200"/>
      <c r="S52" s="237"/>
      <c r="T52" s="200"/>
    </row>
    <row r="53" spans="1:20" ht="13.5" thickBot="1">
      <c r="A53" s="137" t="s">
        <v>116</v>
      </c>
      <c r="C53" s="122"/>
      <c r="D53" s="157">
        <f>SUM(D49:D51)</f>
        <v>554512</v>
      </c>
      <c r="E53" s="145"/>
      <c r="F53" s="157">
        <f>SUM(F49:F51)</f>
        <v>637262.96999999974</v>
      </c>
      <c r="G53" s="145"/>
      <c r="H53" s="157">
        <f>SUM(H49:H51)</f>
        <v>688683.37000000011</v>
      </c>
      <c r="I53" s="145"/>
      <c r="J53" s="157">
        <f>SUM(J49:J51)</f>
        <v>1608482.7000000002</v>
      </c>
      <c r="K53" s="145"/>
      <c r="L53" s="157">
        <f>SUM(L49:L51)</f>
        <v>1608917.7000000002</v>
      </c>
      <c r="M53" s="145"/>
      <c r="N53" s="204">
        <f>SUM(N49:N51)</f>
        <v>874318.70000000019</v>
      </c>
      <c r="O53" s="212"/>
      <c r="P53" s="204">
        <f>SUM(P49:P51)</f>
        <v>974318.70000000019</v>
      </c>
      <c r="Q53" s="225" t="s">
        <v>61</v>
      </c>
      <c r="R53" s="204">
        <f>+P53-N53</f>
        <v>100000</v>
      </c>
      <c r="S53" s="238"/>
      <c r="T53" s="226">
        <f>+R53/N53</f>
        <v>0.11437476974929163</v>
      </c>
    </row>
    <row r="54" spans="1:20" ht="13.5" thickTop="1"/>
    <row r="55" spans="1:20">
      <c r="A55" s="121" t="s">
        <v>58</v>
      </c>
      <c r="D55" s="124">
        <f>+D53/D47</f>
        <v>0.24508958504512954</v>
      </c>
      <c r="E55" s="125"/>
      <c r="F55" s="124">
        <f>+F53/F47</f>
        <v>0.26872667025048735</v>
      </c>
      <c r="G55" s="125"/>
      <c r="H55" s="124">
        <f>+H53/H47</f>
        <v>0.27627278973091518</v>
      </c>
      <c r="I55" s="124"/>
      <c r="J55" s="124"/>
      <c r="K55" s="125"/>
      <c r="L55" s="124">
        <f>+L53/L47</f>
        <v>0.34619432500595493</v>
      </c>
      <c r="N55" s="200">
        <f>+N53/N47</f>
        <v>0.15446123367419609</v>
      </c>
      <c r="O55" s="213"/>
      <c r="P55" s="200">
        <f>+P53/P47</f>
        <v>0.19728198309234943</v>
      </c>
    </row>
    <row r="57" spans="1:20" ht="27" customHeight="1"/>
    <row r="58" spans="1:20">
      <c r="N58" s="205"/>
    </row>
    <row r="60" spans="1:20" ht="25.5" customHeight="1" thickBot="1">
      <c r="L60" s="324" t="s">
        <v>200</v>
      </c>
      <c r="M60" s="324"/>
      <c r="N60" s="324"/>
      <c r="P60" s="309">
        <f>+P47/12*3</f>
        <v>1234677.75</v>
      </c>
    </row>
    <row r="61" spans="1:20" ht="13.5" thickTop="1"/>
  </sheetData>
  <mergeCells count="4">
    <mergeCell ref="L60:N60"/>
    <mergeCell ref="A1:T1"/>
    <mergeCell ref="A2:T2"/>
    <mergeCell ref="A3:T3"/>
  </mergeCells>
  <printOptions horizontalCentered="1"/>
  <pageMargins left="0.44" right="0.44" top="0.54" bottom="0.42" header="0.5" footer="0.5"/>
  <pageSetup scale="10" orientation="portrait" r:id="rId1"/>
  <headerFooter alignWithMargins="0">
    <oddFooter>&amp;L&amp;Z&amp;F&amp;R&amp;D  &amp;T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58"/>
  <sheetViews>
    <sheetView showGridLines="0" workbookViewId="0">
      <pane xSplit="3" ySplit="11" topLeftCell="P12" activePane="bottomRight" state="frozen"/>
      <selection pane="topRight" activeCell="D1" sqref="D1"/>
      <selection pane="bottomLeft" activeCell="A12" sqref="A12"/>
      <selection pane="bottomRight" sqref="A1:Z1"/>
    </sheetView>
  </sheetViews>
  <sheetFormatPr defaultColWidth="8.85546875" defaultRowHeight="12.75"/>
  <cols>
    <col min="1" max="1" width="3.85546875" style="1" customWidth="1"/>
    <col min="2" max="2" width="3.140625" style="1" customWidth="1"/>
    <col min="3" max="3" width="27.42578125" style="1" customWidth="1"/>
    <col min="4" max="4" width="17.7109375" style="1" hidden="1" customWidth="1"/>
    <col min="5" max="5" width="2.85546875" style="29" hidden="1" customWidth="1"/>
    <col min="6" max="6" width="15.7109375" style="1" hidden="1" customWidth="1"/>
    <col min="7" max="7" width="1.140625" style="11" hidden="1" customWidth="1"/>
    <col min="8" max="8" width="15.42578125" style="1" hidden="1" customWidth="1"/>
    <col min="9" max="9" width="1.140625" style="29" hidden="1" customWidth="1"/>
    <col min="10" max="10" width="15.7109375" style="29" hidden="1" customWidth="1"/>
    <col min="11" max="11" width="1.140625" style="29" hidden="1" customWidth="1"/>
    <col min="12" max="12" width="15.42578125" style="29" hidden="1" customWidth="1"/>
    <col min="13" max="13" width="1.140625" style="29" hidden="1" customWidth="1"/>
    <col min="14" max="14" width="15.42578125" style="29" hidden="1" customWidth="1"/>
    <col min="15" max="15" width="1.140625" style="32" hidden="1" customWidth="1"/>
    <col min="16" max="16" width="15.42578125" style="29" customWidth="1"/>
    <col min="17" max="17" width="1.140625" style="29" customWidth="1"/>
    <col min="18" max="18" width="15.42578125" style="32" customWidth="1"/>
    <col min="19" max="19" width="1.140625" style="32" customWidth="1"/>
    <col min="20" max="20" width="15.42578125" style="32" customWidth="1"/>
    <col min="21" max="21" width="1.140625" style="32" customWidth="1"/>
    <col min="22" max="22" width="15.42578125" style="11" customWidth="1"/>
    <col min="23" max="23" width="1.140625" style="32" customWidth="1"/>
    <col min="24" max="24" width="15.42578125" style="52" customWidth="1"/>
    <col min="25" max="25" width="1.140625" style="11" customWidth="1"/>
    <col min="26" max="26" width="11.42578125" style="52" customWidth="1"/>
    <col min="27" max="16384" width="8.85546875" style="1"/>
  </cols>
  <sheetData>
    <row r="1" spans="1:26" ht="18.75">
      <c r="A1" s="327" t="s">
        <v>93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</row>
    <row r="2" spans="1:26" ht="18.75">
      <c r="A2" s="327" t="s">
        <v>204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</row>
    <row r="3" spans="1:26" ht="18.75">
      <c r="A3" s="327" t="s">
        <v>220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</row>
    <row r="4" spans="1:26">
      <c r="C4" s="2"/>
      <c r="D4" s="2"/>
      <c r="E4" s="3"/>
      <c r="F4" s="2"/>
      <c r="G4" s="49"/>
      <c r="H4" s="2"/>
      <c r="I4" s="3"/>
      <c r="J4" s="3"/>
      <c r="K4" s="3"/>
      <c r="L4" s="3"/>
      <c r="M4" s="3"/>
      <c r="N4" s="3"/>
      <c r="O4" s="4"/>
      <c r="P4" s="3"/>
      <c r="Q4" s="3"/>
      <c r="R4" s="4"/>
      <c r="S4" s="4"/>
      <c r="T4" s="4"/>
      <c r="U4" s="4"/>
      <c r="V4" s="64"/>
      <c r="W4" s="198"/>
    </row>
    <row r="5" spans="1:26">
      <c r="B5" s="7"/>
      <c r="D5" s="8" t="s">
        <v>0</v>
      </c>
      <c r="E5" s="44"/>
      <c r="F5" s="8" t="s">
        <v>1</v>
      </c>
      <c r="G5" s="12"/>
      <c r="H5" s="8" t="s">
        <v>1</v>
      </c>
      <c r="I5" s="9"/>
      <c r="J5" s="154" t="s">
        <v>91</v>
      </c>
      <c r="K5" s="12"/>
      <c r="L5" s="154" t="s">
        <v>97</v>
      </c>
      <c r="M5" s="12"/>
      <c r="N5" s="154" t="s">
        <v>98</v>
      </c>
      <c r="O5" s="265"/>
      <c r="P5" s="154" t="s">
        <v>212</v>
      </c>
      <c r="Q5" s="12"/>
      <c r="R5" s="183" t="s">
        <v>214</v>
      </c>
      <c r="S5" s="9"/>
      <c r="T5" s="183" t="s">
        <v>214</v>
      </c>
      <c r="U5" s="9"/>
      <c r="V5" s="183" t="s">
        <v>216</v>
      </c>
      <c r="W5" s="13"/>
      <c r="X5" s="183" t="s">
        <v>216</v>
      </c>
      <c r="Z5" s="183"/>
    </row>
    <row r="6" spans="1:26" ht="75" customHeight="1">
      <c r="B6" s="7"/>
      <c r="D6" s="10" t="s">
        <v>2</v>
      </c>
      <c r="E6" s="9"/>
      <c r="F6" s="10" t="s">
        <v>3</v>
      </c>
      <c r="G6" s="40"/>
      <c r="H6" s="10" t="s">
        <v>60</v>
      </c>
      <c r="I6" s="9"/>
      <c r="J6" s="158" t="s">
        <v>2</v>
      </c>
      <c r="K6" s="40"/>
      <c r="L6" s="175" t="s">
        <v>2</v>
      </c>
      <c r="M6" s="40"/>
      <c r="N6" s="175" t="s">
        <v>2</v>
      </c>
      <c r="O6" s="40"/>
      <c r="P6" s="175" t="s">
        <v>2</v>
      </c>
      <c r="Q6" s="40"/>
      <c r="R6" s="184" t="s">
        <v>33</v>
      </c>
      <c r="S6" s="9"/>
      <c r="T6" s="184" t="s">
        <v>224</v>
      </c>
      <c r="U6" s="9"/>
      <c r="V6" s="184" t="s">
        <v>206</v>
      </c>
      <c r="W6" s="214"/>
      <c r="X6" s="184" t="s">
        <v>217</v>
      </c>
      <c r="Z6" s="184" t="s">
        <v>99</v>
      </c>
    </row>
    <row r="7" spans="1:26" s="14" customFormat="1" ht="15">
      <c r="A7" s="45" t="s">
        <v>34</v>
      </c>
      <c r="D7" s="46">
        <v>7056288961</v>
      </c>
      <c r="E7" s="17"/>
      <c r="F7" s="46">
        <f>+'[1]08-09 Revised GF'!H7</f>
        <v>7239391080</v>
      </c>
      <c r="G7" s="65"/>
      <c r="H7" s="46">
        <f>+'[4]09-10 GF revised'!N7</f>
        <v>7576055149</v>
      </c>
      <c r="I7" s="17"/>
      <c r="J7" s="46">
        <f>+'General Fund Summary'!J7</f>
        <v>2976022018</v>
      </c>
      <c r="K7" s="65"/>
      <c r="L7" s="46">
        <v>2994973429</v>
      </c>
      <c r="M7" s="65"/>
      <c r="N7" s="46">
        <v>3039898030</v>
      </c>
      <c r="O7" s="65"/>
      <c r="P7" s="185">
        <v>8420486267</v>
      </c>
      <c r="Q7" s="65"/>
      <c r="R7" s="185">
        <f>'General Fund Summary'!R7</f>
        <v>10666730000</v>
      </c>
      <c r="S7" s="17"/>
      <c r="T7" s="185">
        <v>9480684300</v>
      </c>
      <c r="U7" s="17"/>
      <c r="V7" s="185">
        <v>10780920478</v>
      </c>
      <c r="W7" s="244"/>
      <c r="X7" s="185">
        <f>+V7-T7</f>
        <v>1300236178</v>
      </c>
      <c r="Y7" s="16"/>
      <c r="Z7" s="253">
        <f>+X7/T7</f>
        <v>0.1371458153078676</v>
      </c>
    </row>
    <row r="8" spans="1:26" s="14" customFormat="1" ht="15">
      <c r="A8" s="45" t="s">
        <v>35</v>
      </c>
      <c r="D8" s="47">
        <v>0.36499999999999999</v>
      </c>
      <c r="E8" s="17"/>
      <c r="F8" s="47">
        <v>0.37</v>
      </c>
      <c r="G8" s="74"/>
      <c r="H8" s="47">
        <v>0.37</v>
      </c>
      <c r="I8" s="17"/>
      <c r="J8" s="47">
        <v>0.5</v>
      </c>
      <c r="K8" s="74"/>
      <c r="L8" s="47">
        <v>0.5</v>
      </c>
      <c r="M8" s="74"/>
      <c r="N8" s="47">
        <v>0.5</v>
      </c>
      <c r="O8" s="74"/>
      <c r="P8" s="186">
        <v>0.44</v>
      </c>
      <c r="Q8" s="74"/>
      <c r="R8" s="186">
        <v>0.44</v>
      </c>
      <c r="S8" s="17"/>
      <c r="T8" s="186">
        <v>0.44</v>
      </c>
      <c r="U8" s="17"/>
      <c r="V8" s="315">
        <v>0.41</v>
      </c>
      <c r="W8" s="4"/>
      <c r="X8" s="251">
        <f>+V8-T8</f>
        <v>-3.0000000000000027E-2</v>
      </c>
      <c r="Y8" s="16"/>
      <c r="Z8" s="254">
        <f>+X8/T8</f>
        <v>-6.8181818181818246E-2</v>
      </c>
    </row>
    <row r="9" spans="1:26" s="14" customFormat="1" ht="15">
      <c r="A9" s="45" t="s">
        <v>100</v>
      </c>
      <c r="B9" s="15"/>
      <c r="D9" s="48">
        <v>20513</v>
      </c>
      <c r="E9" s="17"/>
      <c r="F9" s="48">
        <v>20658</v>
      </c>
      <c r="G9" s="66"/>
      <c r="H9" s="48">
        <v>21019</v>
      </c>
      <c r="I9" s="17"/>
      <c r="J9" s="159">
        <f>+'General Fund Summary'!J9</f>
        <v>7201.857</v>
      </c>
      <c r="K9" s="160"/>
      <c r="L9" s="159">
        <v>7222</v>
      </c>
      <c r="M9" s="160"/>
      <c r="N9" s="159">
        <v>7618</v>
      </c>
      <c r="O9" s="160"/>
      <c r="P9" s="187">
        <f>'General Fund Summary'!P9</f>
        <v>10264.019</v>
      </c>
      <c r="Q9" s="160"/>
      <c r="R9" s="187">
        <f>'General Fund Summary'!R9</f>
        <v>10885.1</v>
      </c>
      <c r="S9" s="242"/>
      <c r="T9" s="187">
        <f>'General Fund Summary'!T9</f>
        <v>10382.814</v>
      </c>
      <c r="U9" s="242"/>
      <c r="V9" s="187">
        <v>10782.905000000001</v>
      </c>
      <c r="W9" s="4"/>
      <c r="X9" s="252">
        <f>+V9-T9</f>
        <v>400.09100000000035</v>
      </c>
      <c r="Y9" s="16"/>
      <c r="Z9" s="255">
        <f>+X9/T9</f>
        <v>3.8533965840089245E-2</v>
      </c>
    </row>
    <row r="10" spans="1:26" s="14" customFormat="1" ht="15">
      <c r="A10" s="45" t="s">
        <v>101</v>
      </c>
      <c r="B10" s="15"/>
      <c r="D10" s="48">
        <v>20513</v>
      </c>
      <c r="E10" s="17"/>
      <c r="F10" s="48">
        <v>20658</v>
      </c>
      <c r="G10" s="66"/>
      <c r="H10" s="48">
        <f>+' Prop DS '!V10</f>
        <v>13929.583000000001</v>
      </c>
      <c r="I10" s="17"/>
      <c r="J10" s="159">
        <f>+'General Fund Summary'!J10</f>
        <v>8201.0540000000001</v>
      </c>
      <c r="K10" s="160"/>
      <c r="L10" s="159">
        <v>8611</v>
      </c>
      <c r="M10" s="160"/>
      <c r="N10" s="159">
        <v>8830</v>
      </c>
      <c r="O10" s="160"/>
      <c r="P10" s="187">
        <f>'General Fund Summary'!P10</f>
        <v>13235.14</v>
      </c>
      <c r="Q10" s="160"/>
      <c r="R10" s="187">
        <f>'General Fund Summary'!R10</f>
        <v>13999.638000000001</v>
      </c>
      <c r="S10" s="242"/>
      <c r="T10" s="187">
        <f>'General Fund Summary'!T10</f>
        <v>13485.616</v>
      </c>
      <c r="U10" s="242"/>
      <c r="V10" s="187">
        <v>13929.583000000001</v>
      </c>
      <c r="W10" s="4"/>
      <c r="X10" s="252">
        <f>+V10-T10</f>
        <v>443.96700000000055</v>
      </c>
      <c r="Y10" s="16"/>
      <c r="Z10" s="255">
        <f>+X10/T10</f>
        <v>3.292152171617526E-2</v>
      </c>
    </row>
    <row r="11" spans="1:26" s="11" customFormat="1">
      <c r="B11" s="12"/>
      <c r="D11" s="12"/>
      <c r="E11" s="9"/>
      <c r="F11" s="12"/>
      <c r="G11" s="12"/>
      <c r="H11" s="12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3"/>
      <c r="W11" s="13"/>
      <c r="X11" s="13"/>
      <c r="Z11" s="13"/>
    </row>
    <row r="12" spans="1:26" s="14" customFormat="1">
      <c r="A12" s="50" t="s">
        <v>36</v>
      </c>
      <c r="B12" s="15"/>
      <c r="D12" s="16"/>
      <c r="E12" s="17"/>
      <c r="F12" s="16"/>
      <c r="G12" s="16"/>
      <c r="H12" s="16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7"/>
      <c r="X12" s="18"/>
      <c r="Y12" s="16"/>
      <c r="Z12" s="18"/>
    </row>
    <row r="13" spans="1:26">
      <c r="A13" s="50" t="s">
        <v>37</v>
      </c>
      <c r="C13" s="2"/>
      <c r="D13" s="2"/>
      <c r="E13" s="3"/>
      <c r="F13" s="2"/>
      <c r="G13" s="49"/>
      <c r="H13" s="2"/>
      <c r="I13" s="3"/>
      <c r="J13" s="3"/>
      <c r="K13" s="3"/>
      <c r="L13" s="3"/>
      <c r="M13" s="3"/>
      <c r="N13" s="3"/>
      <c r="O13" s="4"/>
      <c r="P13" s="3"/>
      <c r="Q13" s="3"/>
      <c r="R13" s="4"/>
      <c r="S13" s="4"/>
      <c r="T13" s="4"/>
      <c r="U13" s="4"/>
      <c r="V13" s="64"/>
      <c r="W13" s="198"/>
    </row>
    <row r="14" spans="1:26">
      <c r="B14" s="1" t="s">
        <v>38</v>
      </c>
      <c r="C14" s="2"/>
      <c r="D14" s="2">
        <v>24471198</v>
      </c>
      <c r="E14" s="20"/>
      <c r="F14" s="2">
        <v>25445072</v>
      </c>
      <c r="G14" s="49"/>
      <c r="H14" s="2">
        <f>-[5]DS!$I$10</f>
        <v>26886958.984000001</v>
      </c>
      <c r="I14" s="3"/>
      <c r="J14" s="3">
        <v>14328671</v>
      </c>
      <c r="K14" s="3"/>
      <c r="L14" s="3">
        <v>14673007.57</v>
      </c>
      <c r="M14" s="3"/>
      <c r="N14" s="3">
        <f>12944904.95+2291182.2</f>
        <v>15236087.149999999</v>
      </c>
      <c r="O14" s="4"/>
      <c r="P14" s="4">
        <f>30460483.3+5381991.73</f>
        <v>35842475.030000001</v>
      </c>
      <c r="Q14" s="3"/>
      <c r="R14" s="49">
        <v>45662741</v>
      </c>
      <c r="S14" s="4"/>
      <c r="T14" s="49">
        <v>41552370</v>
      </c>
      <c r="U14" s="4"/>
      <c r="V14" s="49">
        <v>41803367</v>
      </c>
      <c r="W14" s="4"/>
      <c r="X14" s="49">
        <f>+V14-T14</f>
        <v>250997</v>
      </c>
      <c r="Z14" s="64">
        <f>+X14/T14</f>
        <v>6.0404978103535366E-3</v>
      </c>
    </row>
    <row r="15" spans="1:26">
      <c r="B15" s="1" t="s">
        <v>39</v>
      </c>
      <c r="C15" s="2"/>
      <c r="D15" s="6">
        <v>170320</v>
      </c>
      <c r="E15" s="20"/>
      <c r="F15" s="6">
        <v>80000</v>
      </c>
      <c r="G15" s="52"/>
      <c r="H15" s="6">
        <f>-[5]DS!$I$11</f>
        <v>156612.15299999999</v>
      </c>
      <c r="I15" s="20"/>
      <c r="J15" s="20">
        <v>-303919</v>
      </c>
      <c r="K15" s="20"/>
      <c r="L15" s="173">
        <v>58170.35</v>
      </c>
      <c r="M15" s="173"/>
      <c r="N15" s="173">
        <v>98911.94</v>
      </c>
      <c r="O15" s="21"/>
      <c r="P15" s="21">
        <v>211348.75</v>
      </c>
      <c r="Q15" s="173"/>
      <c r="R15" s="21">
        <v>150000</v>
      </c>
      <c r="S15" s="21"/>
      <c r="T15" s="21">
        <v>150000</v>
      </c>
      <c r="U15" s="21"/>
      <c r="V15" s="21">
        <v>150000</v>
      </c>
      <c r="W15" s="4"/>
      <c r="X15" s="21">
        <f>+V15-T15</f>
        <v>0</v>
      </c>
      <c r="Z15" s="64">
        <f>+X15/T15</f>
        <v>0</v>
      </c>
    </row>
    <row r="16" spans="1:26">
      <c r="B16" s="1" t="s">
        <v>40</v>
      </c>
      <c r="C16" s="2"/>
      <c r="D16" s="6">
        <v>114820</v>
      </c>
      <c r="E16" s="20"/>
      <c r="F16" s="6">
        <v>100000</v>
      </c>
      <c r="G16" s="52"/>
      <c r="H16" s="6">
        <f>-[5]DS!$I$12</f>
        <v>203995.52799999999</v>
      </c>
      <c r="I16" s="20"/>
      <c r="J16" s="20">
        <v>77902</v>
      </c>
      <c r="K16" s="20"/>
      <c r="L16" s="173">
        <v>60966.74</v>
      </c>
      <c r="M16" s="173"/>
      <c r="N16" s="173">
        <f>68579.85</f>
        <v>68579.850000000006</v>
      </c>
      <c r="O16" s="21"/>
      <c r="P16" s="21">
        <v>134471.54</v>
      </c>
      <c r="Q16" s="173"/>
      <c r="R16" s="21">
        <v>100000</v>
      </c>
      <c r="S16" s="21"/>
      <c r="T16" s="21">
        <v>100000</v>
      </c>
      <c r="U16" s="21"/>
      <c r="V16" s="21">
        <v>60000</v>
      </c>
      <c r="W16" s="4"/>
      <c r="X16" s="21">
        <f t="shared" ref="X16:X18" si="0">+V16-T16</f>
        <v>-40000</v>
      </c>
      <c r="Z16" s="64">
        <f t="shared" ref="Z16:Z17" si="1">+X16/T16</f>
        <v>-0.4</v>
      </c>
    </row>
    <row r="17" spans="1:34">
      <c r="B17" s="1" t="s">
        <v>46</v>
      </c>
      <c r="C17" s="2"/>
      <c r="D17" s="6">
        <f>4526+178085</f>
        <v>182611</v>
      </c>
      <c r="E17" s="20"/>
      <c r="F17" s="6">
        <v>100000</v>
      </c>
      <c r="G17" s="52"/>
      <c r="H17" s="6">
        <f>-[5]DS!$I$13</f>
        <v>47960.39</v>
      </c>
      <c r="I17" s="20"/>
      <c r="J17" s="20">
        <v>7769</v>
      </c>
      <c r="K17" s="20"/>
      <c r="L17" s="173">
        <v>8728.08</v>
      </c>
      <c r="M17" s="173"/>
      <c r="N17" s="173">
        <v>3317.84</v>
      </c>
      <c r="O17" s="21"/>
      <c r="P17" s="21">
        <v>560868.12</v>
      </c>
      <c r="Q17" s="173"/>
      <c r="R17" s="21">
        <v>400000</v>
      </c>
      <c r="S17" s="21"/>
      <c r="T17" s="21">
        <v>750000</v>
      </c>
      <c r="U17" s="21"/>
      <c r="V17" s="21">
        <v>650000</v>
      </c>
      <c r="W17" s="21"/>
      <c r="X17" s="21">
        <f t="shared" si="0"/>
        <v>-100000</v>
      </c>
      <c r="Z17" s="64">
        <f t="shared" si="1"/>
        <v>-0.13333333333333333</v>
      </c>
    </row>
    <row r="18" spans="1:34">
      <c r="B18" s="1" t="s">
        <v>208</v>
      </c>
      <c r="C18" s="2"/>
      <c r="D18" s="6"/>
      <c r="E18" s="173"/>
      <c r="F18" s="6"/>
      <c r="G18" s="52"/>
      <c r="H18" s="6"/>
      <c r="I18" s="173"/>
      <c r="J18" s="173"/>
      <c r="K18" s="173"/>
      <c r="L18" s="173"/>
      <c r="M18" s="173"/>
      <c r="N18" s="173"/>
      <c r="O18" s="21"/>
      <c r="P18" s="21">
        <v>0</v>
      </c>
      <c r="Q18" s="173"/>
      <c r="R18" s="21">
        <v>0</v>
      </c>
      <c r="S18" s="21"/>
      <c r="T18" s="21">
        <v>0</v>
      </c>
      <c r="U18" s="21"/>
      <c r="V18" s="21">
        <v>0</v>
      </c>
      <c r="W18" s="21"/>
      <c r="X18" s="21">
        <f t="shared" si="0"/>
        <v>0</v>
      </c>
      <c r="Z18" s="64">
        <v>0</v>
      </c>
    </row>
    <row r="19" spans="1:34">
      <c r="C19" s="51" t="s">
        <v>11</v>
      </c>
      <c r="D19" s="25">
        <f>SUM(D14:D17)</f>
        <v>24938949</v>
      </c>
      <c r="E19" s="20"/>
      <c r="F19" s="25">
        <f>SUM(F14:F17)</f>
        <v>25725072</v>
      </c>
      <c r="G19" s="151"/>
      <c r="H19" s="25">
        <f>SUM(H14:H17)</f>
        <v>27295527.055000003</v>
      </c>
      <c r="I19" s="20"/>
      <c r="J19" s="57">
        <f>SUM(J14:J17)</f>
        <v>14110423</v>
      </c>
      <c r="K19" s="54"/>
      <c r="L19" s="57">
        <f>SUM(L14:L17)</f>
        <v>14800872.74</v>
      </c>
      <c r="M19" s="54"/>
      <c r="N19" s="57">
        <f>SUM(N14:N17)</f>
        <v>15406896.779999997</v>
      </c>
      <c r="O19" s="31"/>
      <c r="P19" s="191">
        <f>SUM(P14:P18)</f>
        <v>36749163.439999998</v>
      </c>
      <c r="Q19" s="54"/>
      <c r="R19" s="191">
        <f>SUM(R14:R18)</f>
        <v>46312741</v>
      </c>
      <c r="S19" s="31"/>
      <c r="T19" s="191">
        <f>SUM(T14:T18)</f>
        <v>42552370</v>
      </c>
      <c r="U19" s="31"/>
      <c r="V19" s="191">
        <f>SUM(V14:V18)</f>
        <v>42663367</v>
      </c>
      <c r="W19" s="21"/>
      <c r="X19" s="191">
        <f>SUM(X14:X18)</f>
        <v>110997</v>
      </c>
      <c r="Z19" s="245">
        <f>+X19/T19</f>
        <v>2.6084798567036337E-3</v>
      </c>
    </row>
    <row r="20" spans="1:34">
      <c r="C20" s="51"/>
      <c r="D20" s="173"/>
      <c r="E20" s="173"/>
      <c r="F20" s="173"/>
      <c r="G20" s="21"/>
      <c r="H20" s="173"/>
      <c r="I20" s="173"/>
      <c r="J20" s="54"/>
      <c r="K20" s="54"/>
      <c r="L20" s="54"/>
      <c r="M20" s="54"/>
      <c r="N20" s="54"/>
      <c r="O20" s="31"/>
      <c r="P20" s="31"/>
      <c r="Q20" s="54"/>
      <c r="R20" s="31"/>
      <c r="S20" s="31"/>
      <c r="T20" s="31"/>
      <c r="U20" s="31"/>
      <c r="V20" s="31"/>
      <c r="W20" s="21"/>
      <c r="X20" s="31"/>
      <c r="Z20" s="198"/>
    </row>
    <row r="21" spans="1:34">
      <c r="A21" s="19" t="s">
        <v>47</v>
      </c>
      <c r="C21" s="51"/>
      <c r="D21" s="173"/>
      <c r="E21" s="173"/>
      <c r="F21" s="173"/>
      <c r="G21" s="21"/>
      <c r="H21" s="173"/>
      <c r="I21" s="173"/>
      <c r="J21" s="54"/>
      <c r="K21" s="54"/>
      <c r="L21" s="54"/>
      <c r="M21" s="54"/>
      <c r="N21" s="54"/>
      <c r="O21" s="31"/>
      <c r="P21" s="31"/>
      <c r="Q21" s="54"/>
      <c r="R21" s="31"/>
      <c r="S21" s="31"/>
      <c r="T21" s="31"/>
      <c r="U21" s="31"/>
      <c r="V21" s="31"/>
      <c r="W21" s="21"/>
      <c r="X21" s="31"/>
      <c r="Z21" s="198"/>
    </row>
    <row r="22" spans="1:34">
      <c r="B22" s="1" t="s">
        <v>201</v>
      </c>
      <c r="C22" s="51"/>
      <c r="D22" s="173"/>
      <c r="E22" s="173"/>
      <c r="F22" s="173"/>
      <c r="G22" s="21"/>
      <c r="H22" s="173"/>
      <c r="I22" s="173"/>
      <c r="J22" s="54"/>
      <c r="K22" s="54"/>
      <c r="L22" s="54"/>
      <c r="M22" s="54"/>
      <c r="N22" s="54"/>
      <c r="O22" s="31"/>
      <c r="P22" s="31">
        <v>884992</v>
      </c>
      <c r="Q22" s="54"/>
      <c r="R22" s="31">
        <v>900836</v>
      </c>
      <c r="S22" s="31"/>
      <c r="T22" s="31">
        <v>3017525</v>
      </c>
      <c r="U22" s="31"/>
      <c r="V22" s="21">
        <v>3303386</v>
      </c>
      <c r="W22" s="21"/>
      <c r="X22" s="21">
        <f t="shared" ref="X22" si="2">+V22-T22</f>
        <v>285861</v>
      </c>
      <c r="Z22" s="64">
        <f t="shared" ref="Z22" si="3">+X22/T22</f>
        <v>9.4733597898940355E-2</v>
      </c>
    </row>
    <row r="23" spans="1:34">
      <c r="C23" s="51" t="s">
        <v>11</v>
      </c>
      <c r="D23" s="173"/>
      <c r="E23" s="173"/>
      <c r="F23" s="173"/>
      <c r="G23" s="21"/>
      <c r="H23" s="173"/>
      <c r="I23" s="173"/>
      <c r="J23" s="54"/>
      <c r="K23" s="54"/>
      <c r="L23" s="54"/>
      <c r="M23" s="54"/>
      <c r="N23" s="54"/>
      <c r="O23" s="31"/>
      <c r="P23" s="191">
        <f>SUM(P21:P22)</f>
        <v>884992</v>
      </c>
      <c r="Q23" s="54"/>
      <c r="R23" s="191">
        <f>SUM(R21:R22)</f>
        <v>900836</v>
      </c>
      <c r="S23" s="31"/>
      <c r="T23" s="191">
        <f>SUM(T21:T22)</f>
        <v>3017525</v>
      </c>
      <c r="U23" s="31"/>
      <c r="V23" s="191">
        <f>SUM(V21:V22)</f>
        <v>3303386</v>
      </c>
      <c r="W23" s="21"/>
      <c r="X23" s="191">
        <f>SUM(X21:X22)</f>
        <v>285861</v>
      </c>
      <c r="Z23" s="245">
        <f>+X23/T23</f>
        <v>9.4733597898940355E-2</v>
      </c>
    </row>
    <row r="24" spans="1:34">
      <c r="C24" s="2"/>
      <c r="D24" s="6"/>
      <c r="E24" s="20"/>
      <c r="F24" s="6"/>
      <c r="G24" s="52"/>
      <c r="H24" s="6"/>
      <c r="I24" s="20"/>
      <c r="J24" s="20"/>
      <c r="K24" s="20"/>
      <c r="L24" s="173"/>
      <c r="M24" s="173"/>
      <c r="N24" s="173"/>
      <c r="O24" s="21"/>
      <c r="P24" s="173"/>
      <c r="Q24" s="173"/>
      <c r="R24" s="21"/>
      <c r="S24" s="21"/>
      <c r="T24" s="21"/>
      <c r="U24" s="21"/>
      <c r="V24" s="52"/>
      <c r="W24" s="21"/>
      <c r="Z24" s="64"/>
    </row>
    <row r="25" spans="1:34">
      <c r="A25" s="19" t="s">
        <v>54</v>
      </c>
      <c r="C25" s="2"/>
      <c r="D25" s="6"/>
      <c r="E25" s="20"/>
      <c r="F25" s="6"/>
      <c r="G25" s="52"/>
      <c r="H25" s="6"/>
      <c r="I25" s="20"/>
      <c r="J25" s="6"/>
      <c r="K25" s="20"/>
      <c r="L25" s="6"/>
      <c r="M25" s="173"/>
      <c r="N25" s="6"/>
      <c r="O25" s="52"/>
      <c r="P25" s="6"/>
      <c r="Q25" s="173"/>
      <c r="R25" s="21"/>
      <c r="S25" s="21"/>
      <c r="T25" s="21"/>
      <c r="U25" s="21"/>
      <c r="V25" s="21"/>
      <c r="W25" s="21"/>
      <c r="X25" s="21"/>
      <c r="Y25" s="52"/>
      <c r="AA25" s="20"/>
      <c r="AB25" s="20"/>
      <c r="AC25" s="20"/>
      <c r="AD25" s="20"/>
      <c r="AE25" s="20" t="s">
        <v>85</v>
      </c>
      <c r="AF25" s="20"/>
      <c r="AG25" s="321"/>
      <c r="AH25" s="20"/>
    </row>
    <row r="26" spans="1:34">
      <c r="B26" s="1" t="s">
        <v>209</v>
      </c>
      <c r="C26" s="2"/>
      <c r="D26" s="6"/>
      <c r="E26" s="20"/>
      <c r="F26" s="6">
        <v>239634.67</v>
      </c>
      <c r="G26" s="52"/>
      <c r="H26" s="53">
        <v>2400000</v>
      </c>
      <c r="I26" s="20"/>
      <c r="J26" s="53">
        <f>5811436+5280730</f>
        <v>11092166</v>
      </c>
      <c r="K26" s="20"/>
      <c r="L26" s="53">
        <v>95109814.400000006</v>
      </c>
      <c r="M26" s="173"/>
      <c r="N26" s="53">
        <v>48905000</v>
      </c>
      <c r="O26" s="178"/>
      <c r="P26" s="53">
        <v>0</v>
      </c>
      <c r="Q26" s="173"/>
      <c r="R26" s="21">
        <v>0</v>
      </c>
      <c r="S26" s="21"/>
      <c r="T26" s="21">
        <v>0</v>
      </c>
      <c r="U26" s="21"/>
      <c r="V26" s="21">
        <v>0</v>
      </c>
      <c r="W26" s="21">
        <v>16790</v>
      </c>
      <c r="X26" s="21">
        <f>+V26-T26</f>
        <v>0</v>
      </c>
      <c r="Y26" s="52"/>
      <c r="Z26" s="64" t="e">
        <f t="shared" ref="Z26:Z28" si="4">+X26/T26</f>
        <v>#DIV/0!</v>
      </c>
      <c r="AA26" s="20"/>
      <c r="AB26" s="20"/>
      <c r="AC26" s="20"/>
      <c r="AD26" s="20"/>
      <c r="AE26" s="20" t="s">
        <v>85</v>
      </c>
      <c r="AF26" s="20"/>
      <c r="AG26" s="321"/>
      <c r="AH26" s="20"/>
    </row>
    <row r="27" spans="1:34">
      <c r="B27" s="1" t="s">
        <v>86</v>
      </c>
      <c r="C27" s="2"/>
      <c r="D27" s="6"/>
      <c r="E27" s="20"/>
      <c r="F27" s="6">
        <v>239634.67</v>
      </c>
      <c r="G27" s="52"/>
      <c r="H27" s="53">
        <v>2400000</v>
      </c>
      <c r="I27" s="20"/>
      <c r="J27" s="53">
        <v>0</v>
      </c>
      <c r="K27" s="20"/>
      <c r="L27" s="53">
        <v>0</v>
      </c>
      <c r="M27" s="173"/>
      <c r="N27" s="53">
        <v>2691731</v>
      </c>
      <c r="O27" s="178"/>
      <c r="P27" s="53">
        <v>0</v>
      </c>
      <c r="Q27" s="173"/>
      <c r="R27" s="21">
        <v>0</v>
      </c>
      <c r="S27" s="21"/>
      <c r="T27" s="21">
        <v>0</v>
      </c>
      <c r="U27" s="21"/>
      <c r="V27" s="21">
        <v>0</v>
      </c>
      <c r="W27" s="21">
        <v>2403986</v>
      </c>
      <c r="X27" s="21">
        <f>+V27-T27</f>
        <v>0</v>
      </c>
      <c r="Y27" s="52"/>
      <c r="Z27" s="166">
        <v>0</v>
      </c>
      <c r="AA27" s="20"/>
      <c r="AB27" s="20"/>
      <c r="AC27" s="20"/>
      <c r="AD27" s="20"/>
      <c r="AE27" s="20" t="s">
        <v>85</v>
      </c>
      <c r="AF27" s="20"/>
      <c r="AG27" s="321"/>
      <c r="AH27" s="20"/>
    </row>
    <row r="28" spans="1:34">
      <c r="C28" s="51" t="s">
        <v>11</v>
      </c>
      <c r="D28" s="25">
        <f>SUM(D25:D27)</f>
        <v>0</v>
      </c>
      <c r="E28" s="20"/>
      <c r="F28" s="25">
        <f>SUM(F25:F27)</f>
        <v>479269.34</v>
      </c>
      <c r="G28" s="151"/>
      <c r="H28" s="25">
        <f>SUM(H25:H27)</f>
        <v>4800000</v>
      </c>
      <c r="I28" s="20"/>
      <c r="J28" s="57">
        <f>SUM(J25:J27)</f>
        <v>11092166</v>
      </c>
      <c r="K28" s="54"/>
      <c r="L28" s="57">
        <f>SUM(L25:L27)</f>
        <v>95109814.400000006</v>
      </c>
      <c r="M28" s="54"/>
      <c r="N28" s="57">
        <f>SUM(N25:N27)</f>
        <v>51596731</v>
      </c>
      <c r="O28" s="31"/>
      <c r="P28" s="191">
        <f>SUM(P26:P27)</f>
        <v>0</v>
      </c>
      <c r="Q28" s="54"/>
      <c r="R28" s="191">
        <f>SUM(R26:R27)</f>
        <v>0</v>
      </c>
      <c r="S28" s="31"/>
      <c r="T28" s="240">
        <f>SUM(T25:T27)</f>
        <v>0</v>
      </c>
      <c r="U28" s="31"/>
      <c r="V28" s="191">
        <f>SUM(V26:V27)</f>
        <v>0</v>
      </c>
      <c r="W28" s="151">
        <f>SUM(W26:W27)</f>
        <v>2420776</v>
      </c>
      <c r="X28" s="191">
        <f>SUM(X26:X27)</f>
        <v>0</v>
      </c>
      <c r="Y28" s="21"/>
      <c r="Z28" s="245" t="e">
        <f t="shared" si="4"/>
        <v>#DIV/0!</v>
      </c>
      <c r="AA28" s="20"/>
      <c r="AB28" s="20"/>
      <c r="AC28" s="20"/>
      <c r="AD28" s="20"/>
      <c r="AE28" s="173" t="s">
        <v>85</v>
      </c>
      <c r="AF28" s="20"/>
      <c r="AG28" s="321"/>
      <c r="AH28" s="20"/>
    </row>
    <row r="29" spans="1:34">
      <c r="C29" s="2"/>
      <c r="D29" s="6"/>
      <c r="E29" s="20"/>
      <c r="F29" s="6"/>
      <c r="G29" s="52"/>
      <c r="H29" s="6"/>
      <c r="I29" s="20"/>
      <c r="J29" s="20"/>
      <c r="K29" s="20"/>
      <c r="L29" s="173"/>
      <c r="M29" s="173"/>
      <c r="N29" s="173"/>
      <c r="O29" s="21"/>
      <c r="P29" s="173"/>
      <c r="Q29" s="173"/>
      <c r="R29" s="21"/>
      <c r="S29" s="21"/>
      <c r="T29" s="21"/>
      <c r="U29" s="21"/>
      <c r="V29" s="52"/>
      <c r="W29" s="21"/>
      <c r="Z29" s="64"/>
    </row>
    <row r="30" spans="1:34" s="19" customFormat="1">
      <c r="B30" s="19" t="s">
        <v>88</v>
      </c>
      <c r="C30" s="51"/>
      <c r="D30" s="54"/>
      <c r="E30" s="54"/>
      <c r="F30" s="54"/>
      <c r="G30" s="31"/>
      <c r="H30" s="54"/>
      <c r="I30" s="54"/>
      <c r="O30" s="62"/>
      <c r="R30" s="62"/>
      <c r="S30" s="62"/>
      <c r="T30" s="62"/>
      <c r="U30" s="62"/>
      <c r="V30" s="62"/>
      <c r="W30" s="62"/>
      <c r="X30" s="62"/>
      <c r="Y30" s="63"/>
      <c r="Z30" s="62"/>
    </row>
    <row r="31" spans="1:34" ht="13.5" thickBot="1">
      <c r="C31" s="19" t="s">
        <v>45</v>
      </c>
      <c r="D31" s="155">
        <f>+D28+D19</f>
        <v>24938949</v>
      </c>
      <c r="F31" s="155">
        <f>+F28+F19</f>
        <v>26204341.34</v>
      </c>
      <c r="H31" s="155">
        <f>+H28+H19</f>
        <v>32095527.055000003</v>
      </c>
      <c r="J31" s="155">
        <f>+J28+J19</f>
        <v>25202589</v>
      </c>
      <c r="K31" s="156"/>
      <c r="L31" s="155">
        <f>+L28+L19</f>
        <v>109910687.14</v>
      </c>
      <c r="M31" s="156"/>
      <c r="N31" s="155">
        <f>+N28+N19</f>
        <v>67003627.780000001</v>
      </c>
      <c r="O31" s="208"/>
      <c r="P31" s="196">
        <f>+P28+P19+P23</f>
        <v>37634155.439999998</v>
      </c>
      <c r="Q31" s="156"/>
      <c r="R31" s="196">
        <f>+R28+R19+R23</f>
        <v>47213577</v>
      </c>
      <c r="S31" s="208"/>
      <c r="T31" s="196">
        <f>+T28+T19+T23</f>
        <v>45569895</v>
      </c>
      <c r="U31" s="208"/>
      <c r="V31" s="196">
        <f>+V28+V19+V23</f>
        <v>45966753</v>
      </c>
      <c r="W31" s="31"/>
      <c r="X31" s="196">
        <f>+X28+X19+X23</f>
        <v>396858</v>
      </c>
      <c r="Z31" s="246">
        <f>+X31/T31</f>
        <v>8.7087758266724113E-3</v>
      </c>
    </row>
    <row r="32" spans="1:34">
      <c r="X32" s="11"/>
    </row>
    <row r="33" spans="1:34">
      <c r="A33" s="19" t="s">
        <v>4</v>
      </c>
      <c r="X33" s="11"/>
    </row>
    <row r="34" spans="1:34">
      <c r="A34" s="19" t="s">
        <v>26</v>
      </c>
      <c r="C34" s="2"/>
      <c r="D34" s="6"/>
      <c r="E34" s="20"/>
      <c r="F34" s="6"/>
      <c r="G34" s="52"/>
      <c r="H34" s="6"/>
      <c r="I34" s="20"/>
      <c r="J34" s="20"/>
      <c r="K34" s="20"/>
      <c r="L34" s="173"/>
      <c r="M34" s="173"/>
      <c r="N34" s="173"/>
      <c r="O34" s="21"/>
      <c r="P34" s="173"/>
      <c r="Q34" s="173"/>
      <c r="R34" s="21"/>
      <c r="S34" s="21"/>
      <c r="T34" s="21"/>
      <c r="U34" s="21"/>
      <c r="V34" s="52"/>
      <c r="W34" s="21"/>
      <c r="Z34" s="64"/>
    </row>
    <row r="35" spans="1:34">
      <c r="B35" s="1" t="s">
        <v>62</v>
      </c>
      <c r="C35" s="2"/>
      <c r="D35" s="6">
        <v>17089841</v>
      </c>
      <c r="E35" s="20"/>
      <c r="F35" s="6">
        <v>16516377</v>
      </c>
      <c r="G35" s="52"/>
      <c r="H35" s="6">
        <v>16581376</v>
      </c>
      <c r="I35" s="20"/>
      <c r="J35" s="20">
        <v>3999662</v>
      </c>
      <c r="K35" s="20"/>
      <c r="L35" s="173">
        <v>3916174</v>
      </c>
      <c r="M35" s="173"/>
      <c r="N35" s="173">
        <v>5002504</v>
      </c>
      <c r="O35" s="21"/>
      <c r="P35" s="173">
        <v>9915000</v>
      </c>
      <c r="Q35" s="173"/>
      <c r="R35" s="21">
        <v>11040000</v>
      </c>
      <c r="S35" s="21"/>
      <c r="T35" s="21">
        <v>13365000</v>
      </c>
      <c r="U35" s="21"/>
      <c r="V35" s="21">
        <v>13055000</v>
      </c>
      <c r="W35" s="21"/>
      <c r="X35" s="21">
        <f>+V35-T35</f>
        <v>-310000</v>
      </c>
      <c r="Z35" s="64">
        <f>+X35/T35</f>
        <v>-2.3194912083800971E-2</v>
      </c>
    </row>
    <row r="36" spans="1:34">
      <c r="B36" s="1" t="s">
        <v>90</v>
      </c>
      <c r="C36" s="2"/>
      <c r="D36" s="6">
        <v>9808692</v>
      </c>
      <c r="E36" s="20"/>
      <c r="F36" s="6">
        <f>3649550+4833173+1728940</f>
        <v>10211663</v>
      </c>
      <c r="G36" s="52"/>
      <c r="H36" s="6">
        <v>9396837</v>
      </c>
      <c r="I36" s="20"/>
      <c r="J36" s="20">
        <f>9637086+790843</f>
        <v>10427929</v>
      </c>
      <c r="K36" s="20"/>
      <c r="L36" s="173">
        <v>11963350</v>
      </c>
      <c r="M36" s="173"/>
      <c r="N36" s="173">
        <f>9439323+495458</f>
        <v>9934781</v>
      </c>
      <c r="O36" s="21"/>
      <c r="P36" s="173">
        <v>26920139.870000001</v>
      </c>
      <c r="Q36" s="173"/>
      <c r="R36" s="21">
        <v>14954130</v>
      </c>
      <c r="S36" s="21"/>
      <c r="T36" s="21">
        <v>15118765</v>
      </c>
      <c r="U36" s="21"/>
      <c r="V36" s="21">
        <v>14589105</v>
      </c>
      <c r="W36" s="21"/>
      <c r="X36" s="21">
        <f>+V36-T36</f>
        <v>-529660</v>
      </c>
      <c r="Z36" s="64">
        <f>+X36/T36</f>
        <v>-3.5033284795418146E-2</v>
      </c>
    </row>
    <row r="37" spans="1:34" s="19" customFormat="1">
      <c r="B37" s="51" t="s">
        <v>64</v>
      </c>
      <c r="D37" s="57">
        <f>SUM(D35:D36)</f>
        <v>26898533</v>
      </c>
      <c r="E37" s="54"/>
      <c r="F37" s="57">
        <f>SUM(F35:F36)</f>
        <v>26728040</v>
      </c>
      <c r="G37" s="191"/>
      <c r="H37" s="57">
        <f>SUM(H35:H36)</f>
        <v>25978213</v>
      </c>
      <c r="I37" s="54"/>
      <c r="J37" s="57">
        <f>SUM(J35:J36)</f>
        <v>14427591</v>
      </c>
      <c r="K37" s="54"/>
      <c r="L37" s="57">
        <f>SUM(L35:L36)</f>
        <v>15879524</v>
      </c>
      <c r="M37" s="54"/>
      <c r="N37" s="57">
        <f>SUM(N35:N36)</f>
        <v>14937285</v>
      </c>
      <c r="O37" s="31"/>
      <c r="P37" s="191">
        <f>SUM(P35:P36)</f>
        <v>36835139.870000005</v>
      </c>
      <c r="Q37" s="54"/>
      <c r="R37" s="191">
        <f>SUM(R35:R36)</f>
        <v>25994130</v>
      </c>
      <c r="S37" s="31"/>
      <c r="T37" s="191">
        <f>SUM(T35:T36)</f>
        <v>28483765</v>
      </c>
      <c r="U37" s="31"/>
      <c r="V37" s="191">
        <f>SUM(V35:V36)</f>
        <v>27644105</v>
      </c>
      <c r="W37" s="31"/>
      <c r="X37" s="191">
        <f>SUM(X35:X36)</f>
        <v>-839660</v>
      </c>
      <c r="Y37" s="63"/>
      <c r="Z37" s="247">
        <f>+X37/T37</f>
        <v>-2.9478546814299303E-2</v>
      </c>
    </row>
    <row r="38" spans="1:34">
      <c r="X38" s="11"/>
    </row>
    <row r="39" spans="1:34">
      <c r="A39" s="19" t="s">
        <v>87</v>
      </c>
      <c r="C39" s="2"/>
      <c r="D39" s="6"/>
      <c r="E39" s="20"/>
      <c r="F39" s="6"/>
      <c r="G39" s="52"/>
      <c r="H39" s="6"/>
      <c r="I39" s="20"/>
      <c r="J39" s="6"/>
      <c r="K39" s="20"/>
      <c r="L39" s="6"/>
      <c r="M39" s="173"/>
      <c r="N39" s="6"/>
      <c r="O39" s="52"/>
      <c r="P39" s="6"/>
      <c r="Q39" s="173"/>
      <c r="R39" s="21"/>
      <c r="S39" s="21"/>
      <c r="T39" s="21"/>
      <c r="U39" s="21"/>
      <c r="V39" s="21"/>
      <c r="W39" s="21"/>
      <c r="X39" s="21"/>
      <c r="Y39" s="52"/>
      <c r="AA39" s="20"/>
      <c r="AB39" s="20"/>
      <c r="AC39" s="20"/>
      <c r="AD39" s="20"/>
      <c r="AE39" s="20"/>
      <c r="AF39" s="20"/>
      <c r="AG39" s="20"/>
      <c r="AH39" s="20"/>
    </row>
    <row r="40" spans="1:34">
      <c r="B40" s="1" t="s">
        <v>210</v>
      </c>
      <c r="C40" s="2"/>
      <c r="D40" s="6"/>
      <c r="E40" s="20"/>
      <c r="F40" s="6">
        <v>239634.67</v>
      </c>
      <c r="G40" s="52"/>
      <c r="H40" s="53">
        <v>2400000</v>
      </c>
      <c r="I40" s="20"/>
      <c r="J40" s="53">
        <v>5975725</v>
      </c>
      <c r="K40" s="20"/>
      <c r="L40" s="53">
        <v>94233899.5</v>
      </c>
      <c r="M40" s="173"/>
      <c r="N40" s="53">
        <v>51122538</v>
      </c>
      <c r="O40" s="178"/>
      <c r="P40" s="178">
        <v>0</v>
      </c>
      <c r="Q40" s="173"/>
      <c r="R40" s="178">
        <v>21219447</v>
      </c>
      <c r="S40" s="21"/>
      <c r="T40" s="178">
        <v>17176165</v>
      </c>
      <c r="U40" s="21"/>
      <c r="V40" s="197">
        <v>18322648</v>
      </c>
      <c r="W40" s="21">
        <v>16790</v>
      </c>
      <c r="X40" s="197">
        <f>+V40-T40</f>
        <v>1146483</v>
      </c>
      <c r="Y40" s="52"/>
      <c r="Z40" s="166">
        <v>-1</v>
      </c>
      <c r="AA40" s="173"/>
      <c r="AB40" s="173"/>
      <c r="AC40" s="173"/>
      <c r="AD40" s="173"/>
      <c r="AE40" s="173"/>
      <c r="AF40" s="20"/>
      <c r="AG40" s="6">
        <f t="shared" ref="AG40" si="5">+AE40-AC40</f>
        <v>0</v>
      </c>
      <c r="AH40" s="20"/>
    </row>
    <row r="41" spans="1:34">
      <c r="C41" s="51" t="s">
        <v>11</v>
      </c>
      <c r="D41" s="25">
        <f>SUM(D38:D40)</f>
        <v>0</v>
      </c>
      <c r="E41" s="20"/>
      <c r="F41" s="25">
        <f>SUM(F38:F40)</f>
        <v>239634.67</v>
      </c>
      <c r="G41" s="151"/>
      <c r="H41" s="25">
        <f>SUM(H38:H40)</f>
        <v>2400000</v>
      </c>
      <c r="I41" s="20"/>
      <c r="J41" s="57">
        <f>SUM(J38:J40)</f>
        <v>5975725</v>
      </c>
      <c r="K41" s="54"/>
      <c r="L41" s="57">
        <f>SUM(L38:L40)</f>
        <v>94233899.5</v>
      </c>
      <c r="M41" s="54"/>
      <c r="N41" s="57">
        <f>SUM(N38:N40)</f>
        <v>51122538</v>
      </c>
      <c r="O41" s="31"/>
      <c r="P41" s="191">
        <f>SUM(P40)</f>
        <v>0</v>
      </c>
      <c r="Q41" s="54"/>
      <c r="R41" s="191">
        <f>SUM(R40)</f>
        <v>21219447</v>
      </c>
      <c r="S41" s="31"/>
      <c r="T41" s="191">
        <f>SUM(T38:T40)</f>
        <v>17176165</v>
      </c>
      <c r="U41" s="31"/>
      <c r="V41" s="191">
        <f>SUM(V40:V40)</f>
        <v>18322648</v>
      </c>
      <c r="W41" s="191">
        <f>SUM(W40:W40)</f>
        <v>16790</v>
      </c>
      <c r="X41" s="191">
        <f>SUM(X40:X40)</f>
        <v>1146483</v>
      </c>
      <c r="Y41" s="21"/>
      <c r="Z41" s="248">
        <v>-1</v>
      </c>
      <c r="AA41" s="173"/>
      <c r="AB41" s="173"/>
      <c r="AC41" s="173"/>
      <c r="AD41" s="173"/>
      <c r="AE41" s="173"/>
      <c r="AF41" s="20"/>
      <c r="AG41" s="25">
        <f>SUM(AG40:AG40)</f>
        <v>0</v>
      </c>
      <c r="AH41" s="20"/>
    </row>
    <row r="42" spans="1:34">
      <c r="X42" s="11"/>
      <c r="AA42" s="29"/>
      <c r="AB42" s="29"/>
      <c r="AC42" s="29"/>
      <c r="AD42" s="29"/>
      <c r="AE42" s="29"/>
    </row>
    <row r="43" spans="1:34" s="19" customFormat="1" ht="13.5" thickBot="1">
      <c r="B43" s="19" t="s">
        <v>89</v>
      </c>
      <c r="C43" s="51"/>
      <c r="D43" s="70">
        <f>+D37+D41</f>
        <v>26898533</v>
      </c>
      <c r="E43" s="54"/>
      <c r="F43" s="70">
        <f>+F37+F41</f>
        <v>26967674.670000002</v>
      </c>
      <c r="G43" s="190"/>
      <c r="H43" s="70">
        <f>+H37+H41</f>
        <v>28378213</v>
      </c>
      <c r="I43" s="54"/>
      <c r="J43" s="70">
        <f>+J37+J41</f>
        <v>20403316</v>
      </c>
      <c r="K43" s="54"/>
      <c r="L43" s="70">
        <f>+L37+L41</f>
        <v>110113423.5</v>
      </c>
      <c r="M43" s="54"/>
      <c r="N43" s="70">
        <f>+N37+N41</f>
        <v>66059823</v>
      </c>
      <c r="O43" s="31"/>
      <c r="P43" s="190">
        <f>+P37+P41</f>
        <v>36835139.870000005</v>
      </c>
      <c r="Q43" s="54"/>
      <c r="R43" s="190">
        <f>+R37+R41</f>
        <v>47213577</v>
      </c>
      <c r="S43" s="31"/>
      <c r="T43" s="190">
        <f>+T37+T41</f>
        <v>45659930</v>
      </c>
      <c r="U43" s="31"/>
      <c r="V43" s="190">
        <f>+V37+V41</f>
        <v>45966753</v>
      </c>
      <c r="W43" s="31"/>
      <c r="X43" s="190">
        <f>+V43-T43</f>
        <v>306823</v>
      </c>
      <c r="Y43" s="63"/>
      <c r="Z43" s="246">
        <f>+X43/T43</f>
        <v>6.7197431095492258E-3</v>
      </c>
    </row>
    <row r="44" spans="1:34" s="19" customFormat="1">
      <c r="C44" s="51"/>
      <c r="D44" s="54"/>
      <c r="E44" s="54"/>
      <c r="F44" s="54"/>
      <c r="G44" s="31"/>
      <c r="H44" s="54"/>
      <c r="I44" s="54"/>
      <c r="J44" s="54"/>
      <c r="K44" s="54"/>
      <c r="L44" s="54"/>
      <c r="M44" s="54"/>
      <c r="N44" s="54"/>
      <c r="O44" s="31"/>
      <c r="P44" s="54"/>
      <c r="Q44" s="54"/>
      <c r="R44" s="31"/>
      <c r="S44" s="31"/>
      <c r="T44" s="31"/>
      <c r="U44" s="31"/>
      <c r="V44" s="31"/>
      <c r="W44" s="31"/>
      <c r="X44" s="31"/>
      <c r="Y44" s="63"/>
      <c r="Z44" s="243"/>
    </row>
    <row r="45" spans="1:34">
      <c r="A45" s="11" t="s">
        <v>65</v>
      </c>
      <c r="B45" s="49"/>
      <c r="C45" s="49"/>
      <c r="D45" s="21">
        <f>+D31-D43</f>
        <v>-1959584</v>
      </c>
      <c r="E45" s="21"/>
      <c r="F45" s="21">
        <f>+F31-F43</f>
        <v>-763333.33000000194</v>
      </c>
      <c r="G45" s="21"/>
      <c r="H45" s="21">
        <f>+H31-H43</f>
        <v>3717314.0550000034</v>
      </c>
      <c r="I45" s="21"/>
      <c r="J45" s="21">
        <f>+J31-J43</f>
        <v>4799273</v>
      </c>
      <c r="K45" s="21"/>
      <c r="L45" s="21">
        <f>+L31-L43</f>
        <v>-202736.3599999994</v>
      </c>
      <c r="M45" s="21"/>
      <c r="N45" s="21">
        <f>+N31-N43</f>
        <v>943804.78000000119</v>
      </c>
      <c r="O45" s="21"/>
      <c r="P45" s="21">
        <f>+P31-P43</f>
        <v>799015.56999999285</v>
      </c>
      <c r="Q45" s="21"/>
      <c r="R45" s="21">
        <f>+R31-R43</f>
        <v>0</v>
      </c>
      <c r="S45" s="21"/>
      <c r="T45" s="21">
        <f>+T31-T43</f>
        <v>-90035</v>
      </c>
      <c r="U45" s="21"/>
      <c r="V45" s="21">
        <f>+V31-V43</f>
        <v>0</v>
      </c>
      <c r="W45" s="21"/>
      <c r="X45" s="21">
        <f>+V45-T45</f>
        <v>90035</v>
      </c>
      <c r="Y45" s="52"/>
      <c r="Z45" s="198">
        <f>+X45/T45</f>
        <v>-1</v>
      </c>
    </row>
    <row r="46" spans="1:34">
      <c r="D46" s="176"/>
      <c r="E46" s="176"/>
      <c r="F46" s="176"/>
      <c r="G46" s="176"/>
      <c r="H46" s="176"/>
      <c r="I46" s="20"/>
      <c r="J46" s="20"/>
      <c r="K46" s="20"/>
      <c r="L46" s="173"/>
      <c r="M46" s="173"/>
      <c r="N46" s="173"/>
      <c r="O46" s="21"/>
      <c r="P46" s="173"/>
      <c r="Q46" s="173"/>
      <c r="R46" s="21"/>
      <c r="S46" s="21"/>
      <c r="T46" s="21"/>
      <c r="U46" s="21"/>
      <c r="V46" s="21"/>
      <c r="W46" s="21"/>
      <c r="X46" s="21"/>
      <c r="Z46" s="198"/>
    </row>
    <row r="47" spans="1:34">
      <c r="A47" s="1" t="s">
        <v>115</v>
      </c>
      <c r="C47" s="2"/>
      <c r="D47" s="177">
        <v>3536214</v>
      </c>
      <c r="E47" s="176"/>
      <c r="F47" s="177">
        <v>1576630</v>
      </c>
      <c r="G47" s="177"/>
      <c r="H47" s="177">
        <v>813297</v>
      </c>
      <c r="I47" s="20"/>
      <c r="J47" s="35">
        <v>4530611</v>
      </c>
      <c r="K47" s="20"/>
      <c r="L47" s="35">
        <v>9329884</v>
      </c>
      <c r="M47" s="173"/>
      <c r="N47" s="35">
        <f>L49</f>
        <v>9127147.6400000006</v>
      </c>
      <c r="O47" s="21"/>
      <c r="P47" s="35">
        <v>15275118</v>
      </c>
      <c r="Q47" s="173"/>
      <c r="R47" s="192">
        <f>+P49</f>
        <v>16074133.569999993</v>
      </c>
      <c r="S47" s="21"/>
      <c r="T47" s="192">
        <f>P49</f>
        <v>16074133.569999993</v>
      </c>
      <c r="U47" s="21"/>
      <c r="V47" s="192">
        <f>+T49</f>
        <v>15984098.569999993</v>
      </c>
      <c r="W47" s="21"/>
      <c r="X47" s="192">
        <f>+V47-T47</f>
        <v>-90035</v>
      </c>
      <c r="Z47" s="249">
        <f>+X47/T47</f>
        <v>-5.6012350281844795E-3</v>
      </c>
    </row>
    <row r="48" spans="1:34">
      <c r="C48" s="2"/>
      <c r="D48" s="2"/>
      <c r="E48" s="3"/>
      <c r="F48" s="2"/>
      <c r="G48" s="49"/>
      <c r="H48" s="2"/>
      <c r="I48" s="3"/>
      <c r="J48" s="3"/>
      <c r="K48" s="3"/>
      <c r="L48" s="3"/>
      <c r="M48" s="3"/>
      <c r="N48" s="3"/>
      <c r="O48" s="4"/>
      <c r="P48" s="3"/>
      <c r="Q48" s="3"/>
      <c r="R48" s="4"/>
      <c r="S48" s="4"/>
      <c r="T48" s="4"/>
      <c r="U48" s="4"/>
      <c r="V48" s="64"/>
      <c r="W48" s="198"/>
      <c r="X48" s="64"/>
      <c r="Z48" s="64"/>
    </row>
    <row r="49" spans="1:26" ht="13.5" thickBot="1">
      <c r="A49" s="19" t="s">
        <v>117</v>
      </c>
      <c r="C49" s="2"/>
      <c r="D49" s="72">
        <f>SUM(D45:D47)</f>
        <v>1576630</v>
      </c>
      <c r="E49" s="73"/>
      <c r="F49" s="72">
        <f>SUM(F45:F47)</f>
        <v>813296.66999999806</v>
      </c>
      <c r="G49" s="193"/>
      <c r="H49" s="72">
        <f>SUM(H45:H47)</f>
        <v>4530611.0550000034</v>
      </c>
      <c r="I49" s="73"/>
      <c r="J49" s="72">
        <f>SUM(J45:J47)</f>
        <v>9329884</v>
      </c>
      <c r="K49" s="73"/>
      <c r="L49" s="72">
        <f>SUM(L45:L47)</f>
        <v>9127147.6400000006</v>
      </c>
      <c r="M49" s="73"/>
      <c r="N49" s="72">
        <f>SUM(N45:N47)</f>
        <v>10070952.420000002</v>
      </c>
      <c r="O49" s="194"/>
      <c r="P49" s="72">
        <f>SUM(P45:P47)</f>
        <v>16074133.569999993</v>
      </c>
      <c r="Q49" s="73"/>
      <c r="R49" s="193">
        <f>SUM(R45:R47)</f>
        <v>16074133.569999993</v>
      </c>
      <c r="S49" s="194"/>
      <c r="T49" s="193">
        <f>SUM(T45:T47)</f>
        <v>15984098.569999993</v>
      </c>
      <c r="U49" s="194"/>
      <c r="V49" s="193">
        <f>SUM(V45:V47)</f>
        <v>15984098.569999993</v>
      </c>
      <c r="W49" s="194"/>
      <c r="X49" s="193">
        <f>+V49-T49</f>
        <v>0</v>
      </c>
      <c r="Y49" s="49"/>
      <c r="Z49" s="250">
        <f>+X49/T49</f>
        <v>0</v>
      </c>
    </row>
    <row r="50" spans="1:26" ht="13.5" thickTop="1">
      <c r="A50" s="19"/>
      <c r="C50" s="2"/>
      <c r="D50" s="73"/>
      <c r="E50" s="73"/>
      <c r="F50" s="73"/>
      <c r="G50" s="194"/>
      <c r="H50" s="73"/>
      <c r="I50" s="73"/>
      <c r="J50" s="73"/>
      <c r="K50" s="73"/>
      <c r="L50" s="73"/>
      <c r="M50" s="73"/>
      <c r="N50" s="73"/>
      <c r="O50" s="194"/>
      <c r="P50" s="73"/>
      <c r="Q50" s="73"/>
      <c r="R50" s="194"/>
      <c r="S50" s="194"/>
      <c r="T50" s="194"/>
      <c r="U50" s="194"/>
      <c r="V50" s="194"/>
      <c r="W50" s="194"/>
      <c r="X50" s="194"/>
      <c r="Y50" s="49"/>
      <c r="Z50" s="243"/>
    </row>
    <row r="51" spans="1:26" s="19" customFormat="1">
      <c r="A51" s="19" t="s">
        <v>58</v>
      </c>
      <c r="C51" s="19" t="s">
        <v>55</v>
      </c>
      <c r="D51" s="71">
        <f>D49/D37</f>
        <v>5.8613977200912777E-2</v>
      </c>
      <c r="E51" s="39"/>
      <c r="F51" s="71">
        <f>F49/F37</f>
        <v>3.0428593716561262E-2</v>
      </c>
      <c r="G51" s="195"/>
      <c r="H51" s="71">
        <f>H49/H37</f>
        <v>0.17440041218385588</v>
      </c>
      <c r="I51" s="39"/>
      <c r="J51" s="71">
        <f>J49/J37</f>
        <v>0.64666956527947039</v>
      </c>
      <c r="K51" s="71"/>
      <c r="L51" s="71">
        <f>L49/L37</f>
        <v>0.57477463682160757</v>
      </c>
      <c r="M51" s="71"/>
      <c r="N51" s="71">
        <f>N49/N37</f>
        <v>0.67421572394180074</v>
      </c>
      <c r="O51" s="195"/>
      <c r="P51" s="195">
        <f>P49/P37</f>
        <v>0.43638041355969992</v>
      </c>
      <c r="Q51" s="71"/>
      <c r="R51" s="195">
        <f>R49/R37</f>
        <v>0.61837551670319391</v>
      </c>
      <c r="S51" s="243"/>
      <c r="T51" s="195">
        <f>T49/T37</f>
        <v>0.56116523114131833</v>
      </c>
      <c r="U51" s="243"/>
      <c r="V51" s="195">
        <f>V49/V37</f>
        <v>0.57821002235377106</v>
      </c>
      <c r="W51" s="188"/>
      <c r="X51" s="195"/>
      <c r="Y51" s="62"/>
      <c r="Z51" s="63"/>
    </row>
    <row r="52" spans="1:26">
      <c r="X52" s="216"/>
    </row>
    <row r="53" spans="1:26">
      <c r="X53" s="216"/>
    </row>
    <row r="54" spans="1:26">
      <c r="A54" s="19" t="s">
        <v>118</v>
      </c>
      <c r="C54" s="19"/>
      <c r="T54" s="241" t="s">
        <v>218</v>
      </c>
      <c r="V54" s="317">
        <v>7124876.8499999996</v>
      </c>
      <c r="X54" s="216"/>
    </row>
    <row r="55" spans="1:26">
      <c r="A55" s="19" t="s">
        <v>119</v>
      </c>
      <c r="C55" s="19"/>
      <c r="T55" s="241"/>
      <c r="X55" s="216"/>
    </row>
    <row r="56" spans="1:26" ht="13.5" thickBot="1">
      <c r="A56" s="19" t="s">
        <v>120</v>
      </c>
      <c r="T56" s="241" t="s">
        <v>219</v>
      </c>
      <c r="V56" s="193">
        <f>+T49-V54</f>
        <v>8859221.7199999932</v>
      </c>
    </row>
    <row r="57" spans="1:26" ht="13.5" thickTop="1">
      <c r="A57" s="19" t="s">
        <v>121</v>
      </c>
      <c r="T57" s="32" t="s">
        <v>85</v>
      </c>
    </row>
    <row r="58" spans="1:26">
      <c r="A58" s="19" t="s">
        <v>122</v>
      </c>
    </row>
  </sheetData>
  <mergeCells count="3">
    <mergeCell ref="A1:Z1"/>
    <mergeCell ref="A2:Z2"/>
    <mergeCell ref="A3:Z3"/>
  </mergeCells>
  <printOptions horizontalCentered="1"/>
  <pageMargins left="0.19" right="0.19" top="0.54" bottom="0.17" header="0.5" footer="0.5"/>
  <pageSetup scale="10" orientation="portrait" r:id="rId1"/>
  <headerFooter alignWithMargins="0">
    <oddFooter>&amp;L&amp;8&amp;Z&amp;F&amp;R&amp;8&amp;D  &amp;T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Revised 15-16</vt:lpstr>
      <vt:lpstr>Combined 24-25</vt:lpstr>
      <vt:lpstr>General Fund Summary</vt:lpstr>
      <vt:lpstr>General Fund Expenditures</vt:lpstr>
      <vt:lpstr> CN Summary Board</vt:lpstr>
      <vt:lpstr> Prop DS </vt:lpstr>
      <vt:lpstr>' CN Summary Board'!Print_Area</vt:lpstr>
      <vt:lpstr>' Prop DS '!Print_Area</vt:lpstr>
      <vt:lpstr>'Combined 24-25'!Print_Area</vt:lpstr>
      <vt:lpstr>'General Fund Expenditures'!Print_Area</vt:lpstr>
      <vt:lpstr>'General Fund Summary'!Print_Area</vt:lpstr>
      <vt:lpstr>'Revised 15-16'!Print_Area</vt:lpstr>
      <vt:lpstr>'General Fund Expenditures'!Print_Titles</vt:lpstr>
    </vt:vector>
  </TitlesOfParts>
  <Company>Birdville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Bowman, Katie</dc:creator>
  <cp:lastModifiedBy>Marie Andrle</cp:lastModifiedBy>
  <cp:lastPrinted>2024-06-05T18:18:13Z</cp:lastPrinted>
  <dcterms:created xsi:type="dcterms:W3CDTF">2010-03-25T15:48:28Z</dcterms:created>
  <dcterms:modified xsi:type="dcterms:W3CDTF">2024-06-18T18:30:55Z</dcterms:modified>
</cp:coreProperties>
</file>