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comments6.xml" ContentType="application/vnd.openxmlformats-officedocument.spreadsheetml.comments+xml"/>
  <Override PartName="/xl/comments29.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comments4.xml" ContentType="application/vnd.openxmlformats-officedocument.spreadsheetml.comments+xml"/>
  <Override PartName="/xl/comments18.xml" ContentType="application/vnd.openxmlformats-officedocument.spreadsheetml.comments+xml"/>
  <Override PartName="/xl/comments27.xml" ContentType="application/vnd.openxmlformats-officedocument.spreadsheetml.comments+xml"/>
  <Override PartName="/xl/worksheets/sheet3.xml" ContentType="application/vnd.openxmlformats-officedocument.spreadsheetml.worksheet+xml"/>
  <Override PartName="/xl/comments2.xml" ContentType="application/vnd.openxmlformats-officedocument.spreadsheetml.comments+xml"/>
  <Override PartName="/xl/comments16.xml" ContentType="application/vnd.openxmlformats-officedocument.spreadsheetml.comments+xml"/>
  <Override PartName="/xl/comments25.xml" ContentType="application/vnd.openxmlformats-officedocument.spreadsheetml.comments+xml"/>
  <Override PartName="/xl/comments36.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Override PartName="/xl/comments14.xml" ContentType="application/vnd.openxmlformats-officedocument.spreadsheetml.comments+xml"/>
  <Override PartName="/xl/comments23.xml" ContentType="application/vnd.openxmlformats-officedocument.spreadsheetml.comments+xml"/>
  <Override PartName="/xl/comments34.xml" ContentType="application/vnd.openxmlformats-officedocument.spreadsheetml.comments+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comments12.xml" ContentType="application/vnd.openxmlformats-officedocument.spreadsheetml.comments+xml"/>
  <Override PartName="/xl/comments13.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xl/comments20.xml" ContentType="application/vnd.openxmlformats-officedocument.spreadsheetml.comments+xml"/>
  <Override PartName="/xl/comments30.xml" ContentType="application/vnd.openxmlformats-officedocument.spreadsheetml.comments+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comments9.xml" ContentType="application/vnd.openxmlformats-officedocument.spreadsheetml.comment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comments5.xml" ContentType="application/vnd.openxmlformats-officedocument.spreadsheetml.comments+xml"/>
  <Override PartName="/xl/comments19.xml" ContentType="application/vnd.openxmlformats-officedocument.spreadsheetml.comments+xml"/>
  <Override PartName="/xl/comments28.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comments3.xml" ContentType="application/vnd.openxmlformats-officedocument.spreadsheetml.comments+xml"/>
  <Override PartName="/xl/comments17.xml" ContentType="application/vnd.openxmlformats-officedocument.spreadsheetml.comments+xml"/>
  <Override PartName="/xl/comments26.xml" ContentType="application/vnd.openxmlformats-officedocument.spreadsheetml.comments+xml"/>
  <Override PartName="/xl/comments35.xml" ContentType="application/vnd.openxmlformats-officedocument.spreadsheetml.comments+xml"/>
  <Default Extension="vml" ContentType="application/vnd.openxmlformats-officedocument.vmlDrawing"/>
  <Override PartName="/xl/comments1.xml" ContentType="application/vnd.openxmlformats-officedocument.spreadsheetml.comments+xml"/>
  <Override PartName="/xl/comments15.xml" ContentType="application/vnd.openxmlformats-officedocument.spreadsheetml.comments+xml"/>
  <Override PartName="/xl/comments24.xml" ContentType="application/vnd.openxmlformats-officedocument.spreadsheetml.comments+xml"/>
  <Override PartName="/xl/comments33.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240" yWindow="345" windowWidth="14955" windowHeight="8955" tabRatio="780"/>
  </bookViews>
  <sheets>
    <sheet name="Board" sheetId="2" r:id="rId1"/>
    <sheet name="Superintendent" sheetId="1" r:id="rId2"/>
    <sheet name="Internal Audit" sheetId="3" r:id="rId3"/>
    <sheet name="C&amp;I" sheetId="6" r:id="rId4"/>
    <sheet name="Elementary" sheetId="7" r:id="rId5"/>
    <sheet name="Elem Instructional" sheetId="8" r:id="rId6"/>
    <sheet name="Middle" sheetId="9" r:id="rId7"/>
    <sheet name="High Schools" sheetId="12" r:id="rId8"/>
    <sheet name="CareerTech Ed" sheetId="10" r:id="rId9"/>
    <sheet name="Adult Ed" sheetId="13" r:id="rId10"/>
    <sheet name="SpecialEd" sheetId="17" r:id="rId11"/>
    <sheet name="GiftedTalented" sheetId="18" r:id="rId12"/>
    <sheet name="Pupil Appraisal" sheetId="11" r:id="rId13"/>
    <sheet name="SpeechLang Therapy" sheetId="19" r:id="rId14"/>
    <sheet name="Child Welfare" sheetId="15" r:id="rId15"/>
    <sheet name="Nursing" sheetId="20" r:id="rId16"/>
    <sheet name="Testing" sheetId="21" r:id="rId17"/>
    <sheet name="LibraryMedia" sheetId="16" r:id="rId18"/>
    <sheet name="Print Shop" sheetId="14" r:id="rId19"/>
    <sheet name="Personnel" sheetId="22" r:id="rId20"/>
    <sheet name="Finance" sheetId="26" r:id="rId21"/>
    <sheet name="AccountingPurchasing" sheetId="28" r:id="rId22"/>
    <sheet name="Accounts Payable" sheetId="29" r:id="rId23"/>
    <sheet name="Payroll" sheetId="30" r:id="rId24"/>
    <sheet name="Insurance" sheetId="27" r:id="rId25"/>
    <sheet name="MIS" sheetId="33" r:id="rId26"/>
    <sheet name="Technology" sheetId="32" r:id="rId27"/>
    <sheet name="Sales Tax" sheetId="31" r:id="rId28"/>
    <sheet name="Warehouse" sheetId="23" r:id="rId29"/>
    <sheet name="Transportation" sheetId="24" r:id="rId30"/>
    <sheet name="Maintenance" sheetId="4" r:id="rId31"/>
    <sheet name="Planning and Construction" sheetId="5" r:id="rId32"/>
    <sheet name="Utilities" sheetId="34" r:id="rId33"/>
    <sheet name="Employee Bene" sheetId="35" r:id="rId34"/>
    <sheet name="Other Misc Grants" sheetId="25" r:id="rId35"/>
    <sheet name="Food Svc-D27 Debt-Transfers" sheetId="36" r:id="rId36"/>
  </sheets>
  <externalReferences>
    <externalReference r:id="rId37"/>
  </externalReferences>
  <definedNames>
    <definedName name="_xlnm._FilterDatabase" localSheetId="21" hidden="1">AccountingPurchasing!$A$9:$BH$35</definedName>
    <definedName name="_xlnm._FilterDatabase" localSheetId="22" hidden="1">'Accounts Payable'!$A$9:$BH$21</definedName>
    <definedName name="_xlnm._FilterDatabase" localSheetId="9" hidden="1">'Adult Ed'!$A$9:$BH$24</definedName>
    <definedName name="_xlnm._FilterDatabase" localSheetId="0" hidden="1">Board!$A$9:$BI$26</definedName>
    <definedName name="_xlnm._FilterDatabase" localSheetId="3" hidden="1">'C&amp;I'!$A$9:$BH$61</definedName>
    <definedName name="_xlnm._FilterDatabase" localSheetId="8" hidden="1">'CareerTech Ed'!$A$9:$BH$66</definedName>
    <definedName name="_xlnm._FilterDatabase" localSheetId="14" hidden="1">'Child Welfare'!$A$9:$BH$23</definedName>
    <definedName name="_xlnm._FilterDatabase" localSheetId="5" hidden="1">'Elem Instructional'!$A$9:$BH$27</definedName>
    <definedName name="_xlnm._FilterDatabase" localSheetId="4" hidden="1">Elementary!$A$9:$BH$62</definedName>
    <definedName name="_xlnm._FilterDatabase" localSheetId="33" hidden="1">'Employee Bene'!$A$9:$BH$26</definedName>
    <definedName name="_xlnm._FilterDatabase" localSheetId="20" hidden="1">Finance!$A$9:$BH$18</definedName>
    <definedName name="_xlnm._FilterDatabase" localSheetId="35" hidden="1">'Food Svc-D27 Debt-Transfers'!$A$9:$BH$23</definedName>
    <definedName name="_xlnm._FilterDatabase" localSheetId="11" hidden="1">GiftedTalented!$A$9:$BH$56</definedName>
    <definedName name="_xlnm._FilterDatabase" localSheetId="7" hidden="1">'High Schools'!$A$9:$BH$131</definedName>
    <definedName name="_xlnm._FilterDatabase" localSheetId="24" hidden="1">Insurance!$A$9:$BH$30</definedName>
    <definedName name="_xlnm._FilterDatabase" localSheetId="2" hidden="1">'Internal Audit'!$A$9:$BH$21</definedName>
    <definedName name="_xlnm._FilterDatabase" localSheetId="17" hidden="1">LibraryMedia!$A$9:$BH$43</definedName>
    <definedName name="_xlnm._FilterDatabase" localSheetId="30" hidden="1">Maintenance!$A$9:$BH$102</definedName>
    <definedName name="_xlnm._FilterDatabase" localSheetId="6" hidden="1">Middle!$A$9:$BH$96</definedName>
    <definedName name="_xlnm._FilterDatabase" localSheetId="25" hidden="1">MIS!$A$9:$BH$29</definedName>
    <definedName name="_xlnm._FilterDatabase" localSheetId="15" hidden="1">Nursing!$A$9:$BH$23</definedName>
    <definedName name="_xlnm._FilterDatabase" localSheetId="34" hidden="1">'Other Misc Grants'!$A$9:$BH$34</definedName>
    <definedName name="_xlnm._FilterDatabase" localSheetId="23" hidden="1">Payroll!$A$9:$BH$21</definedName>
    <definedName name="_xlnm._FilterDatabase" localSheetId="19" hidden="1">Personnel!$A$9:$BH$28</definedName>
    <definedName name="_xlnm._FilterDatabase" localSheetId="31" hidden="1">'Planning and Construction'!$A$9:$BH$37</definedName>
    <definedName name="_xlnm._FilterDatabase" localSheetId="18" hidden="1">'Print Shop'!$A$9:$BH$20</definedName>
    <definedName name="_xlnm._FilterDatabase" localSheetId="12" hidden="1">'Pupil Appraisal'!$A$9:$BH$31</definedName>
    <definedName name="_xlnm._FilterDatabase" localSheetId="27" hidden="1">'Sales Tax'!$A$9:$BH$33</definedName>
    <definedName name="_xlnm._FilterDatabase" localSheetId="10" hidden="1">SpecialEd!$A$9:$BH$41</definedName>
    <definedName name="_xlnm._FilterDatabase" localSheetId="13" hidden="1">'SpeechLang Therapy'!$A$9:$BH$26</definedName>
    <definedName name="_xlnm._FilterDatabase" localSheetId="1" hidden="1">Superintendent!$A$9:$BH$22</definedName>
    <definedName name="_xlnm._FilterDatabase" localSheetId="26" hidden="1">Technology!$A$9:$BH$51</definedName>
    <definedName name="_xlnm._FilterDatabase" localSheetId="16" hidden="1">Testing!$A$9:$BH$31</definedName>
    <definedName name="_xlnm._FilterDatabase" localSheetId="29" hidden="1">Transportation!$A$9:$BH$103</definedName>
    <definedName name="_xlnm._FilterDatabase" localSheetId="32" hidden="1">Utilities!$A$9:$BH$25</definedName>
    <definedName name="_xlnm._FilterDatabase" localSheetId="28" hidden="1">Warehouse!$A$9:$BH$32</definedName>
    <definedName name="_xlnm.Print_Area" localSheetId="21">AccountingPurchasing!$A$1:$BB$35</definedName>
    <definedName name="_xlnm.Print_Area" localSheetId="22">'Accounts Payable'!$A$1:$BB$21</definedName>
    <definedName name="_xlnm.Print_Area" localSheetId="9">'Adult Ed'!$A$1:$BB$24</definedName>
    <definedName name="_xlnm.Print_Area" localSheetId="0">Board!$A$1:$BB$25</definedName>
    <definedName name="_xlnm.Print_Area" localSheetId="3">'C&amp;I'!$A$1:$BB$60</definedName>
    <definedName name="_xlnm.Print_Area" localSheetId="8">'CareerTech Ed'!$A$1:$BB$65</definedName>
    <definedName name="_xlnm.Print_Area" localSheetId="14">'Child Welfare'!$A$1:$BB$23</definedName>
    <definedName name="_xlnm.Print_Area" localSheetId="5">'Elem Instructional'!$A$1:$BB$26</definedName>
    <definedName name="_xlnm.Print_Area" localSheetId="4">Elementary!$A$1:$BB$64</definedName>
    <definedName name="_xlnm.Print_Area" localSheetId="33">'Employee Bene'!$A$1:$BB$26</definedName>
    <definedName name="_xlnm.Print_Area" localSheetId="20">Finance!$A$1:$BB$18</definedName>
    <definedName name="_xlnm.Print_Area" localSheetId="35">'Food Svc-D27 Debt-Transfers'!$A:$BB</definedName>
    <definedName name="_xlnm.Print_Area" localSheetId="11">GiftedTalented!$A$1:$BB$56</definedName>
    <definedName name="_xlnm.Print_Area" localSheetId="7">'High Schools'!$A$1:$BB$132</definedName>
    <definedName name="_xlnm.Print_Area" localSheetId="24">Insurance!$A$1:$BB$30</definedName>
    <definedName name="_xlnm.Print_Area" localSheetId="2">'Internal Audit'!$A$1:$BB$20</definedName>
    <definedName name="_xlnm.Print_Area" localSheetId="17">LibraryMedia!$A$1:$BB$43</definedName>
    <definedName name="_xlnm.Print_Area" localSheetId="30">Maintenance!$A$1:$BB$101</definedName>
    <definedName name="_xlnm.Print_Area" localSheetId="6">Middle!$A$1:$BB$96</definedName>
    <definedName name="_xlnm.Print_Area" localSheetId="25">MIS!$A$1:$BB$29</definedName>
    <definedName name="_xlnm.Print_Area" localSheetId="15">Nursing!$A$1:$BB$23</definedName>
    <definedName name="_xlnm.Print_Area" localSheetId="34">'Other Misc Grants'!$A$1:$BB$34</definedName>
    <definedName name="_xlnm.Print_Area" localSheetId="23">Payroll!$A$1:$BB$21</definedName>
    <definedName name="_xlnm.Print_Area" localSheetId="19">Personnel!$A$1:$BB$28</definedName>
    <definedName name="_xlnm.Print_Area" localSheetId="31">'Planning and Construction'!$A$1:$BB$37</definedName>
    <definedName name="_xlnm.Print_Area" localSheetId="18">'Print Shop'!$A$1:$BB$19</definedName>
    <definedName name="_xlnm.Print_Area" localSheetId="12">'Pupil Appraisal'!$A$1:$BB$34</definedName>
    <definedName name="_xlnm.Print_Area" localSheetId="27">'Sales Tax'!$A$1:$BB$33</definedName>
    <definedName name="_xlnm.Print_Area" localSheetId="10">SpecialEd!$A$1:$BB$41</definedName>
    <definedName name="_xlnm.Print_Area" localSheetId="13">'SpeechLang Therapy'!$A$1:$BB$26</definedName>
    <definedName name="_xlnm.Print_Area" localSheetId="1">Superintendent!$A$1:$BB$21</definedName>
    <definedName name="_xlnm.Print_Area" localSheetId="26">Technology!$A$1:$BB$51</definedName>
    <definedName name="_xlnm.Print_Area" localSheetId="16">Testing!$A$1:$BB$31</definedName>
    <definedName name="_xlnm.Print_Area" localSheetId="29">Transportation!$A$1:$BB$103</definedName>
    <definedName name="_xlnm.Print_Area" localSheetId="32">Utilities!$A$1:$BB$24</definedName>
    <definedName name="_xlnm.Print_Area" localSheetId="28">Warehouse!$A$1:$BB$32</definedName>
    <definedName name="_xlnm.Print_Titles" localSheetId="21">AccountingPurchasing!$1:$8</definedName>
    <definedName name="_xlnm.Print_Titles" localSheetId="22">'Accounts Payable'!$1:$8</definedName>
    <definedName name="_xlnm.Print_Titles" localSheetId="9">'Adult Ed'!$1:$8</definedName>
    <definedName name="_xlnm.Print_Titles" localSheetId="0">Board!$1:$8</definedName>
    <definedName name="_xlnm.Print_Titles" localSheetId="3">'C&amp;I'!$1:$8</definedName>
    <definedName name="_xlnm.Print_Titles" localSheetId="8">'CareerTech Ed'!$1:$8</definedName>
    <definedName name="_xlnm.Print_Titles" localSheetId="14">'Child Welfare'!$1:$8</definedName>
    <definedName name="_xlnm.Print_Titles" localSheetId="5">'Elem Instructional'!$1:$8</definedName>
    <definedName name="_xlnm.Print_Titles" localSheetId="4">Elementary!$1:$8</definedName>
    <definedName name="_xlnm.Print_Titles" localSheetId="33">'Employee Bene'!$1:$8</definedName>
    <definedName name="_xlnm.Print_Titles" localSheetId="20">Finance!$1:$8</definedName>
    <definedName name="_xlnm.Print_Titles" localSheetId="35">'Food Svc-D27 Debt-Transfers'!$1:$8</definedName>
    <definedName name="_xlnm.Print_Titles" localSheetId="11">GiftedTalented!$1:$8</definedName>
    <definedName name="_xlnm.Print_Titles" localSheetId="7">'High Schools'!$1:$8</definedName>
    <definedName name="_xlnm.Print_Titles" localSheetId="24">Insurance!$1:$8</definedName>
    <definedName name="_xlnm.Print_Titles" localSheetId="2">'Internal Audit'!$1:$8</definedName>
    <definedName name="_xlnm.Print_Titles" localSheetId="17">LibraryMedia!$1:$8</definedName>
    <definedName name="_xlnm.Print_Titles" localSheetId="30">Maintenance!$1:$8</definedName>
    <definedName name="_xlnm.Print_Titles" localSheetId="6">Middle!$1:$8</definedName>
    <definedName name="_xlnm.Print_Titles" localSheetId="25">MIS!$1:$8</definedName>
    <definedName name="_xlnm.Print_Titles" localSheetId="15">Nursing!$1:$8</definedName>
    <definedName name="_xlnm.Print_Titles" localSheetId="34">'Other Misc Grants'!$1:$8</definedName>
    <definedName name="_xlnm.Print_Titles" localSheetId="23">Payroll!$1:$8</definedName>
    <definedName name="_xlnm.Print_Titles" localSheetId="19">Personnel!$1:$8</definedName>
    <definedName name="_xlnm.Print_Titles" localSheetId="31">'Planning and Construction'!$1:$8</definedName>
    <definedName name="_xlnm.Print_Titles" localSheetId="18">'Print Shop'!$1:$8</definedName>
    <definedName name="_xlnm.Print_Titles" localSheetId="12">'Pupil Appraisal'!$1:$8</definedName>
    <definedName name="_xlnm.Print_Titles" localSheetId="27">'Sales Tax'!$1:$8</definedName>
    <definedName name="_xlnm.Print_Titles" localSheetId="10">SpecialEd!$1:$8</definedName>
    <definedName name="_xlnm.Print_Titles" localSheetId="13">'SpeechLang Therapy'!$1:$8</definedName>
    <definedName name="_xlnm.Print_Titles" localSheetId="1">Superintendent!$1:$8</definedName>
    <definedName name="_xlnm.Print_Titles" localSheetId="26">Technology!$1:$8</definedName>
    <definedName name="_xlnm.Print_Titles" localSheetId="16">Testing!$1:$8</definedName>
    <definedName name="_xlnm.Print_Titles" localSheetId="29">Transportation!$1:$8</definedName>
    <definedName name="_xlnm.Print_Titles" localSheetId="32">Utilities!$1:$8</definedName>
    <definedName name="_xlnm.Print_Titles" localSheetId="28">Warehouse!$1:$8</definedName>
    <definedName name="Z_0C19DDCE_513A_46EF_818E_8E858D006053_.wvu.FilterData" localSheetId="21" hidden="1">AccountingPurchasing!$A$1:$BJ$35</definedName>
    <definedName name="Z_0C19DDCE_513A_46EF_818E_8E858D006053_.wvu.FilterData" localSheetId="22" hidden="1">'Accounts Payable'!$A$1:$BJ$23</definedName>
    <definedName name="Z_0C19DDCE_513A_46EF_818E_8E858D006053_.wvu.FilterData" localSheetId="9" hidden="1">'Adult Ed'!$A$1:$BJ$24</definedName>
    <definedName name="Z_0C19DDCE_513A_46EF_818E_8E858D006053_.wvu.FilterData" localSheetId="0" hidden="1">Board!$A$1:$BK$68</definedName>
    <definedName name="Z_0C19DDCE_513A_46EF_818E_8E858D006053_.wvu.FilterData" localSheetId="3" hidden="1">'C&amp;I'!$A$1:$BJ$61</definedName>
    <definedName name="Z_0C19DDCE_513A_46EF_818E_8E858D006053_.wvu.FilterData" localSheetId="8" hidden="1">'CareerTech Ed'!$A$1:$BJ$66</definedName>
    <definedName name="Z_0C19DDCE_513A_46EF_818E_8E858D006053_.wvu.FilterData" localSheetId="14" hidden="1">'Child Welfare'!$A$1:$BJ$54</definedName>
    <definedName name="Z_0C19DDCE_513A_46EF_818E_8E858D006053_.wvu.FilterData" localSheetId="5" hidden="1">'Elem Instructional'!$A$1:$BJ$27</definedName>
    <definedName name="Z_0C19DDCE_513A_46EF_818E_8E858D006053_.wvu.FilterData" localSheetId="4" hidden="1">Elementary!$A$1:$BJ$62</definedName>
    <definedName name="Z_0C19DDCE_513A_46EF_818E_8E858D006053_.wvu.FilterData" localSheetId="33" hidden="1">'Employee Bene'!$A$1:$BJ$59</definedName>
    <definedName name="Z_0C19DDCE_513A_46EF_818E_8E858D006053_.wvu.FilterData" localSheetId="20" hidden="1">Finance!$A$1:$BJ$18</definedName>
    <definedName name="Z_0C19DDCE_513A_46EF_818E_8E858D006053_.wvu.FilterData" localSheetId="35" hidden="1">'Food Svc-D27 Debt-Transfers'!$A$1:$BJ$66</definedName>
    <definedName name="Z_0C19DDCE_513A_46EF_818E_8E858D006053_.wvu.FilterData" localSheetId="11" hidden="1">GiftedTalented!$A$1:$BJ$85</definedName>
    <definedName name="Z_0C19DDCE_513A_46EF_818E_8E858D006053_.wvu.FilterData" localSheetId="7" hidden="1">'High Schools'!$A$1:$BJ$132</definedName>
    <definedName name="Z_0C19DDCE_513A_46EF_818E_8E858D006053_.wvu.FilterData" localSheetId="24" hidden="1">Insurance!$A$1:$BJ$30</definedName>
    <definedName name="Z_0C19DDCE_513A_46EF_818E_8E858D006053_.wvu.FilterData" localSheetId="2" hidden="1">'Internal Audit'!$A$1:$BJ$21</definedName>
    <definedName name="Z_0C19DDCE_513A_46EF_818E_8E858D006053_.wvu.FilterData" localSheetId="17" hidden="1">LibraryMedia!$A$1:$BJ$43</definedName>
    <definedName name="Z_0C19DDCE_513A_46EF_818E_8E858D006053_.wvu.FilterData" localSheetId="30" hidden="1">Maintenance!$A$1:$BJ$110</definedName>
    <definedName name="Z_0C19DDCE_513A_46EF_818E_8E858D006053_.wvu.FilterData" localSheetId="6" hidden="1">Middle!$A$1:$BJ$137</definedName>
    <definedName name="Z_0C19DDCE_513A_46EF_818E_8E858D006053_.wvu.FilterData" localSheetId="25" hidden="1">MIS!$A$1:$BJ$46</definedName>
    <definedName name="Z_0C19DDCE_513A_46EF_818E_8E858D006053_.wvu.FilterData" localSheetId="15" hidden="1">Nursing!$A$1:$BJ$26</definedName>
    <definedName name="Z_0C19DDCE_513A_46EF_818E_8E858D006053_.wvu.FilterData" localSheetId="34" hidden="1">'Other Misc Grants'!$A$1:$BJ$74</definedName>
    <definedName name="Z_0C19DDCE_513A_46EF_818E_8E858D006053_.wvu.FilterData" localSheetId="23" hidden="1">Payroll!$A$1:$BJ$21</definedName>
    <definedName name="Z_0C19DDCE_513A_46EF_818E_8E858D006053_.wvu.FilterData" localSheetId="19" hidden="1">Personnel!$A$1:$BJ$44</definedName>
    <definedName name="Z_0C19DDCE_513A_46EF_818E_8E858D006053_.wvu.FilterData" localSheetId="31" hidden="1">'Planning and Construction'!$A$1:$BJ$37</definedName>
    <definedName name="Z_0C19DDCE_513A_46EF_818E_8E858D006053_.wvu.FilterData" localSheetId="18" hidden="1">'Print Shop'!$A$1:$BJ$20</definedName>
    <definedName name="Z_0C19DDCE_513A_46EF_818E_8E858D006053_.wvu.FilterData" localSheetId="12" hidden="1">'Pupil Appraisal'!$A$1:$BJ$31</definedName>
    <definedName name="Z_0C19DDCE_513A_46EF_818E_8E858D006053_.wvu.FilterData" localSheetId="27" hidden="1">'Sales Tax'!$A$1:$BJ$33</definedName>
    <definedName name="Z_0C19DDCE_513A_46EF_818E_8E858D006053_.wvu.FilterData" localSheetId="10" hidden="1">SpecialEd!$A$1:$BJ$60</definedName>
    <definedName name="Z_0C19DDCE_513A_46EF_818E_8E858D006053_.wvu.FilterData" localSheetId="13" hidden="1">'SpeechLang Therapy'!$A$1:$BJ$41</definedName>
    <definedName name="Z_0C19DDCE_513A_46EF_818E_8E858D006053_.wvu.FilterData" localSheetId="1" hidden="1">Superintendent!$A$1:$BJ$58</definedName>
    <definedName name="Z_0C19DDCE_513A_46EF_818E_8E858D006053_.wvu.FilterData" localSheetId="26" hidden="1">Technology!$A$1:$BJ$51</definedName>
    <definedName name="Z_0C19DDCE_513A_46EF_818E_8E858D006053_.wvu.FilterData" localSheetId="16" hidden="1">Testing!$A$1:$BJ$38</definedName>
    <definedName name="Z_0C19DDCE_513A_46EF_818E_8E858D006053_.wvu.FilterData" localSheetId="29" hidden="1">Transportation!$A$1:$BJ$103</definedName>
    <definedName name="Z_0C19DDCE_513A_46EF_818E_8E858D006053_.wvu.FilterData" localSheetId="32" hidden="1">Utilities!$A$1:$BJ$62</definedName>
    <definedName name="Z_0C19DDCE_513A_46EF_818E_8E858D006053_.wvu.FilterData" localSheetId="28" hidden="1">Warehouse!$A$1:$BJ$52</definedName>
    <definedName name="Z_101BF338_28AF_4751_A907_28F647194A1E_.wvu.Cols" localSheetId="21" hidden="1">AccountingPurchasing!$H:$H,AccountingPurchasing!$K:$K,AccountingPurchasing!$M:$N,AccountingPurchasing!$P:$W,AccountingPurchasing!$Y:$AM,AccountingPurchasing!$AO:$AO,AccountingPurchasing!$AQ:$AU</definedName>
    <definedName name="Z_101BF338_28AF_4751_A907_28F647194A1E_.wvu.Cols" localSheetId="22" hidden="1">'Accounts Payable'!$H:$H,'Accounts Payable'!$K:$K,'Accounts Payable'!$M:$N,'Accounts Payable'!$P:$W,'Accounts Payable'!$Y:$AM,'Accounts Payable'!$AO:$AO,'Accounts Payable'!$AQ:$AU</definedName>
    <definedName name="Z_101BF338_28AF_4751_A907_28F647194A1E_.wvu.Cols" localSheetId="9" hidden="1">'Adult Ed'!$H:$H,'Adult Ed'!$K:$K,'Adult Ed'!$M:$N,'Adult Ed'!$P:$W,'Adult Ed'!$Y:$AM,'Adult Ed'!$AO:$AO,'Adult Ed'!$AQ:$AU</definedName>
    <definedName name="Z_101BF338_28AF_4751_A907_28F647194A1E_.wvu.Cols" localSheetId="0" hidden="1">Board!$H:$H,Board!$K:$K,Board!$M:$N,Board!$P:$W,Board!$Y:$AM,Board!$AO:$AO,Board!$AQ:$AU</definedName>
    <definedName name="Z_101BF338_28AF_4751_A907_28F647194A1E_.wvu.Cols" localSheetId="3" hidden="1">'C&amp;I'!$H:$H,'C&amp;I'!$K:$K,'C&amp;I'!$M:$N,'C&amp;I'!$P:$W,'C&amp;I'!$Y:$AM,'C&amp;I'!$AO:$AO,'C&amp;I'!$AQ:$AU</definedName>
    <definedName name="Z_101BF338_28AF_4751_A907_28F647194A1E_.wvu.Cols" localSheetId="8" hidden="1">'CareerTech Ed'!$H:$H,'CareerTech Ed'!$K:$K,'CareerTech Ed'!$M:$N,'CareerTech Ed'!$P:$W,'CareerTech Ed'!$Y:$AM,'CareerTech Ed'!$AO:$AO,'CareerTech Ed'!$AQ:$AU</definedName>
    <definedName name="Z_101BF338_28AF_4751_A907_28F647194A1E_.wvu.Cols" localSheetId="14" hidden="1">'Child Welfare'!$H:$H,'Child Welfare'!$K:$K,'Child Welfare'!$M:$N,'Child Welfare'!$P:$W,'Child Welfare'!$Y:$AM,'Child Welfare'!$AO:$AO,'Child Welfare'!$AQ:$AU</definedName>
    <definedName name="Z_101BF338_28AF_4751_A907_28F647194A1E_.wvu.Cols" localSheetId="5" hidden="1">'Elem Instructional'!$H:$H,'Elem Instructional'!$K:$K,'Elem Instructional'!$M:$N,'Elem Instructional'!$P:$W,'Elem Instructional'!$Y:$AM,'Elem Instructional'!$AO:$AO,'Elem Instructional'!$AQ:$AU</definedName>
    <definedName name="Z_101BF338_28AF_4751_A907_28F647194A1E_.wvu.Cols" localSheetId="4" hidden="1">Elementary!$H:$H,Elementary!$K:$K,Elementary!$M:$N,Elementary!$P:$W,Elementary!$Y:$AM,Elementary!$AO:$AO,Elementary!$AQ:$AU</definedName>
    <definedName name="Z_101BF338_28AF_4751_A907_28F647194A1E_.wvu.Cols" localSheetId="33" hidden="1">'Employee Bene'!$H:$H,'Employee Bene'!$K:$K,'Employee Bene'!$M:$N,'Employee Bene'!$P:$W,'Employee Bene'!$Y:$AM,'Employee Bene'!$AO:$AO,'Employee Bene'!$AQ:$AU</definedName>
    <definedName name="Z_101BF338_28AF_4751_A907_28F647194A1E_.wvu.Cols" localSheetId="20" hidden="1">Finance!$H:$H,Finance!$K:$K,Finance!$M:$N,Finance!$P:$W,Finance!$Y:$AM,Finance!$AO:$AO,Finance!$AQ:$AU</definedName>
    <definedName name="Z_101BF338_28AF_4751_A907_28F647194A1E_.wvu.Cols" localSheetId="35" hidden="1">'Food Svc-D27 Debt-Transfers'!$H:$H,'Food Svc-D27 Debt-Transfers'!$K:$K,'Food Svc-D27 Debt-Transfers'!$M:$N,'Food Svc-D27 Debt-Transfers'!$P:$W,'Food Svc-D27 Debt-Transfers'!$Y:$AM,'Food Svc-D27 Debt-Transfers'!$AO:$AO,'Food Svc-D27 Debt-Transfers'!$AQ:$AU</definedName>
    <definedName name="Z_101BF338_28AF_4751_A907_28F647194A1E_.wvu.Cols" localSheetId="11" hidden="1">GiftedTalented!$H:$H,GiftedTalented!$K:$K,GiftedTalented!$M:$N,GiftedTalented!$P:$W,GiftedTalented!$Y:$AM,GiftedTalented!$AO:$AO,GiftedTalented!$AQ:$AU</definedName>
    <definedName name="Z_101BF338_28AF_4751_A907_28F647194A1E_.wvu.Cols" localSheetId="7" hidden="1">'High Schools'!$H:$H,'High Schools'!$K:$K,'High Schools'!$M:$N,'High Schools'!$P:$W,'High Schools'!$Y:$AM,'High Schools'!$AO:$AO,'High Schools'!$AQ:$AU</definedName>
    <definedName name="Z_101BF338_28AF_4751_A907_28F647194A1E_.wvu.Cols" localSheetId="24" hidden="1">Insurance!$H:$H,Insurance!$K:$K,Insurance!$M:$N,Insurance!$P:$W,Insurance!$Y:$AM,Insurance!$AO:$AO,Insurance!$AQ:$AU</definedName>
    <definedName name="Z_101BF338_28AF_4751_A907_28F647194A1E_.wvu.Cols" localSheetId="2" hidden="1">'Internal Audit'!$H:$H,'Internal Audit'!$K:$K,'Internal Audit'!$M:$N,'Internal Audit'!$P:$W,'Internal Audit'!$Y:$AM,'Internal Audit'!$AO:$AO,'Internal Audit'!$AQ:$AU</definedName>
    <definedName name="Z_101BF338_28AF_4751_A907_28F647194A1E_.wvu.Cols" localSheetId="17" hidden="1">LibraryMedia!$H:$H,LibraryMedia!$K:$K,LibraryMedia!$M:$N,LibraryMedia!$P:$W,LibraryMedia!$Y:$AM,LibraryMedia!$AO:$AO,LibraryMedia!$AQ:$AU</definedName>
    <definedName name="Z_101BF338_28AF_4751_A907_28F647194A1E_.wvu.Cols" localSheetId="30" hidden="1">Maintenance!$H:$H,Maintenance!$K:$K,Maintenance!$M:$N,Maintenance!$P:$W,Maintenance!$Y:$AM,Maintenance!$AO:$AO,Maintenance!$AQ:$AU</definedName>
    <definedName name="Z_101BF338_28AF_4751_A907_28F647194A1E_.wvu.Cols" localSheetId="6" hidden="1">Middle!$H:$H,Middle!$K:$K,Middle!$M:$N,Middle!$P:$W,Middle!$Y:$AM,Middle!$AO:$AO,Middle!$AQ:$AU</definedName>
    <definedName name="Z_101BF338_28AF_4751_A907_28F647194A1E_.wvu.Cols" localSheetId="25" hidden="1">MIS!$H:$H,MIS!$K:$K,MIS!$M:$N,MIS!$P:$W,MIS!$Y:$AM,MIS!$AO:$AO,MIS!$AQ:$AU</definedName>
    <definedName name="Z_101BF338_28AF_4751_A907_28F647194A1E_.wvu.Cols" localSheetId="15" hidden="1">Nursing!$H:$H,Nursing!$K:$K,Nursing!$M:$N,Nursing!$P:$W,Nursing!$Y:$AM,Nursing!$AO:$AO,Nursing!$AQ:$AU</definedName>
    <definedName name="Z_101BF338_28AF_4751_A907_28F647194A1E_.wvu.Cols" localSheetId="34" hidden="1">'Other Misc Grants'!$H:$H,'Other Misc Grants'!$K:$K,'Other Misc Grants'!$M:$N,'Other Misc Grants'!$P:$W,'Other Misc Grants'!$Y:$AM,'Other Misc Grants'!$AO:$AO,'Other Misc Grants'!$AQ:$AU</definedName>
    <definedName name="Z_101BF338_28AF_4751_A907_28F647194A1E_.wvu.Cols" localSheetId="23" hidden="1">Payroll!$H:$H,Payroll!$K:$K,Payroll!$M:$N,Payroll!$P:$W,Payroll!$Y:$AM,Payroll!$AO:$AO,Payroll!$AQ:$AU</definedName>
    <definedName name="Z_101BF338_28AF_4751_A907_28F647194A1E_.wvu.Cols" localSheetId="19" hidden="1">Personnel!$H:$H,Personnel!$K:$K,Personnel!$M:$N,Personnel!$P:$W,Personnel!$Y:$AM,Personnel!$AO:$AO,Personnel!$AQ:$AU</definedName>
    <definedName name="Z_101BF338_28AF_4751_A907_28F647194A1E_.wvu.Cols" localSheetId="31" hidden="1">'Planning and Construction'!$H:$H,'Planning and Construction'!$K:$K,'Planning and Construction'!$M:$N,'Planning and Construction'!$P:$W,'Planning and Construction'!$Y:$AM,'Planning and Construction'!$AO:$AO,'Planning and Construction'!$AQ:$AU</definedName>
    <definedName name="Z_101BF338_28AF_4751_A907_28F647194A1E_.wvu.Cols" localSheetId="18" hidden="1">'Print Shop'!$H:$H,'Print Shop'!$K:$K,'Print Shop'!$M:$N,'Print Shop'!$P:$W,'Print Shop'!$Y:$AM,'Print Shop'!$AO:$AO,'Print Shop'!$AQ:$AU</definedName>
    <definedName name="Z_101BF338_28AF_4751_A907_28F647194A1E_.wvu.Cols" localSheetId="12" hidden="1">'Pupil Appraisal'!$H:$H,'Pupil Appraisal'!$K:$K,'Pupil Appraisal'!$M:$N,'Pupil Appraisal'!$P:$W,'Pupil Appraisal'!$Y:$AM,'Pupil Appraisal'!$AO:$AO,'Pupil Appraisal'!$AQ:$AU</definedName>
    <definedName name="Z_101BF338_28AF_4751_A907_28F647194A1E_.wvu.Cols" localSheetId="27" hidden="1">'Sales Tax'!$H:$H,'Sales Tax'!$K:$K,'Sales Tax'!$M:$N,'Sales Tax'!$P:$W,'Sales Tax'!$Y:$AM,'Sales Tax'!$AO:$AO,'Sales Tax'!$AQ:$AU</definedName>
    <definedName name="Z_101BF338_28AF_4751_A907_28F647194A1E_.wvu.Cols" localSheetId="10" hidden="1">SpecialEd!$H:$H,SpecialEd!$K:$K,SpecialEd!$M:$N,SpecialEd!$P:$W,SpecialEd!$Y:$AM,SpecialEd!$AO:$AO,SpecialEd!$AQ:$AU</definedName>
    <definedName name="Z_101BF338_28AF_4751_A907_28F647194A1E_.wvu.Cols" localSheetId="13" hidden="1">'SpeechLang Therapy'!$H:$H,'SpeechLang Therapy'!$K:$K,'SpeechLang Therapy'!$M:$N,'SpeechLang Therapy'!$P:$W,'SpeechLang Therapy'!$Y:$AM,'SpeechLang Therapy'!$AO:$AO,'SpeechLang Therapy'!$AQ:$AU</definedName>
    <definedName name="Z_101BF338_28AF_4751_A907_28F647194A1E_.wvu.Cols" localSheetId="1" hidden="1">Superintendent!$H:$H,Superintendent!$K:$K,Superintendent!$M:$N,Superintendent!$P:$W,Superintendent!$Y:$AM,Superintendent!$AO:$AO,Superintendent!$AQ:$AU</definedName>
    <definedName name="Z_101BF338_28AF_4751_A907_28F647194A1E_.wvu.Cols" localSheetId="26" hidden="1">Technology!$H:$H,Technology!$K:$K,Technology!$M:$N,Technology!$P:$W,Technology!$Y:$AM,Technology!$AO:$AO,Technology!$AQ:$AU</definedName>
    <definedName name="Z_101BF338_28AF_4751_A907_28F647194A1E_.wvu.Cols" localSheetId="16" hidden="1">Testing!$H:$H,Testing!$K:$K,Testing!$M:$N,Testing!$P:$W,Testing!$Y:$AM,Testing!$AO:$AO,Testing!$AQ:$AU</definedName>
    <definedName name="Z_101BF338_28AF_4751_A907_28F647194A1E_.wvu.Cols" localSheetId="29" hidden="1">Transportation!$H:$H,Transportation!$K:$K,Transportation!$M:$N,Transportation!$P:$W,Transportation!$Y:$AM,Transportation!$AO:$AO,Transportation!$AQ:$AU</definedName>
    <definedName name="Z_101BF338_28AF_4751_A907_28F647194A1E_.wvu.Cols" localSheetId="32" hidden="1">Utilities!$H:$H,Utilities!$K:$K,Utilities!$M:$N,Utilities!$P:$W,Utilities!$Y:$AM,Utilities!$AO:$AO,Utilities!$AQ:$AU</definedName>
    <definedName name="Z_101BF338_28AF_4751_A907_28F647194A1E_.wvu.Cols" localSheetId="28" hidden="1">Warehouse!$H:$H,Warehouse!$K:$K,Warehouse!$M:$N,Warehouse!$P:$W,Warehouse!$Y:$AM,Warehouse!$AO:$AO,Warehouse!$AQ:$AU</definedName>
    <definedName name="Z_101BF338_28AF_4751_A907_28F647194A1E_.wvu.FilterData" localSheetId="21" hidden="1">AccountingPurchasing!$A$9:$BH$35</definedName>
    <definedName name="Z_101BF338_28AF_4751_A907_28F647194A1E_.wvu.FilterData" localSheetId="22" hidden="1">'Accounts Payable'!$A$9:$BH$21</definedName>
    <definedName name="Z_101BF338_28AF_4751_A907_28F647194A1E_.wvu.FilterData" localSheetId="9" hidden="1">'Adult Ed'!$A$9:$BH$24</definedName>
    <definedName name="Z_101BF338_28AF_4751_A907_28F647194A1E_.wvu.FilterData" localSheetId="0" hidden="1">Board!$A$9:$BI$26</definedName>
    <definedName name="Z_101BF338_28AF_4751_A907_28F647194A1E_.wvu.FilterData" localSheetId="3" hidden="1">'C&amp;I'!$A$9:$BH$61</definedName>
    <definedName name="Z_101BF338_28AF_4751_A907_28F647194A1E_.wvu.FilterData" localSheetId="8" hidden="1">'CareerTech Ed'!$A$9:$BH$66</definedName>
    <definedName name="Z_101BF338_28AF_4751_A907_28F647194A1E_.wvu.FilterData" localSheetId="14" hidden="1">'Child Welfare'!$A$9:$BH$23</definedName>
    <definedName name="Z_101BF338_28AF_4751_A907_28F647194A1E_.wvu.FilterData" localSheetId="5" hidden="1">'Elem Instructional'!$A$9:$BH$27</definedName>
    <definedName name="Z_101BF338_28AF_4751_A907_28F647194A1E_.wvu.FilterData" localSheetId="4" hidden="1">Elementary!$A$9:$BH$62</definedName>
    <definedName name="Z_101BF338_28AF_4751_A907_28F647194A1E_.wvu.FilterData" localSheetId="33" hidden="1">'Employee Bene'!$A$9:$BH$26</definedName>
    <definedName name="Z_101BF338_28AF_4751_A907_28F647194A1E_.wvu.FilterData" localSheetId="20" hidden="1">Finance!$A$9:$BH$18</definedName>
    <definedName name="Z_101BF338_28AF_4751_A907_28F647194A1E_.wvu.FilterData" localSheetId="35" hidden="1">'Food Svc-D27 Debt-Transfers'!$A$9:$BH$23</definedName>
    <definedName name="Z_101BF338_28AF_4751_A907_28F647194A1E_.wvu.FilterData" localSheetId="11" hidden="1">GiftedTalented!$A$9:$BH$56</definedName>
    <definedName name="Z_101BF338_28AF_4751_A907_28F647194A1E_.wvu.FilterData" localSheetId="7" hidden="1">'High Schools'!$A$9:$BH$132</definedName>
    <definedName name="Z_101BF338_28AF_4751_A907_28F647194A1E_.wvu.FilterData" localSheetId="24" hidden="1">Insurance!$A$9:$BH$30</definedName>
    <definedName name="Z_101BF338_28AF_4751_A907_28F647194A1E_.wvu.FilterData" localSheetId="2" hidden="1">'Internal Audit'!$A$9:$BH$21</definedName>
    <definedName name="Z_101BF338_28AF_4751_A907_28F647194A1E_.wvu.FilterData" localSheetId="17" hidden="1">LibraryMedia!$A$9:$BH$43</definedName>
    <definedName name="Z_101BF338_28AF_4751_A907_28F647194A1E_.wvu.FilterData" localSheetId="30" hidden="1">Maintenance!$A$9:$BH$102</definedName>
    <definedName name="Z_101BF338_28AF_4751_A907_28F647194A1E_.wvu.FilterData" localSheetId="6" hidden="1">Middle!$A$9:$BH$96</definedName>
    <definedName name="Z_101BF338_28AF_4751_A907_28F647194A1E_.wvu.FilterData" localSheetId="25" hidden="1">MIS!$A$9:$BH$29</definedName>
    <definedName name="Z_101BF338_28AF_4751_A907_28F647194A1E_.wvu.FilterData" localSheetId="15" hidden="1">Nursing!$A$9:$BH$23</definedName>
    <definedName name="Z_101BF338_28AF_4751_A907_28F647194A1E_.wvu.FilterData" localSheetId="34" hidden="1">'Other Misc Grants'!$A$9:$BH$34</definedName>
    <definedName name="Z_101BF338_28AF_4751_A907_28F647194A1E_.wvu.FilterData" localSheetId="23" hidden="1">Payroll!$A$9:$BH$21</definedName>
    <definedName name="Z_101BF338_28AF_4751_A907_28F647194A1E_.wvu.FilterData" localSheetId="19" hidden="1">Personnel!$A$9:$BH$28</definedName>
    <definedName name="Z_101BF338_28AF_4751_A907_28F647194A1E_.wvu.FilterData" localSheetId="31" hidden="1">'Planning and Construction'!$A$9:$BH$37</definedName>
    <definedName name="Z_101BF338_28AF_4751_A907_28F647194A1E_.wvu.FilterData" localSheetId="18" hidden="1">'Print Shop'!$A$9:$BH$20</definedName>
    <definedName name="Z_101BF338_28AF_4751_A907_28F647194A1E_.wvu.FilterData" localSheetId="12" hidden="1">'Pupil Appraisal'!$A$9:$BH$31</definedName>
    <definedName name="Z_101BF338_28AF_4751_A907_28F647194A1E_.wvu.FilterData" localSheetId="27" hidden="1">'Sales Tax'!$A$9:$BH$33</definedName>
    <definedName name="Z_101BF338_28AF_4751_A907_28F647194A1E_.wvu.FilterData" localSheetId="10" hidden="1">SpecialEd!$A$9:$BH$41</definedName>
    <definedName name="Z_101BF338_28AF_4751_A907_28F647194A1E_.wvu.FilterData" localSheetId="13" hidden="1">'SpeechLang Therapy'!$A$9:$BH$26</definedName>
    <definedName name="Z_101BF338_28AF_4751_A907_28F647194A1E_.wvu.FilterData" localSheetId="1" hidden="1">Superintendent!$A$9:$BH$22</definedName>
    <definedName name="Z_101BF338_28AF_4751_A907_28F647194A1E_.wvu.FilterData" localSheetId="26" hidden="1">Technology!$A$9:$BH$51</definedName>
    <definedName name="Z_101BF338_28AF_4751_A907_28F647194A1E_.wvu.FilterData" localSheetId="16" hidden="1">Testing!$A$9:$BH$31</definedName>
    <definedName name="Z_101BF338_28AF_4751_A907_28F647194A1E_.wvu.FilterData" localSheetId="29" hidden="1">Transportation!$A$9:$BH$103</definedName>
    <definedName name="Z_101BF338_28AF_4751_A907_28F647194A1E_.wvu.FilterData" localSheetId="32" hidden="1">Utilities!$A$9:$BH$25</definedName>
    <definedName name="Z_101BF338_28AF_4751_A907_28F647194A1E_.wvu.FilterData" localSheetId="28" hidden="1">Warehouse!$A$9:$BH$32</definedName>
    <definedName name="Z_101BF338_28AF_4751_A907_28F647194A1E_.wvu.PrintArea" localSheetId="21" hidden="1">AccountingPurchasing!$A:$BA</definedName>
    <definedName name="Z_101BF338_28AF_4751_A907_28F647194A1E_.wvu.PrintArea" localSheetId="22" hidden="1">'Accounts Payable'!$A:$BA</definedName>
    <definedName name="Z_101BF338_28AF_4751_A907_28F647194A1E_.wvu.PrintArea" localSheetId="9" hidden="1">'Adult Ed'!$A:$BA</definedName>
    <definedName name="Z_101BF338_28AF_4751_A907_28F647194A1E_.wvu.PrintArea" localSheetId="0" hidden="1">Board!$A:$AZ</definedName>
    <definedName name="Z_101BF338_28AF_4751_A907_28F647194A1E_.wvu.PrintArea" localSheetId="3" hidden="1">'C&amp;I'!$A:$AZ</definedName>
    <definedName name="Z_101BF338_28AF_4751_A907_28F647194A1E_.wvu.PrintArea" localSheetId="8" hidden="1">'CareerTech Ed'!$A:$BA</definedName>
    <definedName name="Z_101BF338_28AF_4751_A907_28F647194A1E_.wvu.PrintArea" localSheetId="14" hidden="1">'Child Welfare'!$A:$BA</definedName>
    <definedName name="Z_101BF338_28AF_4751_A907_28F647194A1E_.wvu.PrintArea" localSheetId="5" hidden="1">'Elem Instructional'!$A:$BA</definedName>
    <definedName name="Z_101BF338_28AF_4751_A907_28F647194A1E_.wvu.PrintArea" localSheetId="4" hidden="1">Elementary!$A:$BA</definedName>
    <definedName name="Z_101BF338_28AF_4751_A907_28F647194A1E_.wvu.PrintArea" localSheetId="33" hidden="1">'Employee Bene'!$A:$BA</definedName>
    <definedName name="Z_101BF338_28AF_4751_A907_28F647194A1E_.wvu.PrintArea" localSheetId="20" hidden="1">Finance!$A:$BA</definedName>
    <definedName name="Z_101BF338_28AF_4751_A907_28F647194A1E_.wvu.PrintArea" localSheetId="35" hidden="1">'Food Svc-D27 Debt-Transfers'!$A:$BA</definedName>
    <definedName name="Z_101BF338_28AF_4751_A907_28F647194A1E_.wvu.PrintArea" localSheetId="11" hidden="1">GiftedTalented!$A:$BA</definedName>
    <definedName name="Z_101BF338_28AF_4751_A907_28F647194A1E_.wvu.PrintArea" localSheetId="7" hidden="1">'High Schools'!$A:$BA</definedName>
    <definedName name="Z_101BF338_28AF_4751_A907_28F647194A1E_.wvu.PrintArea" localSheetId="24" hidden="1">Insurance!$A:$BA</definedName>
    <definedName name="Z_101BF338_28AF_4751_A907_28F647194A1E_.wvu.PrintArea" localSheetId="2" hidden="1">'Internal Audit'!$A:$AZ</definedName>
    <definedName name="Z_101BF338_28AF_4751_A907_28F647194A1E_.wvu.PrintArea" localSheetId="17" hidden="1">LibraryMedia!$A:$BA</definedName>
    <definedName name="Z_101BF338_28AF_4751_A907_28F647194A1E_.wvu.PrintArea" localSheetId="30" hidden="1">Maintenance!$A:$AZ</definedName>
    <definedName name="Z_101BF338_28AF_4751_A907_28F647194A1E_.wvu.PrintArea" localSheetId="6" hidden="1">Middle!$A:$BA</definedName>
    <definedName name="Z_101BF338_28AF_4751_A907_28F647194A1E_.wvu.PrintArea" localSheetId="25" hidden="1">MIS!$A:$BA</definedName>
    <definedName name="Z_101BF338_28AF_4751_A907_28F647194A1E_.wvu.PrintArea" localSheetId="15" hidden="1">Nursing!$A:$BA</definedName>
    <definedName name="Z_101BF338_28AF_4751_A907_28F647194A1E_.wvu.PrintArea" localSheetId="34" hidden="1">'Other Misc Grants'!$A:$BA</definedName>
    <definedName name="Z_101BF338_28AF_4751_A907_28F647194A1E_.wvu.PrintArea" localSheetId="23" hidden="1">Payroll!$A:$BA</definedName>
    <definedName name="Z_101BF338_28AF_4751_A907_28F647194A1E_.wvu.PrintArea" localSheetId="19" hidden="1">Personnel!$A:$BA</definedName>
    <definedName name="Z_101BF338_28AF_4751_A907_28F647194A1E_.wvu.PrintArea" localSheetId="31" hidden="1">'Planning and Construction'!$A:$AZ</definedName>
    <definedName name="Z_101BF338_28AF_4751_A907_28F647194A1E_.wvu.PrintArea" localSheetId="18" hidden="1">'Print Shop'!$A:$BA</definedName>
    <definedName name="Z_101BF338_28AF_4751_A907_28F647194A1E_.wvu.PrintArea" localSheetId="12" hidden="1">'Pupil Appraisal'!$A:$BA</definedName>
    <definedName name="Z_101BF338_28AF_4751_A907_28F647194A1E_.wvu.PrintArea" localSheetId="27" hidden="1">'Sales Tax'!$A:$BA</definedName>
    <definedName name="Z_101BF338_28AF_4751_A907_28F647194A1E_.wvu.PrintArea" localSheetId="10" hidden="1">SpecialEd!$A:$BA</definedName>
    <definedName name="Z_101BF338_28AF_4751_A907_28F647194A1E_.wvu.PrintArea" localSheetId="13" hidden="1">'SpeechLang Therapy'!$A:$BA</definedName>
    <definedName name="Z_101BF338_28AF_4751_A907_28F647194A1E_.wvu.PrintArea" localSheetId="1" hidden="1">Superintendent!$A:$AZ</definedName>
    <definedName name="Z_101BF338_28AF_4751_A907_28F647194A1E_.wvu.PrintArea" localSheetId="26" hidden="1">Technology!$A:$BA</definedName>
    <definedName name="Z_101BF338_28AF_4751_A907_28F647194A1E_.wvu.PrintArea" localSheetId="16" hidden="1">Testing!$A:$BA</definedName>
    <definedName name="Z_101BF338_28AF_4751_A907_28F647194A1E_.wvu.PrintArea" localSheetId="29" hidden="1">Transportation!$A:$BA</definedName>
    <definedName name="Z_101BF338_28AF_4751_A907_28F647194A1E_.wvu.PrintArea" localSheetId="32" hidden="1">Utilities!$A:$BA</definedName>
    <definedName name="Z_101BF338_28AF_4751_A907_28F647194A1E_.wvu.PrintArea" localSheetId="28" hidden="1">Warehouse!$A:$BA</definedName>
    <definedName name="Z_101BF338_28AF_4751_A907_28F647194A1E_.wvu.PrintTitles" localSheetId="21" hidden="1">AccountingPurchasing!$1:$8</definedName>
    <definedName name="Z_101BF338_28AF_4751_A907_28F647194A1E_.wvu.PrintTitles" localSheetId="22" hidden="1">'Accounts Payable'!$1:$8</definedName>
    <definedName name="Z_101BF338_28AF_4751_A907_28F647194A1E_.wvu.PrintTitles" localSheetId="9" hidden="1">'Adult Ed'!$1:$8</definedName>
    <definedName name="Z_101BF338_28AF_4751_A907_28F647194A1E_.wvu.PrintTitles" localSheetId="0" hidden="1">Board!$1:$8</definedName>
    <definedName name="Z_101BF338_28AF_4751_A907_28F647194A1E_.wvu.PrintTitles" localSheetId="3" hidden="1">'C&amp;I'!$1:$8</definedName>
    <definedName name="Z_101BF338_28AF_4751_A907_28F647194A1E_.wvu.PrintTitles" localSheetId="8" hidden="1">'CareerTech Ed'!$1:$8</definedName>
    <definedName name="Z_101BF338_28AF_4751_A907_28F647194A1E_.wvu.PrintTitles" localSheetId="14" hidden="1">'Child Welfare'!$1:$8</definedName>
    <definedName name="Z_101BF338_28AF_4751_A907_28F647194A1E_.wvu.PrintTitles" localSheetId="5" hidden="1">'Elem Instructional'!$1:$8</definedName>
    <definedName name="Z_101BF338_28AF_4751_A907_28F647194A1E_.wvu.PrintTitles" localSheetId="4" hidden="1">Elementary!$1:$8</definedName>
    <definedName name="Z_101BF338_28AF_4751_A907_28F647194A1E_.wvu.PrintTitles" localSheetId="33" hidden="1">'Employee Bene'!$1:$8</definedName>
    <definedName name="Z_101BF338_28AF_4751_A907_28F647194A1E_.wvu.PrintTitles" localSheetId="20" hidden="1">Finance!$1:$8</definedName>
    <definedName name="Z_101BF338_28AF_4751_A907_28F647194A1E_.wvu.PrintTitles" localSheetId="35" hidden="1">'Food Svc-D27 Debt-Transfers'!$1:$8</definedName>
    <definedName name="Z_101BF338_28AF_4751_A907_28F647194A1E_.wvu.PrintTitles" localSheetId="11" hidden="1">GiftedTalented!$1:$8</definedName>
    <definedName name="Z_101BF338_28AF_4751_A907_28F647194A1E_.wvu.PrintTitles" localSheetId="7" hidden="1">'High Schools'!$1:$8</definedName>
    <definedName name="Z_101BF338_28AF_4751_A907_28F647194A1E_.wvu.PrintTitles" localSheetId="24" hidden="1">Insurance!$1:$8</definedName>
    <definedName name="Z_101BF338_28AF_4751_A907_28F647194A1E_.wvu.PrintTitles" localSheetId="2" hidden="1">'Internal Audit'!$1:$8</definedName>
    <definedName name="Z_101BF338_28AF_4751_A907_28F647194A1E_.wvu.PrintTitles" localSheetId="17" hidden="1">LibraryMedia!$1:$8</definedName>
    <definedName name="Z_101BF338_28AF_4751_A907_28F647194A1E_.wvu.PrintTitles" localSheetId="30" hidden="1">Maintenance!$1:$8</definedName>
    <definedName name="Z_101BF338_28AF_4751_A907_28F647194A1E_.wvu.PrintTitles" localSheetId="6" hidden="1">Middle!$1:$8</definedName>
    <definedName name="Z_101BF338_28AF_4751_A907_28F647194A1E_.wvu.PrintTitles" localSheetId="25" hidden="1">MIS!$1:$8</definedName>
    <definedName name="Z_101BF338_28AF_4751_A907_28F647194A1E_.wvu.PrintTitles" localSheetId="15" hidden="1">Nursing!$1:$8</definedName>
    <definedName name="Z_101BF338_28AF_4751_A907_28F647194A1E_.wvu.PrintTitles" localSheetId="34" hidden="1">'Other Misc Grants'!$1:$8</definedName>
    <definedName name="Z_101BF338_28AF_4751_A907_28F647194A1E_.wvu.PrintTitles" localSheetId="23" hidden="1">Payroll!$1:$8</definedName>
    <definedName name="Z_101BF338_28AF_4751_A907_28F647194A1E_.wvu.PrintTitles" localSheetId="19" hidden="1">Personnel!$1:$8</definedName>
    <definedName name="Z_101BF338_28AF_4751_A907_28F647194A1E_.wvu.PrintTitles" localSheetId="31" hidden="1">'Planning and Construction'!$1:$8</definedName>
    <definedName name="Z_101BF338_28AF_4751_A907_28F647194A1E_.wvu.PrintTitles" localSheetId="18" hidden="1">'Print Shop'!$1:$8</definedName>
    <definedName name="Z_101BF338_28AF_4751_A907_28F647194A1E_.wvu.PrintTitles" localSheetId="12" hidden="1">'Pupil Appraisal'!$1:$8</definedName>
    <definedName name="Z_101BF338_28AF_4751_A907_28F647194A1E_.wvu.PrintTitles" localSheetId="27" hidden="1">'Sales Tax'!$1:$8</definedName>
    <definedName name="Z_101BF338_28AF_4751_A907_28F647194A1E_.wvu.PrintTitles" localSheetId="10" hidden="1">SpecialEd!$1:$8</definedName>
    <definedName name="Z_101BF338_28AF_4751_A907_28F647194A1E_.wvu.PrintTitles" localSheetId="13" hidden="1">'SpeechLang Therapy'!$1:$8</definedName>
    <definedName name="Z_101BF338_28AF_4751_A907_28F647194A1E_.wvu.PrintTitles" localSheetId="1" hidden="1">Superintendent!$1:$8</definedName>
    <definedName name="Z_101BF338_28AF_4751_A907_28F647194A1E_.wvu.PrintTitles" localSheetId="26" hidden="1">Technology!$1:$8</definedName>
    <definedName name="Z_101BF338_28AF_4751_A907_28F647194A1E_.wvu.PrintTitles" localSheetId="16" hidden="1">Testing!$1:$8</definedName>
    <definedName name="Z_101BF338_28AF_4751_A907_28F647194A1E_.wvu.PrintTitles" localSheetId="29" hidden="1">Transportation!$1:$8</definedName>
    <definedName name="Z_101BF338_28AF_4751_A907_28F647194A1E_.wvu.PrintTitles" localSheetId="32" hidden="1">Utilities!$1:$8</definedName>
    <definedName name="Z_101BF338_28AF_4751_A907_28F647194A1E_.wvu.PrintTitles" localSheetId="28" hidden="1">Warehouse!$1:$8</definedName>
    <definedName name="Z_101BF338_28AF_4751_A907_28F647194A1E_.wvu.Rows" localSheetId="21" hidden="1">AccountingPurchasing!#REF!,AccountingPurchasing!#REF!,AccountingPurchasing!#REF!,AccountingPurchasing!#REF!,AccountingPurchasing!#REF!,AccountingPurchasing!#REF!,AccountingPurchasing!#REF!,AccountingPurchasing!#REF!,AccountingPurchasing!#REF!,AccountingPurchasing!#REF!,AccountingPurchasing!#REF!,AccountingPurchasing!#REF!,AccountingPurchasing!#REF!,AccountingPurchasing!#REF!,AccountingPurchasing!#REF!,AccountingPurchasing!#REF!,AccountingPurchasing!#REF!,AccountingPurchasing!#REF!,AccountingPurchasing!#REF!,AccountingPurchasing!#REF!,AccountingPurchasing!#REF!,AccountingPurchasing!#REF!,AccountingPurchasing!#REF!,AccountingPurchasing!#REF!,AccountingPurchasing!#REF!,AccountingPurchasing!#REF!,AccountingPurchasing!$10:$33,AccountingPurchasing!#REF!,AccountingPurchasing!#REF!,AccountingPurchasing!#REF!,AccountingPurchasing!#REF!,AccountingPurchasing!#REF!,AccountingPurchasing!#REF!,AccountingPurchasing!#REF!,AccountingPurchasing!#REF!,AccountingPurchasing!#REF!</definedName>
    <definedName name="Z_101BF338_28AF_4751_A907_28F647194A1E_.wvu.Rows" localSheetId="22" hidden="1">'Accounts Payable'!#REF!,'Accounts Payable'!#REF!,'Accounts Payable'!#REF!,'Accounts Payable'!#REF!,'Accounts Payable'!#REF!,'Accounts Payable'!#REF!,'Accounts Payable'!#REF!,'Accounts Payable'!#REF!,'Accounts Payable'!#REF!,'Accounts Payable'!#REF!,'Accounts Payable'!#REF!,'Accounts Payable'!#REF!,'Accounts Payable'!#REF!,'Accounts Payable'!#REF!,'Accounts Payable'!#REF!,'Accounts Payable'!#REF!,'Accounts Payable'!#REF!,'Accounts Payable'!#REF!,'Accounts Payable'!#REF!,'Accounts Payable'!#REF!,'Accounts Payable'!#REF!,'Accounts Payable'!#REF!,'Accounts Payable'!#REF!,'Accounts Payable'!#REF!,'Accounts Payable'!#REF!,'Accounts Payable'!#REF!,'Accounts Payable'!#REF!,'Accounts Payable'!$10:$20,'Accounts Payable'!#REF!,'Accounts Payable'!#REF!,'Accounts Payable'!#REF!,'Accounts Payable'!#REF!,'Accounts Payable'!#REF!,'Accounts Payable'!#REF!,'Accounts Payable'!#REF!,'Accounts Payable'!#REF!</definedName>
    <definedName name="Z_101BF338_28AF_4751_A907_28F647194A1E_.wvu.Rows" localSheetId="9" hidden="1">'Adult Ed'!#REF!,'Adult Ed'!#REF!,'Adult Ed'!#REF!,'Adult Ed'!#REF!,'Adult Ed'!#REF!,'Adult Ed'!#REF!,'Adult Ed'!#REF!,'Adult Ed'!#REF!,'Adult Ed'!#REF!,'Adult Ed'!#REF!,'Adult Ed'!#REF!,'Adult Ed'!$11:$23,'Adult Ed'!#REF!,'Adult Ed'!#REF!,'Adult Ed'!#REF!,'Adult Ed'!#REF!,'Adult Ed'!#REF!,'Adult Ed'!#REF!,'Adult Ed'!#REF!,'Adult Ed'!#REF!,'Adult Ed'!#REF!,'Adult Ed'!#REF!,'Adult Ed'!#REF!,'Adult Ed'!#REF!,'Adult Ed'!#REF!,'Adult Ed'!#REF!,'Adult Ed'!#REF!,'Adult Ed'!#REF!,'Adult Ed'!#REF!,'Adult Ed'!#REF!,'Adult Ed'!#REF!,'Adult Ed'!#REF!,'Adult Ed'!#REF!,'Adult Ed'!#REF!,'Adult Ed'!#REF!,'Adult Ed'!#REF!</definedName>
    <definedName name="Z_101BF338_28AF_4751_A907_28F647194A1E_.wvu.Rows" localSheetId="0" hidden="1">Board!$10:$24,Board!#REF!,Board!#REF!,Board!#REF!,Board!#REF!,Board!#REF!,Board!#REF!,Board!#REF!,Board!#REF!,Board!#REF!,Board!#REF!,Board!#REF!,Board!#REF!,Board!#REF!,Board!#REF!,Board!#REF!,Board!#REF!,Board!#REF!,Board!#REF!,Board!#REF!,Board!#REF!,Board!#REF!,Board!#REF!,Board!#REF!,Board!#REF!,Board!#REF!,Board!#REF!,Board!#REF!,Board!#REF!,Board!#REF!,Board!#REF!,Board!#REF!,Board!#REF!,Board!#REF!,Board!#REF!,Board!#REF!</definedName>
    <definedName name="Z_101BF338_28AF_4751_A907_28F647194A1E_.wvu.Rows" localSheetId="3" hidden="1">'C&amp;I'!#REF!,'C&amp;I'!#REF!,'C&amp;I'!#REF!,'C&amp;I'!#REF!,'C&amp;I'!#REF!,'C&amp;I'!$10:$59,'C&amp;I'!#REF!,'C&amp;I'!#REF!,'C&amp;I'!#REF!,'C&amp;I'!#REF!,'C&amp;I'!#REF!,'C&amp;I'!#REF!,'C&amp;I'!#REF!,'C&amp;I'!#REF!,'C&amp;I'!#REF!,'C&amp;I'!#REF!,'C&amp;I'!#REF!,'C&amp;I'!#REF!,'C&amp;I'!#REF!,'C&amp;I'!#REF!,'C&amp;I'!#REF!,'C&amp;I'!#REF!,'C&amp;I'!#REF!,'C&amp;I'!#REF!,'C&amp;I'!#REF!,'C&amp;I'!#REF!,'C&amp;I'!#REF!,'C&amp;I'!#REF!,'C&amp;I'!#REF!,'C&amp;I'!#REF!,'C&amp;I'!#REF!,'C&amp;I'!#REF!,'C&amp;I'!#REF!,'C&amp;I'!#REF!,'C&amp;I'!#REF!,'C&amp;I'!#REF!</definedName>
    <definedName name="Z_101BF338_28AF_4751_A907_28F647194A1E_.wvu.Rows" localSheetId="8" hidden="1">'CareerTech Ed'!#REF!,'CareerTech Ed'!#REF!,'CareerTech Ed'!#REF!,'CareerTech Ed'!#REF!,'CareerTech Ed'!#REF!,'CareerTech Ed'!#REF!,'CareerTech Ed'!#REF!,'CareerTech Ed'!#REF!,'CareerTech Ed'!#REF!,'CareerTech Ed'!$10:$64,'CareerTech Ed'!#REF!,'CareerTech Ed'!#REF!,'CareerTech Ed'!#REF!,'CareerTech Ed'!#REF!,'CareerTech Ed'!#REF!,'CareerTech Ed'!#REF!,'CareerTech Ed'!#REF!,'CareerTech Ed'!#REF!,'CareerTech Ed'!#REF!,'CareerTech Ed'!#REF!,'CareerTech Ed'!#REF!,'CareerTech Ed'!#REF!,'CareerTech Ed'!#REF!,'CareerTech Ed'!#REF!,'CareerTech Ed'!#REF!,'CareerTech Ed'!#REF!,'CareerTech Ed'!#REF!,'CareerTech Ed'!#REF!,'CareerTech Ed'!#REF!,'CareerTech Ed'!#REF!,'CareerTech Ed'!#REF!,'CareerTech Ed'!#REF!,'CareerTech Ed'!#REF!,'CareerTech Ed'!#REF!,'CareerTech Ed'!#REF!,'CareerTech Ed'!#REF!</definedName>
    <definedName name="Z_101BF338_28AF_4751_A907_28F647194A1E_.wvu.Rows" localSheetId="14" hidden="1">'Child Welfare'!#REF!,'Child Welfare'!#REF!,'Child Welfare'!#REF!,'Child Welfare'!#REF!,'Child Welfare'!#REF!,'Child Welfare'!#REF!,'Child Welfare'!#REF!,'Child Welfare'!#REF!,'Child Welfare'!#REF!,'Child Welfare'!#REF!,'Child Welfare'!#REF!,'Child Welfare'!#REF!,'Child Welfare'!#REF!,'Child Welfare'!$10:$22,'Child Welfare'!#REF!,'Child Welfare'!#REF!,'Child Welfare'!#REF!,'Child Welfare'!#REF!,'Child Welfare'!#REF!,'Child Welfare'!#REF!,'Child Welfare'!#REF!,'Child Welfare'!#REF!,'Child Welfare'!#REF!,'Child Welfare'!#REF!,'Child Welfare'!#REF!,'Child Welfare'!#REF!,'Child Welfare'!#REF!,'Child Welfare'!#REF!,'Child Welfare'!#REF!,'Child Welfare'!#REF!,'Child Welfare'!#REF!,'Child Welfare'!#REF!,'Child Welfare'!#REF!,'Child Welfare'!#REF!,'Child Welfare'!#REF!,'Child Welfare'!#REF!</definedName>
    <definedName name="Z_101BF338_28AF_4751_A907_28F647194A1E_.wvu.Rows" localSheetId="5" hidden="1">'Elem Instructional'!#REF!,'Elem Instructional'!#REF!,'Elem Instructional'!#REF!,'Elem Instructional'!#REF!,'Elem Instructional'!#REF!,'Elem Instructional'!#REF!,'Elem Instructional'!#REF!,'Elem Instructional'!$10:$25,'Elem Instructional'!#REF!,'Elem Instructional'!#REF!,'Elem Instructional'!#REF!,'Elem Instructional'!#REF!,'Elem Instructional'!#REF!,'Elem Instructional'!#REF!,'Elem Instructional'!#REF!,'Elem Instructional'!#REF!,'Elem Instructional'!#REF!,'Elem Instructional'!#REF!,'Elem Instructional'!#REF!,'Elem Instructional'!#REF!,'Elem Instructional'!#REF!,'Elem Instructional'!#REF!,'Elem Instructional'!#REF!,'Elem Instructional'!#REF!,'Elem Instructional'!#REF!,'Elem Instructional'!#REF!,'Elem Instructional'!#REF!,'Elem Instructional'!#REF!,'Elem Instructional'!#REF!,'Elem Instructional'!#REF!,'Elem Instructional'!#REF!,'Elem Instructional'!#REF!,'Elem Instructional'!#REF!,'Elem Instructional'!#REF!,'Elem Instructional'!#REF!,'Elem Instructional'!#REF!</definedName>
    <definedName name="Z_101BF338_28AF_4751_A907_28F647194A1E_.wvu.Rows" localSheetId="4" hidden="1">Elementary!#REF!,Elementary!#REF!,Elementary!#REF!,Elementary!#REF!,Elementary!#REF!,Elementary!#REF!,Elementary!$10:$60,Elementary!#REF!,Elementary!#REF!,Elementary!#REF!,Elementary!#REF!,Elementary!#REF!,Elementary!#REF!,Elementary!#REF!,Elementary!#REF!,Elementary!#REF!,Elementary!#REF!,Elementary!#REF!,Elementary!#REF!,Elementary!#REF!,Elementary!#REF!,Elementary!#REF!,Elementary!#REF!,Elementary!#REF!,Elementary!#REF!,Elementary!#REF!,Elementary!#REF!,Elementary!#REF!,Elementary!#REF!,Elementary!#REF!,Elementary!#REF!,Elementary!#REF!,Elementary!#REF!,Elementary!#REF!,Elementary!#REF!,Elementary!#REF!</definedName>
    <definedName name="Z_101BF338_28AF_4751_A907_28F647194A1E_.wvu.Rows" localSheetId="33" hidden="1">'Employee Bene'!#REF!,'Employee Bene'!#REF!,'Employee Bene'!#REF!,'Employee Bene'!#REF!,'Employee Bene'!#REF!,'Employee Bene'!#REF!,'Employee Bene'!#REF!,'Employee Bene'!#REF!,'Employee Bene'!#REF!,'Employee Bene'!#REF!,'Employee Bene'!#REF!,'Employee Bene'!#REF!,'Employee Bene'!#REF!,'Employee Bene'!#REF!,'Employee Bene'!#REF!,'Employee Bene'!#REF!,'Employee Bene'!#REF!,'Employee Bene'!#REF!,'Employee Bene'!#REF!,'Employee Bene'!#REF!,'Employee Bene'!#REF!,'Employee Bene'!#REF!,'Employee Bene'!#REF!,'Employee Bene'!#REF!,'Employee Bene'!#REF!,'Employee Bene'!#REF!,'Employee Bene'!#REF!,'Employee Bene'!#REF!,'Employee Bene'!#REF!,'Employee Bene'!#REF!,'Employee Bene'!#REF!,'Employee Bene'!#REF!,'Employee Bene'!$10:$25,'Employee Bene'!#REF!,'Employee Bene'!#REF!,'Employee Bene'!#REF!</definedName>
    <definedName name="Z_101BF338_28AF_4751_A907_28F647194A1E_.wvu.Rows" localSheetId="20" hidden="1">Finance!#REF!,Finance!#REF!,Finance!#REF!,Finance!#REF!,Finance!#REF!,Finance!#REF!,Finance!#REF!,Finance!#REF!,Finance!#REF!,Finance!#REF!,Finance!#REF!,Finance!#REF!,Finance!#REF!,Finance!#REF!,Finance!#REF!,Finance!#REF!,Finance!#REF!,Finance!#REF!,Finance!#REF!,Finance!#REF!,Finance!#REF!,Finance!#REF!,Finance!#REF!,Finance!#REF!,Finance!$10:$17,Finance!#REF!,Finance!#REF!,Finance!#REF!,Finance!#REF!,Finance!#REF!,Finance!#REF!,Finance!#REF!,Finance!#REF!,Finance!#REF!,Finance!#REF!,Finance!#REF!</definedName>
    <definedName name="Z_101BF338_28AF_4751_A907_28F647194A1E_.wvu.Rows" localSheetId="35" hidden="1">'Food Svc-D27 Debt-Transfers'!#REF!,'Food Svc-D27 Debt-Transfers'!#REF!,'Food Svc-D27 Debt-Transfers'!#REF!,'Food Svc-D27 Debt-Transfers'!#REF!,'Food Svc-D27 Debt-Transfers'!#REF!,'Food Svc-D27 Debt-Transfers'!#REF!,'Food Svc-D27 Debt-Transfers'!#REF!,'Food Svc-D27 Debt-Transfers'!#REF!,'Food Svc-D27 Debt-Transfers'!#REF!,'Food Svc-D27 Debt-Transfers'!#REF!,'Food Svc-D27 Debt-Transfers'!#REF!,'Food Svc-D27 Debt-Transfers'!#REF!,'Food Svc-D27 Debt-Transfers'!#REF!,'Food Svc-D27 Debt-Transfers'!#REF!,'Food Svc-D27 Debt-Transfers'!#REF!,'Food Svc-D27 Debt-Transfers'!#REF!,'Food Svc-D27 Debt-Transfers'!#REF!,'Food Svc-D27 Debt-Transfers'!#REF!,'Food Svc-D27 Debt-Transfers'!#REF!,'Food Svc-D27 Debt-Transfers'!#REF!,'Food Svc-D27 Debt-Transfers'!#REF!,'Food Svc-D27 Debt-Transfers'!#REF!,'Food Svc-D27 Debt-Transfers'!#REF!,'Food Svc-D27 Debt-Transfers'!#REF!,'Food Svc-D27 Debt-Transfers'!#REF!,'Food Svc-D27 Debt-Transfers'!#REF!,'Food Svc-D27 Debt-Transfers'!#REF!,'Food Svc-D27 Debt-Transfers'!#REF!,'Food Svc-D27 Debt-Transfers'!#REF!,'Food Svc-D27 Debt-Transfers'!#REF!,'Food Svc-D27 Debt-Transfers'!#REF!,'Food Svc-D27 Debt-Transfers'!#REF!,'Food Svc-D27 Debt-Transfers'!#REF!,'Food Svc-D27 Debt-Transfers'!$10:$10,'Food Svc-D27 Debt-Transfers'!$13:$16,'Food Svc-D27 Debt-Transfers'!$19:$21</definedName>
    <definedName name="Z_101BF338_28AF_4751_A907_28F647194A1E_.wvu.Rows" localSheetId="11" hidden="1">GiftedTalented!#REF!,GiftedTalented!#REF!,GiftedTalented!#REF!,GiftedTalented!#REF!,GiftedTalented!#REF!,GiftedTalented!#REF!,GiftedTalented!#REF!,GiftedTalented!#REF!,GiftedTalented!#REF!,GiftedTalented!#REF!,GiftedTalented!#REF!,GiftedTalented!#REF!,GiftedTalented!#REF!,GiftedTalented!#REF!,GiftedTalented!#REF!,GiftedTalented!#REF!,GiftedTalented!$10:$55,GiftedTalented!#REF!,GiftedTalented!#REF!,GiftedTalented!#REF!,GiftedTalented!#REF!,GiftedTalented!#REF!,GiftedTalented!#REF!,GiftedTalented!#REF!,GiftedTalented!#REF!,GiftedTalented!#REF!,GiftedTalented!#REF!,GiftedTalented!#REF!,GiftedTalented!#REF!,GiftedTalented!#REF!,GiftedTalented!#REF!,GiftedTalented!#REF!,GiftedTalented!#REF!,GiftedTalented!#REF!,GiftedTalented!#REF!,GiftedTalented!#REF!</definedName>
    <definedName name="Z_101BF338_28AF_4751_A907_28F647194A1E_.wvu.Rows" localSheetId="7" hidden="1">'High Schools'!#REF!,'High Schools'!#REF!,'High Schools'!#REF!,'High Schools'!#REF!,'High Schools'!#REF!,'High Schools'!#REF!,'High Schools'!#REF!,'High Schools'!#REF!,'High Schools'!#REF!,'High Schools'!#REF!,'High Schools'!$10:$131,'High Schools'!#REF!,'High Schools'!#REF!,'High Schools'!#REF!,'High Schools'!#REF!,'High Schools'!#REF!,'High Schools'!#REF!,'High Schools'!#REF!,'High Schools'!#REF!,'High Schools'!#REF!,'High Schools'!#REF!,'High Schools'!#REF!,'High Schools'!#REF!,'High Schools'!#REF!,'High Schools'!#REF!,'High Schools'!#REF!,'High Schools'!#REF!,'High Schools'!#REF!,'High Schools'!#REF!,'High Schools'!#REF!,'High Schools'!#REF!,'High Schools'!#REF!,'High Schools'!#REF!,'High Schools'!#REF!,'High Schools'!#REF!,'High Schools'!#REF!</definedName>
    <definedName name="Z_101BF338_28AF_4751_A907_28F647194A1E_.wvu.Rows" localSheetId="24" hidden="1">Insurance!#REF!,Insurance!#REF!,Insurance!#REF!,Insurance!#REF!,Insurance!#REF!,Insurance!#REF!,Insurance!#REF!,Insurance!#REF!,Insurance!#REF!,Insurance!#REF!,Insurance!#REF!,Insurance!#REF!,Insurance!#REF!,Insurance!#REF!,Insurance!#REF!,Insurance!#REF!,Insurance!#REF!,Insurance!#REF!,Insurance!#REF!,Insurance!#REF!,Insurance!#REF!,Insurance!#REF!,Insurance!#REF!,Insurance!#REF!,Insurance!#REF!,Insurance!$10:$29,Insurance!#REF!,Insurance!#REF!,Insurance!#REF!,Insurance!#REF!,Insurance!#REF!,Insurance!#REF!,Insurance!#REF!,Insurance!#REF!,Insurance!#REF!,Insurance!#REF!</definedName>
    <definedName name="Z_101BF338_28AF_4751_A907_28F647194A1E_.wvu.Rows" localSheetId="2" hidden="1">'Internal Audit'!#REF!,'Internal Audit'!#REF!,'Internal Audit'!$10:$19,'Internal Audit'!#REF!,'Internal Audit'!#REF!,'Internal Audit'!#REF!,'Internal Audit'!#REF!,'Internal Audit'!#REF!,'Internal Audit'!#REF!,'Internal Audit'!#REF!,'Internal Audit'!#REF!,'Internal Audit'!#REF!,'Internal Audit'!#REF!,'Internal Audit'!#REF!,'Internal Audit'!#REF!,'Internal Audit'!#REF!,'Internal Audit'!#REF!,'Internal Audit'!#REF!,'Internal Audit'!#REF!,'Internal Audit'!#REF!,'Internal Audit'!#REF!,'Internal Audit'!#REF!,'Internal Audit'!#REF!,'Internal Audit'!#REF!,'Internal Audit'!#REF!,'Internal Audit'!#REF!,'Internal Audit'!#REF!,'Internal Audit'!#REF!,'Internal Audit'!#REF!,'Internal Audit'!#REF!,'Internal Audit'!#REF!,'Internal Audit'!#REF!,'Internal Audit'!#REF!,'Internal Audit'!#REF!,'Internal Audit'!#REF!,'Internal Audit'!#REF!</definedName>
    <definedName name="Z_101BF338_28AF_4751_A907_28F647194A1E_.wvu.Rows" localSheetId="17" hidden="1">LibraryMedia!#REF!,LibraryMedia!#REF!,LibraryMedia!#REF!,LibraryMedia!#REF!,LibraryMedia!#REF!,LibraryMedia!#REF!,LibraryMedia!#REF!,LibraryMedia!#REF!,LibraryMedia!#REF!,LibraryMedia!#REF!,LibraryMedia!#REF!,LibraryMedia!#REF!,LibraryMedia!#REF!,LibraryMedia!#REF!,LibraryMedia!$10:$42,LibraryMedia!#REF!,LibraryMedia!#REF!,LibraryMedia!#REF!,LibraryMedia!#REF!,LibraryMedia!#REF!,LibraryMedia!#REF!,LibraryMedia!#REF!,LibraryMedia!#REF!,LibraryMedia!#REF!,LibraryMedia!#REF!,LibraryMedia!#REF!,LibraryMedia!#REF!,LibraryMedia!#REF!,LibraryMedia!#REF!,LibraryMedia!#REF!,LibraryMedia!#REF!,LibraryMedia!#REF!,LibraryMedia!#REF!,LibraryMedia!#REF!,LibraryMedia!#REF!,LibraryMedia!#REF!</definedName>
    <definedName name="Z_101BF338_28AF_4751_A907_28F647194A1E_.wvu.Rows" localSheetId="30" hidden="1">Maintenance!#REF!,Maintenance!#REF!,Maintenance!#REF!,Maintenance!$10:$100,Maintenance!#REF!,Maintenance!#REF!,Maintenance!#REF!,Maintenance!#REF!,Maintenance!#REF!,Maintenance!#REF!,Maintenance!#REF!,Maintenance!#REF!,Maintenance!#REF!,Maintenance!#REF!,Maintenance!#REF!,Maintenance!#REF!,Maintenance!#REF!,Maintenance!#REF!,Maintenance!#REF!,Maintenance!#REF!,Maintenance!#REF!,Maintenance!#REF!,Maintenance!#REF!,Maintenance!#REF!,Maintenance!#REF!,Maintenance!#REF!,Maintenance!#REF!,Maintenance!#REF!,Maintenance!#REF!,Maintenance!#REF!,Maintenance!#REF!,Maintenance!#REF!,Maintenance!#REF!,Maintenance!#REF!,Maintenance!#REF!,Maintenance!#REF!</definedName>
    <definedName name="Z_101BF338_28AF_4751_A907_28F647194A1E_.wvu.Rows" localSheetId="6" hidden="1">Middle!$10:$24,Middle!#REF!,Middle!#REF!,Middle!#REF!,Middle!#REF!,Middle!#REF!,Middle!#REF!,Middle!#REF!,Middle!$25:$95,Middle!#REF!,Middle!#REF!,Middle!#REF!,Middle!#REF!,Middle!#REF!,Middle!#REF!,Middle!#REF!,Middle!#REF!,Middle!#REF!,Middle!#REF!,Middle!#REF!,Middle!#REF!,Middle!#REF!,Middle!#REF!,Middle!#REF!,Middle!#REF!,Middle!#REF!,Middle!#REF!,Middle!#REF!,Middle!#REF!,Middle!#REF!,Middle!#REF!,Middle!#REF!,Middle!#REF!,Middle!#REF!,Middle!#REF!,Middle!#REF!</definedName>
    <definedName name="Z_101BF338_28AF_4751_A907_28F647194A1E_.wvu.Rows" localSheetId="25" hidden="1">MIS!#REF!,MIS!#REF!,MIS!#REF!,MIS!#REF!,MIS!#REF!,MIS!#REF!,MIS!#REF!,MIS!#REF!,MIS!#REF!,MIS!#REF!,MIS!#REF!,MIS!#REF!,MIS!#REF!,MIS!#REF!,MIS!#REF!,MIS!#REF!,MIS!#REF!,MIS!#REF!,MIS!#REF!,MIS!#REF!,MIS!#REF!,MIS!#REF!,MIS!#REF!,MIS!#REF!,MIS!#REF!,MIS!#REF!,MIS!#REF!,MIS!#REF!,MIS!#REF!,MIS!#REF!,MIS!#REF!,MIS!$10:$28,MIS!#REF!,MIS!#REF!,MIS!#REF!,MIS!#REF!</definedName>
    <definedName name="Z_101BF338_28AF_4751_A907_28F647194A1E_.wvu.Rows" localSheetId="15" hidden="1">Nursing!#REF!,Nursing!#REF!,Nursing!#REF!,Nursing!#REF!,Nursing!#REF!,Nursing!#REF!,Nursing!#REF!,Nursing!#REF!,Nursing!#REF!,Nursing!#REF!,Nursing!#REF!,Nursing!#REF!,Nursing!#REF!,Nursing!#REF!,Nursing!#REF!,Nursing!#REF!,Nursing!#REF!,Nursing!#REF!,Nursing!#REF!,Nursing!$10:$22,Nursing!#REF!,Nursing!#REF!,Nursing!#REF!,Nursing!#REF!,Nursing!#REF!,Nursing!#REF!,Nursing!#REF!,Nursing!#REF!,Nursing!#REF!,Nursing!#REF!,Nursing!#REF!,Nursing!#REF!,Nursing!#REF!,Nursing!#REF!,Nursing!#REF!,Nursing!#REF!</definedName>
    <definedName name="Z_101BF338_28AF_4751_A907_28F647194A1E_.wvu.Rows" localSheetId="34" hidden="1">'Other Misc Grants'!#REF!,'Other Misc Grants'!#REF!,'Other Misc Grants'!#REF!,'Other Misc Grants'!#REF!,'Other Misc Grants'!#REF!,'Other Misc Grants'!#REF!,'Other Misc Grants'!#REF!,'Other Misc Grants'!#REF!,'Other Misc Grants'!#REF!,'Other Misc Grants'!#REF!,'Other Misc Grants'!#REF!,'Other Misc Grants'!#REF!,'Other Misc Grants'!#REF!,'Other Misc Grants'!#REF!,'Other Misc Grants'!#REF!,'Other Misc Grants'!#REF!,'Other Misc Grants'!#REF!,'Other Misc Grants'!#REF!,'Other Misc Grants'!#REF!,'Other Misc Grants'!#REF!,'Other Misc Grants'!#REF!,'Other Misc Grants'!#REF!,'Other Misc Grants'!#REF!,'Other Misc Grants'!$10:$33,'Other Misc Grants'!#REF!,'Other Misc Grants'!#REF!,'Other Misc Grants'!#REF!,'Other Misc Grants'!#REF!,'Other Misc Grants'!#REF!,'Other Misc Grants'!#REF!,'Other Misc Grants'!#REF!,'Other Misc Grants'!#REF!,'Other Misc Grants'!#REF!,'Other Misc Grants'!#REF!,'Other Misc Grants'!#REF!,'Other Misc Grants'!#REF!</definedName>
    <definedName name="Z_101BF338_28AF_4751_A907_28F647194A1E_.wvu.Rows" localSheetId="23" hidden="1">Payroll!#REF!,Payroll!#REF!,Payroll!#REF!,Payroll!#REF!,Payroll!#REF!,Payroll!#REF!,Payroll!#REF!,Payroll!#REF!,Payroll!#REF!,Payroll!#REF!,Payroll!#REF!,Payroll!#REF!,Payroll!#REF!,Payroll!#REF!,Payroll!#REF!,Payroll!#REF!,Payroll!#REF!,Payroll!#REF!,Payroll!#REF!,Payroll!#REF!,Payroll!#REF!,Payroll!#REF!,Payroll!#REF!,Payroll!#REF!,Payroll!#REF!,Payroll!#REF!,Payroll!#REF!,Payroll!#REF!,Payroll!$10:$20,Payroll!#REF!,Payroll!#REF!,Payroll!#REF!,Payroll!#REF!,Payroll!#REF!,Payroll!#REF!,Payroll!#REF!</definedName>
    <definedName name="Z_101BF338_28AF_4751_A907_28F647194A1E_.wvu.Rows" localSheetId="19" hidden="1">Personnel!#REF!,Personnel!#REF!,Personnel!#REF!,Personnel!#REF!,Personnel!#REF!,Personnel!#REF!,Personnel!#REF!,Personnel!#REF!,Personnel!#REF!,Personnel!#REF!,Personnel!#REF!,Personnel!#REF!,Personnel!#REF!,Personnel!#REF!,Personnel!#REF!,Personnel!#REF!,Personnel!#REF!,Personnel!#REF!,Personnel!#REF!,Personnel!#REF!,Personnel!$10:$27,Personnel!#REF!,Personnel!#REF!,Personnel!#REF!,Personnel!#REF!,Personnel!#REF!,Personnel!#REF!,Personnel!#REF!,Personnel!#REF!,Personnel!#REF!,Personnel!#REF!,Personnel!#REF!,Personnel!#REF!,Personnel!#REF!,Personnel!#REF!,Personnel!#REF!</definedName>
    <definedName name="Z_101BF338_28AF_4751_A907_28F647194A1E_.wvu.Rows" localSheetId="31" hidden="1">'Planning and Construction'!#REF!,'Planning and Construction'!#REF!,'Planning and Construction'!#REF!,'Planning and Construction'!#REF!,'Planning and Construction'!$10:$36,'Planning and Construction'!#REF!,'Planning and Construction'!#REF!,'Planning and Construction'!#REF!,'Planning and Construction'!#REF!,'Planning and Construction'!#REF!,'Planning and Construction'!#REF!,'Planning and Construction'!#REF!,'Planning and Construction'!#REF!,'Planning and Construction'!#REF!,'Planning and Construction'!#REF!,'Planning and Construction'!#REF!,'Planning and Construction'!#REF!,'Planning and Construction'!#REF!,'Planning and Construction'!#REF!,'Planning and Construction'!#REF!,'Planning and Construction'!#REF!,'Planning and Construction'!#REF!,'Planning and Construction'!#REF!,'Planning and Construction'!#REF!,'Planning and Construction'!#REF!,'Planning and Construction'!#REF!,'Planning and Construction'!#REF!,'Planning and Construction'!#REF!,'Planning and Construction'!#REF!,'Planning and Construction'!#REF!,'Planning and Construction'!#REF!,'Planning and Construction'!#REF!,'Planning and Construction'!#REF!,'Planning and Construction'!#REF!,'Planning and Construction'!#REF!,'Planning and Construction'!#REF!</definedName>
    <definedName name="Z_101BF338_28AF_4751_A907_28F647194A1E_.wvu.Rows" localSheetId="18" hidden="1">'Print Shop'!#REF!,'Print Shop'!#REF!,'Print Shop'!#REF!,'Print Shop'!#REF!,'Print Shop'!#REF!,'Print Shop'!#REF!,'Print Shop'!#REF!,'Print Shop'!#REF!,'Print Shop'!#REF!,'Print Shop'!#REF!,'Print Shop'!#REF!,'Print Shop'!#REF!,'Print Shop'!$10:$18,'Print Shop'!#REF!,'Print Shop'!#REF!,'Print Shop'!#REF!,'Print Shop'!#REF!,'Print Shop'!#REF!,'Print Shop'!#REF!,'Print Shop'!#REF!,'Print Shop'!#REF!,'Print Shop'!#REF!,'Print Shop'!#REF!,'Print Shop'!#REF!,'Print Shop'!#REF!,'Print Shop'!#REF!,'Print Shop'!#REF!,'Print Shop'!#REF!,'Print Shop'!#REF!,'Print Shop'!#REF!,'Print Shop'!#REF!,'Print Shop'!#REF!,'Print Shop'!#REF!,'Print Shop'!#REF!,'Print Shop'!#REF!,'Print Shop'!#REF!</definedName>
    <definedName name="Z_101BF338_28AF_4751_A907_28F647194A1E_.wvu.Rows" localSheetId="12" hidden="1">'Pupil Appraisal'!#REF!,'Pupil Appraisal'!#REF!,'Pupil Appraisal'!#REF!,'Pupil Appraisal'!#REF!,'Pupil Appraisal'!#REF!,'Pupil Appraisal'!#REF!,'Pupil Appraisal'!#REF!,'Pupil Appraisal'!#REF!,'Pupil Appraisal'!#REF!,'Pupil Appraisal'!#REF!,'Pupil Appraisal'!#REF!,'Pupil Appraisal'!#REF!,'Pupil Appraisal'!#REF!,'Pupil Appraisal'!#REF!,'Pupil Appraisal'!#REF!,'Pupil Appraisal'!#REF!,'Pupil Appraisal'!#REF!,'Pupil Appraisal'!$10:$30,'Pupil Appraisal'!#REF!,'Pupil Appraisal'!#REF!,'Pupil Appraisal'!#REF!,'Pupil Appraisal'!#REF!,'Pupil Appraisal'!#REF!,'Pupil Appraisal'!#REF!,'Pupil Appraisal'!#REF!,'Pupil Appraisal'!#REF!,'Pupil Appraisal'!#REF!,'Pupil Appraisal'!#REF!,'Pupil Appraisal'!#REF!,'Pupil Appraisal'!#REF!,'Pupil Appraisal'!#REF!,'Pupil Appraisal'!#REF!,'Pupil Appraisal'!#REF!,'Pupil Appraisal'!#REF!,'Pupil Appraisal'!#REF!,'Pupil Appraisal'!#REF!</definedName>
    <definedName name="Z_101BF338_28AF_4751_A907_28F647194A1E_.wvu.Rows" localSheetId="27" hidden="1">'Sales Tax'!#REF!,'Sales Tax'!#REF!,'Sales Tax'!#REF!,'Sales Tax'!#REF!,'Sales Tax'!#REF!,'Sales Tax'!#REF!,'Sales Tax'!#REF!,'Sales Tax'!#REF!,'Sales Tax'!#REF!,'Sales Tax'!#REF!,'Sales Tax'!#REF!,'Sales Tax'!#REF!,'Sales Tax'!#REF!,'Sales Tax'!#REF!,'Sales Tax'!#REF!,'Sales Tax'!#REF!,'Sales Tax'!#REF!,'Sales Tax'!#REF!,'Sales Tax'!#REF!,'Sales Tax'!#REF!,'Sales Tax'!#REF!,'Sales Tax'!#REF!,'Sales Tax'!#REF!,'Sales Tax'!#REF!,'Sales Tax'!#REF!,'Sales Tax'!#REF!,'Sales Tax'!#REF!,'Sales Tax'!#REF!,'Sales Tax'!#REF!,'Sales Tax'!$10:$32,'Sales Tax'!#REF!,'Sales Tax'!#REF!,'Sales Tax'!#REF!,'Sales Tax'!#REF!,'Sales Tax'!#REF!,'Sales Tax'!#REF!</definedName>
    <definedName name="Z_101BF338_28AF_4751_A907_28F647194A1E_.wvu.Rows" localSheetId="10" hidden="1">SpecialEd!#REF!,SpecialEd!#REF!,SpecialEd!#REF!,SpecialEd!#REF!,SpecialEd!#REF!,SpecialEd!#REF!,SpecialEd!#REF!,SpecialEd!#REF!,SpecialEd!#REF!,SpecialEd!#REF!,SpecialEd!#REF!,SpecialEd!#REF!,SpecialEd!#REF!,SpecialEd!#REF!,SpecialEd!#REF!,SpecialEd!$10:$40,SpecialEd!#REF!,SpecialEd!#REF!,SpecialEd!#REF!,SpecialEd!#REF!,SpecialEd!#REF!,SpecialEd!#REF!,SpecialEd!#REF!,SpecialEd!#REF!,SpecialEd!#REF!,SpecialEd!#REF!,SpecialEd!#REF!,SpecialEd!#REF!,SpecialEd!#REF!,SpecialEd!#REF!,SpecialEd!#REF!,SpecialEd!#REF!,SpecialEd!#REF!,SpecialEd!#REF!,SpecialEd!#REF!,SpecialEd!#REF!</definedName>
    <definedName name="Z_101BF338_28AF_4751_A907_28F647194A1E_.wvu.Rows" localSheetId="13" hidden="1">'SpeechLang Therapy'!#REF!,'SpeechLang Therapy'!#REF!,'SpeechLang Therapy'!#REF!,'SpeechLang Therapy'!#REF!,'SpeechLang Therapy'!#REF!,'SpeechLang Therapy'!#REF!,'SpeechLang Therapy'!#REF!,'SpeechLang Therapy'!#REF!,'SpeechLang Therapy'!#REF!,'SpeechLang Therapy'!#REF!,'SpeechLang Therapy'!#REF!,'SpeechLang Therapy'!#REF!,'SpeechLang Therapy'!#REF!,'SpeechLang Therapy'!#REF!,'SpeechLang Therapy'!#REF!,'SpeechLang Therapy'!#REF!,'SpeechLang Therapy'!#REF!,'SpeechLang Therapy'!#REF!,'SpeechLang Therapy'!$10:$25,'SpeechLang Therapy'!#REF!,'SpeechLang Therapy'!#REF!,'SpeechLang Therapy'!#REF!,'SpeechLang Therapy'!#REF!,'SpeechLang Therapy'!#REF!,'SpeechLang Therapy'!#REF!,'SpeechLang Therapy'!#REF!,'SpeechLang Therapy'!#REF!,'SpeechLang Therapy'!#REF!,'SpeechLang Therapy'!#REF!,'SpeechLang Therapy'!#REF!,'SpeechLang Therapy'!#REF!,'SpeechLang Therapy'!#REF!,'SpeechLang Therapy'!#REF!,'SpeechLang Therapy'!#REF!,'SpeechLang Therapy'!#REF!,'SpeechLang Therapy'!#REF!</definedName>
    <definedName name="Z_101BF338_28AF_4751_A907_28F647194A1E_.wvu.Rows" localSheetId="1" hidden="1">Superintendent!#REF!,Superintendent!$10:$20,Superintendent!#REF!,Superintendent!#REF!,Superintendent!#REF!,Superintendent!#REF!,Superintendent!#REF!,Superintendent!#REF!,Superintendent!#REF!,Superintendent!#REF!,Superintendent!#REF!,Superintendent!#REF!,Superintendent!#REF!,Superintendent!#REF!,Superintendent!#REF!,Superintendent!#REF!,Superintendent!#REF!,Superintendent!#REF!,Superintendent!#REF!,Superintendent!#REF!,Superintendent!#REF!,Superintendent!#REF!,Superintendent!#REF!,Superintendent!#REF!,Superintendent!#REF!,Superintendent!#REF!,Superintendent!#REF!,Superintendent!#REF!,Superintendent!#REF!,Superintendent!#REF!,Superintendent!#REF!,Superintendent!#REF!,Superintendent!#REF!,Superintendent!#REF!,Superintendent!#REF!,Superintendent!#REF!</definedName>
    <definedName name="Z_101BF338_28AF_4751_A907_28F647194A1E_.wvu.Rows" localSheetId="26" hidden="1">Technology!#REF!,Technology!#REF!,Technology!#REF!,Technology!#REF!,Technology!#REF!,Technology!#REF!,Technology!#REF!,Technology!#REF!,Technology!#REF!,Technology!#REF!,Technology!#REF!,Technology!#REF!,Technology!#REF!,Technology!#REF!,Technology!#REF!,Technology!#REF!,Technology!#REF!,Technology!#REF!,Technology!#REF!,Technology!#REF!,Technology!#REF!,Technology!#REF!,Technology!#REF!,Technology!#REF!,Technology!#REF!,Technology!#REF!,Technology!#REF!,Technology!#REF!,Technology!#REF!,Technology!#REF!,Technology!$10:$50,Technology!#REF!,Technology!#REF!,Technology!#REF!,Technology!#REF!,Technology!#REF!</definedName>
    <definedName name="Z_101BF338_28AF_4751_A907_28F647194A1E_.wvu.Rows" localSheetId="16" hidden="1">Testing!#REF!,Testing!#REF!,Testing!#REF!,Testing!#REF!,Testing!#REF!,Testing!#REF!,Testing!#REF!,Testing!#REF!,Testing!#REF!,Testing!#REF!,Testing!#REF!,Testing!#REF!,Testing!#REF!,Testing!#REF!,Testing!#REF!,Testing!#REF!,Testing!#REF!,Testing!#REF!,Testing!#REF!,Testing!#REF!,Testing!#REF!,Testing!#REF!,Testing!#REF!,Testing!#REF!,Testing!#REF!,Testing!#REF!,Testing!#REF!,Testing!#REF!,Testing!#REF!,Testing!#REF!,Testing!#REF!,Testing!#REF!,Testing!#REF!,Testing!#REF!,Testing!#REF!,Testing!#REF!</definedName>
    <definedName name="Z_101BF338_28AF_4751_A907_28F647194A1E_.wvu.Rows" localSheetId="29" hidden="1">Transportation!#REF!,Transportation!#REF!,Transportation!#REF!,Transportation!#REF!,Transportation!#REF!,Transportation!#REF!,Transportation!#REF!,Transportation!#REF!,Transportation!#REF!,Transportation!#REF!,Transportation!#REF!,Transportation!#REF!,Transportation!#REF!,Transportation!#REF!,Transportation!#REF!,Transportation!#REF!,Transportation!#REF!,Transportation!#REF!,Transportation!#REF!,Transportation!#REF!,Transportation!#REF!,Transportation!#REF!,Transportation!$10:$102,Transportation!#REF!,Transportation!#REF!,Transportation!#REF!,Transportation!#REF!,Transportation!#REF!,Transportation!#REF!,Transportation!#REF!,Transportation!#REF!,Transportation!#REF!,Transportation!#REF!,Transportation!#REF!,Transportation!#REF!,Transportation!#REF!</definedName>
    <definedName name="Z_101BF338_28AF_4751_A907_28F647194A1E_.wvu.Rows" localSheetId="32" hidden="1">Utilities!#REF!,Utilities!#REF!,Utilities!#REF!,Utilities!#REF!,Utilities!#REF!,Utilities!#REF!,Utilities!#REF!,Utilities!#REF!,Utilities!#REF!,Utilities!#REF!,Utilities!#REF!,Utilities!#REF!,Utilities!#REF!,Utilities!#REF!,Utilities!#REF!,Utilities!#REF!,Utilities!#REF!,Utilities!#REF!,Utilities!#REF!,Utilities!#REF!,Utilities!#REF!,Utilities!#REF!,Utilities!#REF!,Utilities!#REF!,Utilities!#REF!,Utilities!#REF!,Utilities!#REF!,Utilities!#REF!,Utilities!#REF!,Utilities!#REF!,Utilities!#REF!,Utilities!#REF!,Utilities!#REF!,Utilities!#REF!,Utilities!#REF!,Utilities!#REF!</definedName>
    <definedName name="Z_101BF338_28AF_4751_A907_28F647194A1E_.wvu.Rows" localSheetId="28" hidden="1">Warehouse!#REF!,Warehouse!#REF!,Warehouse!#REF!,Warehouse!#REF!,Warehouse!#REF!,Warehouse!#REF!,Warehouse!#REF!,Warehouse!#REF!,Warehouse!#REF!,Warehouse!#REF!,Warehouse!#REF!,Warehouse!#REF!,Warehouse!#REF!,Warehouse!#REF!,Warehouse!#REF!,Warehouse!#REF!,Warehouse!#REF!,Warehouse!#REF!,Warehouse!#REF!,Warehouse!#REF!,Warehouse!#REF!,Warehouse!$10:$31,Warehouse!#REF!,Warehouse!#REF!,Warehouse!#REF!,Warehouse!#REF!,Warehouse!#REF!,Warehouse!#REF!,Warehouse!#REF!,Warehouse!#REF!,Warehouse!#REF!,Warehouse!#REF!,Warehouse!#REF!,Warehouse!#REF!,Warehouse!#REF!,Warehouse!#REF!</definedName>
    <definedName name="Z_1CBF4C38_CEB5_4AB0_9C0D_C9236226E6B7_.wvu.FilterData" localSheetId="21" hidden="1">AccountingPurchasing!$A$9:$BH$35</definedName>
    <definedName name="Z_1CBF4C38_CEB5_4AB0_9C0D_C9236226E6B7_.wvu.FilterData" localSheetId="22" hidden="1">'Accounts Payable'!$A$9:$BH$21</definedName>
    <definedName name="Z_1CBF4C38_CEB5_4AB0_9C0D_C9236226E6B7_.wvu.FilterData" localSheetId="9" hidden="1">'Adult Ed'!$A$9:$BH$24</definedName>
    <definedName name="Z_1CBF4C38_CEB5_4AB0_9C0D_C9236226E6B7_.wvu.FilterData" localSheetId="0" hidden="1">Board!$A$9:$BI$26</definedName>
    <definedName name="Z_1CBF4C38_CEB5_4AB0_9C0D_C9236226E6B7_.wvu.FilterData" localSheetId="3" hidden="1">'C&amp;I'!$A$9:$BH$61</definedName>
    <definedName name="Z_1CBF4C38_CEB5_4AB0_9C0D_C9236226E6B7_.wvu.FilterData" localSheetId="8" hidden="1">'CareerTech Ed'!$A$9:$BH$66</definedName>
    <definedName name="Z_1CBF4C38_CEB5_4AB0_9C0D_C9236226E6B7_.wvu.FilterData" localSheetId="14" hidden="1">'Child Welfare'!$A$9:$BH$23</definedName>
    <definedName name="Z_1CBF4C38_CEB5_4AB0_9C0D_C9236226E6B7_.wvu.FilterData" localSheetId="5" hidden="1">'Elem Instructional'!$A$9:$BH$27</definedName>
    <definedName name="Z_1CBF4C38_CEB5_4AB0_9C0D_C9236226E6B7_.wvu.FilterData" localSheetId="4" hidden="1">Elementary!$A$9:$BH$62</definedName>
    <definedName name="Z_1CBF4C38_CEB5_4AB0_9C0D_C9236226E6B7_.wvu.FilterData" localSheetId="33" hidden="1">'Employee Bene'!$A$9:$BH$26</definedName>
    <definedName name="Z_1CBF4C38_CEB5_4AB0_9C0D_C9236226E6B7_.wvu.FilterData" localSheetId="20" hidden="1">Finance!$A$9:$BH$18</definedName>
    <definedName name="Z_1CBF4C38_CEB5_4AB0_9C0D_C9236226E6B7_.wvu.FilterData" localSheetId="35" hidden="1">'Food Svc-D27 Debt-Transfers'!$A$9:$BH$23</definedName>
    <definedName name="Z_1CBF4C38_CEB5_4AB0_9C0D_C9236226E6B7_.wvu.FilterData" localSheetId="11" hidden="1">GiftedTalented!$A$9:$BH$56</definedName>
    <definedName name="Z_1CBF4C38_CEB5_4AB0_9C0D_C9236226E6B7_.wvu.FilterData" localSheetId="7" hidden="1">'High Schools'!$A$9:$BH$132</definedName>
    <definedName name="Z_1CBF4C38_CEB5_4AB0_9C0D_C9236226E6B7_.wvu.FilterData" localSheetId="24" hidden="1">Insurance!$A$9:$BH$30</definedName>
    <definedName name="Z_1CBF4C38_CEB5_4AB0_9C0D_C9236226E6B7_.wvu.FilterData" localSheetId="2" hidden="1">'Internal Audit'!$A$9:$BH$21</definedName>
    <definedName name="Z_1CBF4C38_CEB5_4AB0_9C0D_C9236226E6B7_.wvu.FilterData" localSheetId="17" hidden="1">LibraryMedia!$A$9:$BH$43</definedName>
    <definedName name="Z_1CBF4C38_CEB5_4AB0_9C0D_C9236226E6B7_.wvu.FilterData" localSheetId="30" hidden="1">Maintenance!$A$9:$BH$102</definedName>
    <definedName name="Z_1CBF4C38_CEB5_4AB0_9C0D_C9236226E6B7_.wvu.FilterData" localSheetId="6" hidden="1">Middle!$A$9:$BH$96</definedName>
    <definedName name="Z_1CBF4C38_CEB5_4AB0_9C0D_C9236226E6B7_.wvu.FilterData" localSheetId="25" hidden="1">MIS!$A$9:$BH$29</definedName>
    <definedName name="Z_1CBF4C38_CEB5_4AB0_9C0D_C9236226E6B7_.wvu.FilterData" localSheetId="15" hidden="1">Nursing!$A$9:$BH$23</definedName>
    <definedName name="Z_1CBF4C38_CEB5_4AB0_9C0D_C9236226E6B7_.wvu.FilterData" localSheetId="34" hidden="1">'Other Misc Grants'!$A$9:$BH$34</definedName>
    <definedName name="Z_1CBF4C38_CEB5_4AB0_9C0D_C9236226E6B7_.wvu.FilterData" localSheetId="23" hidden="1">Payroll!$A$9:$BH$21</definedName>
    <definedName name="Z_1CBF4C38_CEB5_4AB0_9C0D_C9236226E6B7_.wvu.FilterData" localSheetId="19" hidden="1">Personnel!$A$9:$BH$28</definedName>
    <definedName name="Z_1CBF4C38_CEB5_4AB0_9C0D_C9236226E6B7_.wvu.FilterData" localSheetId="31" hidden="1">'Planning and Construction'!$A$9:$BH$37</definedName>
    <definedName name="Z_1CBF4C38_CEB5_4AB0_9C0D_C9236226E6B7_.wvu.FilterData" localSheetId="18" hidden="1">'Print Shop'!$A$9:$BH$20</definedName>
    <definedName name="Z_1CBF4C38_CEB5_4AB0_9C0D_C9236226E6B7_.wvu.FilterData" localSheetId="12" hidden="1">'Pupil Appraisal'!$A$9:$BH$31</definedName>
    <definedName name="Z_1CBF4C38_CEB5_4AB0_9C0D_C9236226E6B7_.wvu.FilterData" localSheetId="27" hidden="1">'Sales Tax'!$A$9:$BH$33</definedName>
    <definedName name="Z_1CBF4C38_CEB5_4AB0_9C0D_C9236226E6B7_.wvu.FilterData" localSheetId="10" hidden="1">SpecialEd!$A$9:$BH$41</definedName>
    <definedName name="Z_1CBF4C38_CEB5_4AB0_9C0D_C9236226E6B7_.wvu.FilterData" localSheetId="13" hidden="1">'SpeechLang Therapy'!$A$9:$BH$26</definedName>
    <definedName name="Z_1CBF4C38_CEB5_4AB0_9C0D_C9236226E6B7_.wvu.FilterData" localSheetId="1" hidden="1">Superintendent!$A$9:$BH$22</definedName>
    <definedName name="Z_1CBF4C38_CEB5_4AB0_9C0D_C9236226E6B7_.wvu.FilterData" localSheetId="26" hidden="1">Technology!$A$9:$BH$51</definedName>
    <definedName name="Z_1CBF4C38_CEB5_4AB0_9C0D_C9236226E6B7_.wvu.FilterData" localSheetId="16" hidden="1">Testing!$A$9:$BH$31</definedName>
    <definedName name="Z_1CBF4C38_CEB5_4AB0_9C0D_C9236226E6B7_.wvu.FilterData" localSheetId="29" hidden="1">Transportation!$A$9:$BH$103</definedName>
    <definedName name="Z_1CBF4C38_CEB5_4AB0_9C0D_C9236226E6B7_.wvu.FilterData" localSheetId="32" hidden="1">Utilities!$A$9:$BH$25</definedName>
    <definedName name="Z_1CBF4C38_CEB5_4AB0_9C0D_C9236226E6B7_.wvu.FilterData" localSheetId="28" hidden="1">Warehouse!$A$9:$BH$32</definedName>
    <definedName name="Z_1CBF4C38_CEB5_4AB0_9C0D_C9236226E6B7_.wvu.Rows" localSheetId="21" hidden="1">AccountingPurchasing!#REF!,AccountingPurchasing!#REF!,AccountingPurchasing!#REF!,AccountingPurchasing!#REF!,AccountingPurchasing!#REF!,AccountingPurchasing!#REF!,AccountingPurchasing!#REF!,AccountingPurchasing!#REF!,AccountingPurchasing!#REF!,AccountingPurchasing!#REF!,AccountingPurchasing!#REF!,AccountingPurchasing!#REF!,AccountingPurchasing!#REF!,AccountingPurchasing!#REF!,AccountingPurchasing!#REF!,AccountingPurchasing!#REF!,AccountingPurchasing!#REF!,AccountingPurchasing!#REF!,AccountingPurchasing!#REF!,AccountingPurchasing!#REF!,AccountingPurchasing!#REF!,AccountingPurchasing!#REF!,AccountingPurchasing!#REF!,AccountingPurchasing!#REF!,AccountingPurchasing!#REF!,AccountingPurchasing!#REF!,AccountingPurchasing!#REF!,AccountingPurchasing!#REF!,AccountingPurchasing!#REF!</definedName>
    <definedName name="Z_1CBF4C38_CEB5_4AB0_9C0D_C9236226E6B7_.wvu.Rows" localSheetId="22" hidden="1">'Accounts Payable'!#REF!,'Accounts Payable'!#REF!,'Accounts Payable'!#REF!,'Accounts Payable'!#REF!,'Accounts Payable'!#REF!,'Accounts Payable'!#REF!,'Accounts Payable'!#REF!,'Accounts Payable'!#REF!,'Accounts Payable'!#REF!,'Accounts Payable'!#REF!,'Accounts Payable'!#REF!,'Accounts Payable'!#REF!,'Accounts Payable'!#REF!,'Accounts Payable'!#REF!,'Accounts Payable'!#REF!,'Accounts Payable'!#REF!,'Accounts Payable'!#REF!,'Accounts Payable'!#REF!,'Accounts Payable'!#REF!,'Accounts Payable'!#REF!,'Accounts Payable'!#REF!,'Accounts Payable'!$10:$20,'Accounts Payable'!#REF!,'Accounts Payable'!#REF!,'Accounts Payable'!#REF!,'Accounts Payable'!#REF!,'Accounts Payable'!#REF!,'Accounts Payable'!#REF!,'Accounts Payable'!#REF!</definedName>
    <definedName name="Z_1CBF4C38_CEB5_4AB0_9C0D_C9236226E6B7_.wvu.Rows" localSheetId="9" hidden="1">'Adult Ed'!#REF!,'Adult Ed'!#REF!,'Adult Ed'!#REF!,'Adult Ed'!#REF!,'Adult Ed'!#REF!,'Adult Ed'!#REF!,'Adult Ed'!#REF!,'Adult Ed'!#REF!,'Adult Ed'!#REF!,'Adult Ed'!$11:$23,'Adult Ed'!#REF!,'Adult Ed'!#REF!,'Adult Ed'!#REF!,'Adult Ed'!#REF!,'Adult Ed'!#REF!,'Adult Ed'!#REF!,'Adult Ed'!#REF!,'Adult Ed'!#REF!,'Adult Ed'!#REF!,'Adult Ed'!#REF!,'Adult Ed'!#REF!,'Adult Ed'!#REF!,'Adult Ed'!#REF!,'Adult Ed'!#REF!,'Adult Ed'!#REF!,'Adult Ed'!#REF!,'Adult Ed'!#REF!,'Adult Ed'!#REF!,'Adult Ed'!#REF!</definedName>
    <definedName name="Z_1CBF4C38_CEB5_4AB0_9C0D_C9236226E6B7_.wvu.Rows" localSheetId="0" hidden="1">Board!$10:$24,Board!#REF!,Board!#REF!,Board!#REF!,Board!#REF!,Board!#REF!,Board!#REF!,Board!#REF!,Board!#REF!,Board!#REF!,Board!#REF!,Board!#REF!,Board!#REF!,Board!#REF!,Board!#REF!,Board!#REF!,Board!#REF!,Board!#REF!,Board!#REF!,Board!#REF!,Board!#REF!,Board!#REF!,Board!#REF!,Board!#REF!,Board!#REF!,Board!#REF!,Board!#REF!,Board!#REF!,Board!#REF!</definedName>
    <definedName name="Z_1CBF4C38_CEB5_4AB0_9C0D_C9236226E6B7_.wvu.Rows" localSheetId="3" hidden="1">'C&amp;I'!#REF!,'C&amp;I'!#REF!,'C&amp;I'!#REF!,'C&amp;I'!#REF!,'C&amp;I'!#REF!,'C&amp;I'!#REF!,'C&amp;I'!#REF!,'C&amp;I'!#REF!,'C&amp;I'!#REF!,'C&amp;I'!#REF!,'C&amp;I'!#REF!,'C&amp;I'!#REF!,'C&amp;I'!#REF!,'C&amp;I'!#REF!,'C&amp;I'!#REF!,'C&amp;I'!#REF!,'C&amp;I'!#REF!,'C&amp;I'!#REF!,'C&amp;I'!#REF!,'C&amp;I'!#REF!,'C&amp;I'!#REF!,'C&amp;I'!#REF!,'C&amp;I'!#REF!,'C&amp;I'!#REF!,'C&amp;I'!#REF!,'C&amp;I'!#REF!,'C&amp;I'!#REF!,'C&amp;I'!#REF!,'C&amp;I'!#REF!</definedName>
    <definedName name="Z_1CBF4C38_CEB5_4AB0_9C0D_C9236226E6B7_.wvu.Rows" localSheetId="8" hidden="1">'CareerTech Ed'!#REF!,'CareerTech Ed'!#REF!,'CareerTech Ed'!#REF!,'CareerTech Ed'!#REF!,'CareerTech Ed'!#REF!,'CareerTech Ed'!#REF!,'CareerTech Ed'!#REF!,'CareerTech Ed'!$10:$64,'CareerTech Ed'!#REF!,'CareerTech Ed'!#REF!,'CareerTech Ed'!#REF!,'CareerTech Ed'!#REF!,'CareerTech Ed'!#REF!,'CareerTech Ed'!#REF!,'CareerTech Ed'!#REF!,'CareerTech Ed'!#REF!,'CareerTech Ed'!#REF!,'CareerTech Ed'!#REF!,'CareerTech Ed'!#REF!,'CareerTech Ed'!#REF!,'CareerTech Ed'!#REF!,'CareerTech Ed'!#REF!,'CareerTech Ed'!#REF!,'CareerTech Ed'!#REF!,'CareerTech Ed'!#REF!,'CareerTech Ed'!#REF!,'CareerTech Ed'!#REF!,'CareerTech Ed'!#REF!,'CareerTech Ed'!#REF!</definedName>
    <definedName name="Z_1CBF4C38_CEB5_4AB0_9C0D_C9236226E6B7_.wvu.Rows" localSheetId="14" hidden="1">'Child Welfare'!#REF!,'Child Welfare'!#REF!,'Child Welfare'!#REF!,'Child Welfare'!#REF!,'Child Welfare'!#REF!,'Child Welfare'!#REF!,'Child Welfare'!#REF!,'Child Welfare'!#REF!,'Child Welfare'!#REF!,'Child Welfare'!#REF!,'Child Welfare'!#REF!,'Child Welfare'!$10:$22,'Child Welfare'!#REF!,'Child Welfare'!#REF!,'Child Welfare'!#REF!,'Child Welfare'!#REF!,'Child Welfare'!#REF!,'Child Welfare'!#REF!,'Child Welfare'!#REF!,'Child Welfare'!#REF!,'Child Welfare'!#REF!,'Child Welfare'!#REF!,'Child Welfare'!#REF!,'Child Welfare'!#REF!,'Child Welfare'!#REF!,'Child Welfare'!#REF!,'Child Welfare'!#REF!,'Child Welfare'!#REF!,'Child Welfare'!#REF!</definedName>
    <definedName name="Z_1CBF4C38_CEB5_4AB0_9C0D_C9236226E6B7_.wvu.Rows" localSheetId="5" hidden="1">'Elem Instructional'!#REF!,'Elem Instructional'!#REF!,'Elem Instructional'!#REF!,'Elem Instructional'!#REF!,'Elem Instructional'!#REF!,'Elem Instructional'!$10:$25,'Elem Instructional'!#REF!,'Elem Instructional'!#REF!,'Elem Instructional'!#REF!,'Elem Instructional'!#REF!,'Elem Instructional'!#REF!,'Elem Instructional'!#REF!,'Elem Instructional'!#REF!,'Elem Instructional'!#REF!,'Elem Instructional'!#REF!,'Elem Instructional'!#REF!,'Elem Instructional'!#REF!,'Elem Instructional'!#REF!,'Elem Instructional'!#REF!,'Elem Instructional'!#REF!,'Elem Instructional'!#REF!,'Elem Instructional'!#REF!,'Elem Instructional'!#REF!,'Elem Instructional'!#REF!,'Elem Instructional'!#REF!,'Elem Instructional'!#REF!,'Elem Instructional'!#REF!,'Elem Instructional'!#REF!,'Elem Instructional'!#REF!</definedName>
    <definedName name="Z_1CBF4C38_CEB5_4AB0_9C0D_C9236226E6B7_.wvu.Rows" localSheetId="4" hidden="1">Elementary!#REF!,Elementary!#REF!,Elementary!#REF!,Elementary!#REF!,Elementary!#REF!,Elementary!#REF!,Elementary!#REF!,Elementary!#REF!,Elementary!#REF!,Elementary!#REF!,Elementary!#REF!,Elementary!#REF!,Elementary!#REF!,Elementary!#REF!,Elementary!#REF!,Elementary!#REF!,Elementary!#REF!,Elementary!#REF!,Elementary!#REF!,Elementary!#REF!,Elementary!#REF!,Elementary!#REF!,Elementary!#REF!,Elementary!#REF!,Elementary!#REF!,Elementary!#REF!,Elementary!#REF!,Elementary!#REF!,Elementary!#REF!</definedName>
    <definedName name="Z_1CBF4C38_CEB5_4AB0_9C0D_C9236226E6B7_.wvu.Rows" localSheetId="33" hidden="1">'Employee Bene'!#REF!,'Employee Bene'!#REF!,'Employee Bene'!#REF!,'Employee Bene'!#REF!,'Employee Bene'!#REF!,'Employee Bene'!#REF!,'Employee Bene'!#REF!,'Employee Bene'!#REF!,'Employee Bene'!#REF!,'Employee Bene'!#REF!,'Employee Bene'!#REF!,'Employee Bene'!#REF!,'Employee Bene'!#REF!,'Employee Bene'!#REF!,'Employee Bene'!#REF!,'Employee Bene'!#REF!,'Employee Bene'!#REF!,'Employee Bene'!#REF!,'Employee Bene'!#REF!,'Employee Bene'!#REF!,'Employee Bene'!#REF!,'Employee Bene'!#REF!,'Employee Bene'!#REF!,'Employee Bene'!#REF!,'Employee Bene'!#REF!,'Employee Bene'!$10:$25,'Employee Bene'!#REF!,'Employee Bene'!#REF!,'Employee Bene'!#REF!</definedName>
    <definedName name="Z_1CBF4C38_CEB5_4AB0_9C0D_C9236226E6B7_.wvu.Rows" localSheetId="20" hidden="1">Finance!#REF!,Finance!#REF!,Finance!#REF!,Finance!#REF!,Finance!#REF!,Finance!#REF!,Finance!#REF!,Finance!#REF!,Finance!#REF!,Finance!#REF!,Finance!#REF!,Finance!#REF!,Finance!#REF!,Finance!#REF!,Finance!#REF!,Finance!#REF!,Finance!#REF!,Finance!#REF!,Finance!#REF!,Finance!#REF!,Finance!$10:$17,Finance!#REF!,Finance!#REF!,Finance!#REF!,Finance!#REF!,Finance!#REF!,Finance!#REF!,Finance!#REF!,Finance!#REF!</definedName>
    <definedName name="Z_1CBF4C38_CEB5_4AB0_9C0D_C9236226E6B7_.wvu.Rows" localSheetId="35" hidden="1">'Food Svc-D27 Debt-Transfers'!#REF!,'Food Svc-D27 Debt-Transfers'!#REF!,'Food Svc-D27 Debt-Transfers'!#REF!,'Food Svc-D27 Debt-Transfers'!#REF!,'Food Svc-D27 Debt-Transfers'!#REF!,'Food Svc-D27 Debt-Transfers'!#REF!,'Food Svc-D27 Debt-Transfers'!#REF!,'Food Svc-D27 Debt-Transfers'!#REF!,'Food Svc-D27 Debt-Transfers'!#REF!,'Food Svc-D27 Debt-Transfers'!#REF!,'Food Svc-D27 Debt-Transfers'!#REF!,'Food Svc-D27 Debt-Transfers'!#REF!,'Food Svc-D27 Debt-Transfers'!#REF!,'Food Svc-D27 Debt-Transfers'!#REF!,'Food Svc-D27 Debt-Transfers'!#REF!,'Food Svc-D27 Debt-Transfers'!#REF!,'Food Svc-D27 Debt-Transfers'!#REF!,'Food Svc-D27 Debt-Transfers'!#REF!,'Food Svc-D27 Debt-Transfers'!#REF!,'Food Svc-D27 Debt-Transfers'!#REF!,'Food Svc-D27 Debt-Transfers'!#REF!,'Food Svc-D27 Debt-Transfers'!#REF!,'Food Svc-D27 Debt-Transfers'!#REF!,'Food Svc-D27 Debt-Transfers'!#REF!,'Food Svc-D27 Debt-Transfers'!#REF!,'Food Svc-D27 Debt-Transfers'!#REF!,'Food Svc-D27 Debt-Transfers'!$10:$10,'Food Svc-D27 Debt-Transfers'!$13:$16,'Food Svc-D27 Debt-Transfers'!$19:$21</definedName>
    <definedName name="Z_1CBF4C38_CEB5_4AB0_9C0D_C9236226E6B7_.wvu.Rows" localSheetId="11" hidden="1">GiftedTalented!#REF!,GiftedTalented!#REF!,GiftedTalented!#REF!,GiftedTalented!#REF!,GiftedTalented!#REF!,GiftedTalented!#REF!,GiftedTalented!#REF!,GiftedTalented!#REF!,GiftedTalented!#REF!,GiftedTalented!#REF!,GiftedTalented!#REF!,GiftedTalented!#REF!,GiftedTalented!#REF!,GiftedTalented!#REF!,GiftedTalented!#REF!,GiftedTalented!#REF!,GiftedTalented!#REF!,GiftedTalented!#REF!,GiftedTalented!#REF!,GiftedTalented!#REF!,GiftedTalented!#REF!,GiftedTalented!#REF!,GiftedTalented!#REF!,GiftedTalented!#REF!,GiftedTalented!#REF!,GiftedTalented!#REF!,GiftedTalented!#REF!,GiftedTalented!#REF!,GiftedTalented!#REF!</definedName>
    <definedName name="Z_1CBF4C38_CEB5_4AB0_9C0D_C9236226E6B7_.wvu.Rows" localSheetId="7" hidden="1">'High Schools'!#REF!,'High Schools'!#REF!,'High Schools'!#REF!,'High Schools'!#REF!,'High Schools'!#REF!,'High Schools'!#REF!,'High Schools'!#REF!,'High Schools'!#REF!,'High Schools'!$10:$131,'High Schools'!#REF!,'High Schools'!#REF!,'High Schools'!#REF!,'High Schools'!#REF!,'High Schools'!#REF!,'High Schools'!#REF!,'High Schools'!#REF!,'High Schools'!#REF!,'High Schools'!#REF!,'High Schools'!#REF!,'High Schools'!#REF!,'High Schools'!#REF!,'High Schools'!#REF!,'High Schools'!#REF!,'High Schools'!#REF!,'High Schools'!#REF!,'High Schools'!#REF!,'High Schools'!#REF!,'High Schools'!#REF!,'High Schools'!#REF!</definedName>
    <definedName name="Z_1CBF4C38_CEB5_4AB0_9C0D_C9236226E6B7_.wvu.Rows" localSheetId="24" hidden="1">Insurance!#REF!,Insurance!#REF!,Insurance!#REF!,Insurance!#REF!,Insurance!#REF!,Insurance!#REF!,Insurance!#REF!,Insurance!#REF!,Insurance!#REF!,Insurance!#REF!,Insurance!#REF!,Insurance!#REF!,Insurance!#REF!,Insurance!#REF!,Insurance!#REF!,Insurance!#REF!,Insurance!#REF!,Insurance!#REF!,Insurance!#REF!,Insurance!#REF!,Insurance!#REF!,Insurance!#REF!,Insurance!#REF!,Insurance!#REF!,Insurance!#REF!,Insurance!#REF!,Insurance!#REF!,Insurance!#REF!,Insurance!#REF!</definedName>
    <definedName name="Z_1CBF4C38_CEB5_4AB0_9C0D_C9236226E6B7_.wvu.Rows" localSheetId="2" hidden="1">'Internal Audit'!#REF!,'Internal Audit'!#REF!,'Internal Audit'!$10:$19,'Internal Audit'!#REF!,'Internal Audit'!#REF!,'Internal Audit'!#REF!,'Internal Audit'!#REF!,'Internal Audit'!#REF!,'Internal Audit'!#REF!,'Internal Audit'!#REF!,'Internal Audit'!#REF!,'Internal Audit'!#REF!,'Internal Audit'!#REF!,'Internal Audit'!#REF!,'Internal Audit'!#REF!,'Internal Audit'!#REF!,'Internal Audit'!#REF!,'Internal Audit'!#REF!,'Internal Audit'!#REF!,'Internal Audit'!#REF!,'Internal Audit'!#REF!,'Internal Audit'!#REF!,'Internal Audit'!#REF!,'Internal Audit'!#REF!,'Internal Audit'!#REF!,'Internal Audit'!#REF!,'Internal Audit'!#REF!,'Internal Audit'!#REF!,'Internal Audit'!#REF!</definedName>
    <definedName name="Z_1CBF4C38_CEB5_4AB0_9C0D_C9236226E6B7_.wvu.Rows" localSheetId="17" hidden="1">LibraryMedia!#REF!,LibraryMedia!#REF!,LibraryMedia!#REF!,LibraryMedia!#REF!,LibraryMedia!#REF!,LibraryMedia!#REF!,LibraryMedia!#REF!,LibraryMedia!#REF!,LibraryMedia!#REF!,LibraryMedia!#REF!,LibraryMedia!#REF!,LibraryMedia!#REF!,LibraryMedia!$10:$42,LibraryMedia!#REF!,LibraryMedia!#REF!,LibraryMedia!#REF!,LibraryMedia!#REF!,LibraryMedia!#REF!,LibraryMedia!#REF!,LibraryMedia!#REF!,LibraryMedia!#REF!,LibraryMedia!#REF!,LibraryMedia!#REF!,LibraryMedia!#REF!,LibraryMedia!#REF!,LibraryMedia!#REF!,LibraryMedia!#REF!,LibraryMedia!#REF!,LibraryMedia!#REF!</definedName>
    <definedName name="Z_1CBF4C38_CEB5_4AB0_9C0D_C9236226E6B7_.wvu.Rows" localSheetId="30" hidden="1">Maintenance!#REF!,Maintenance!#REF!,Maintenance!#REF!,Maintenance!$10:$100,Maintenance!#REF!,Maintenance!#REF!,Maintenance!#REF!,Maintenance!#REF!,Maintenance!#REF!,Maintenance!#REF!,Maintenance!#REF!,Maintenance!#REF!,Maintenance!#REF!,Maintenance!#REF!,Maintenance!#REF!,Maintenance!#REF!,Maintenance!#REF!,Maintenance!#REF!,Maintenance!#REF!,Maintenance!#REF!,Maintenance!#REF!,Maintenance!#REF!,Maintenance!#REF!,Maintenance!#REF!,Maintenance!#REF!,Maintenance!#REF!,Maintenance!#REF!,Maintenance!#REF!,Maintenance!#REF!</definedName>
    <definedName name="Z_1CBF4C38_CEB5_4AB0_9C0D_C9236226E6B7_.wvu.Rows" localSheetId="6" hidden="1">Middle!$10:$24,Middle!#REF!,Middle!#REF!,Middle!#REF!,Middle!#REF!,Middle!#REF!,Middle!$25:$95,Middle!#REF!,Middle!#REF!,Middle!#REF!,Middle!#REF!,Middle!#REF!,Middle!#REF!,Middle!#REF!,Middle!#REF!,Middle!#REF!,Middle!#REF!,Middle!#REF!,Middle!#REF!,Middle!#REF!,Middle!#REF!,Middle!#REF!,Middle!#REF!,Middle!#REF!,Middle!#REF!,Middle!#REF!,Middle!#REF!,Middle!#REF!,Middle!#REF!</definedName>
    <definedName name="Z_1CBF4C38_CEB5_4AB0_9C0D_C9236226E6B7_.wvu.Rows" localSheetId="25" hidden="1">MIS!#REF!,MIS!#REF!,MIS!#REF!,MIS!#REF!,MIS!#REF!,MIS!#REF!,MIS!#REF!,MIS!#REF!,MIS!#REF!,MIS!#REF!,MIS!#REF!,MIS!#REF!,MIS!#REF!,MIS!#REF!,MIS!#REF!,MIS!#REF!,MIS!#REF!,MIS!#REF!,MIS!#REF!,MIS!#REF!,MIS!#REF!,MIS!#REF!,MIS!#REF!,MIS!#REF!,MIS!$10:$28,MIS!#REF!,MIS!#REF!,MIS!#REF!,MIS!#REF!</definedName>
    <definedName name="Z_1CBF4C38_CEB5_4AB0_9C0D_C9236226E6B7_.wvu.Rows" localSheetId="15" hidden="1">Nursing!#REF!,Nursing!#REF!,Nursing!#REF!,Nursing!#REF!,Nursing!#REF!,Nursing!#REF!,Nursing!#REF!,Nursing!#REF!,Nursing!#REF!,Nursing!#REF!,Nursing!#REF!,Nursing!#REF!,Nursing!#REF!,Nursing!#REF!,Nursing!#REF!,Nursing!#REF!,Nursing!$10:$21,Nursing!#REF!,Nursing!#REF!,Nursing!#REF!,Nursing!#REF!,Nursing!#REF!,Nursing!#REF!,Nursing!#REF!,Nursing!#REF!,Nursing!#REF!,Nursing!#REF!,Nursing!#REF!,Nursing!#REF!</definedName>
    <definedName name="Z_1CBF4C38_CEB5_4AB0_9C0D_C9236226E6B7_.wvu.Rows" localSheetId="34" hidden="1">'Other Misc Grants'!#REF!,'Other Misc Grants'!#REF!,'Other Misc Grants'!#REF!,'Other Misc Grants'!#REF!,'Other Misc Grants'!#REF!,'Other Misc Grants'!#REF!,'Other Misc Grants'!#REF!,'Other Misc Grants'!#REF!,'Other Misc Grants'!#REF!,'Other Misc Grants'!#REF!,'Other Misc Grants'!#REF!,'Other Misc Grants'!#REF!,'Other Misc Grants'!#REF!,'Other Misc Grants'!#REF!,'Other Misc Grants'!#REF!,'Other Misc Grants'!#REF!,'Other Misc Grants'!#REF!,'Other Misc Grants'!#REF!,'Other Misc Grants'!#REF!,'Other Misc Grants'!$10:$33,'Other Misc Grants'!#REF!,'Other Misc Grants'!#REF!,'Other Misc Grants'!#REF!,'Other Misc Grants'!#REF!,'Other Misc Grants'!#REF!,'Other Misc Grants'!#REF!,'Other Misc Grants'!#REF!,'Other Misc Grants'!#REF!,'Other Misc Grants'!#REF!</definedName>
    <definedName name="Z_1CBF4C38_CEB5_4AB0_9C0D_C9236226E6B7_.wvu.Rows" localSheetId="23" hidden="1">Payroll!#REF!,Payroll!#REF!,Payroll!#REF!,Payroll!#REF!,Payroll!#REF!,Payroll!#REF!,Payroll!#REF!,Payroll!#REF!,Payroll!#REF!,Payroll!#REF!,Payroll!#REF!,Payroll!#REF!,Payroll!#REF!,Payroll!#REF!,Payroll!#REF!,Payroll!#REF!,Payroll!#REF!,Payroll!#REF!,Payroll!#REF!,Payroll!#REF!,Payroll!#REF!,Payroll!#REF!,Payroll!$10:$20,Payroll!#REF!,Payroll!#REF!,Payroll!#REF!,Payroll!#REF!,Payroll!#REF!,Payroll!#REF!</definedName>
    <definedName name="Z_1CBF4C38_CEB5_4AB0_9C0D_C9236226E6B7_.wvu.Rows" localSheetId="19" hidden="1">Personnel!#REF!,Personnel!#REF!,Personnel!#REF!,Personnel!#REF!,Personnel!#REF!,Personnel!#REF!,Personnel!#REF!,Personnel!#REF!,Personnel!#REF!,Personnel!#REF!,Personnel!#REF!,Personnel!#REF!,Personnel!#REF!,Personnel!#REF!,Personnel!#REF!,Personnel!#REF!,Personnel!#REF!,Personnel!#REF!,Personnel!#REF!,Personnel!#REF!,Personnel!#REF!,Personnel!#REF!,Personnel!#REF!,Personnel!#REF!,Personnel!#REF!,Personnel!#REF!,Personnel!#REF!,Personnel!#REF!,Personnel!#REF!</definedName>
    <definedName name="Z_1CBF4C38_CEB5_4AB0_9C0D_C9236226E6B7_.wvu.Rows" localSheetId="31" hidden="1">'Planning and Construction'!#REF!,'Planning and Construction'!#REF!,'Planning and Construction'!#REF!,'Planning and Construction'!#REF!,'Planning and Construction'!$10:$36,'Planning and Construction'!#REF!,'Planning and Construction'!#REF!,'Planning and Construction'!#REF!,'Planning and Construction'!#REF!,'Planning and Construction'!#REF!,'Planning and Construction'!#REF!,'Planning and Construction'!#REF!,'Planning and Construction'!#REF!,'Planning and Construction'!#REF!,'Planning and Construction'!#REF!,'Planning and Construction'!#REF!,'Planning and Construction'!#REF!,'Planning and Construction'!#REF!,'Planning and Construction'!#REF!,'Planning and Construction'!#REF!,'Planning and Construction'!#REF!,'Planning and Construction'!#REF!,'Planning and Construction'!#REF!,'Planning and Construction'!#REF!,'Planning and Construction'!#REF!,'Planning and Construction'!#REF!,'Planning and Construction'!#REF!,'Planning and Construction'!#REF!,'Planning and Construction'!#REF!</definedName>
    <definedName name="Z_1CBF4C38_CEB5_4AB0_9C0D_C9236226E6B7_.wvu.Rows" localSheetId="18" hidden="1">'Print Shop'!#REF!,'Print Shop'!#REF!,'Print Shop'!#REF!,'Print Shop'!#REF!,'Print Shop'!#REF!,'Print Shop'!#REF!,'Print Shop'!#REF!,'Print Shop'!#REF!,'Print Shop'!#REF!,'Print Shop'!#REF!,'Print Shop'!$10:$18,'Print Shop'!#REF!,'Print Shop'!#REF!,'Print Shop'!#REF!,'Print Shop'!#REF!,'Print Shop'!#REF!,'Print Shop'!#REF!,'Print Shop'!#REF!,'Print Shop'!#REF!,'Print Shop'!#REF!,'Print Shop'!#REF!,'Print Shop'!#REF!,'Print Shop'!#REF!,'Print Shop'!#REF!,'Print Shop'!#REF!,'Print Shop'!#REF!,'Print Shop'!#REF!,'Print Shop'!#REF!,'Print Shop'!#REF!</definedName>
    <definedName name="Z_1CBF4C38_CEB5_4AB0_9C0D_C9236226E6B7_.wvu.Rows" localSheetId="12" hidden="1">'Pupil Appraisal'!#REF!,'Pupil Appraisal'!#REF!,'Pupil Appraisal'!#REF!,'Pupil Appraisal'!#REF!,'Pupil Appraisal'!#REF!,'Pupil Appraisal'!#REF!,'Pupil Appraisal'!#REF!,'Pupil Appraisal'!#REF!,'Pupil Appraisal'!#REF!,'Pupil Appraisal'!#REF!,'Pupil Appraisal'!#REF!,'Pupil Appraisal'!#REF!,'Pupil Appraisal'!#REF!,'Pupil Appraisal'!#REF!,'Pupil Appraisal'!$10:$30,'Pupil Appraisal'!#REF!,'Pupil Appraisal'!#REF!,'Pupil Appraisal'!#REF!,'Pupil Appraisal'!#REF!,'Pupil Appraisal'!#REF!,'Pupil Appraisal'!#REF!,'Pupil Appraisal'!#REF!,'Pupil Appraisal'!#REF!,'Pupil Appraisal'!#REF!,'Pupil Appraisal'!#REF!,'Pupil Appraisal'!#REF!,'Pupil Appraisal'!#REF!,'Pupil Appraisal'!#REF!,'Pupil Appraisal'!#REF!</definedName>
    <definedName name="Z_1CBF4C38_CEB5_4AB0_9C0D_C9236226E6B7_.wvu.Rows" localSheetId="27" hidden="1">'Sales Tax'!#REF!,'Sales Tax'!#REF!,'Sales Tax'!#REF!,'Sales Tax'!#REF!,'Sales Tax'!#REF!,'Sales Tax'!#REF!,'Sales Tax'!#REF!,'Sales Tax'!#REF!,'Sales Tax'!#REF!,'Sales Tax'!#REF!,'Sales Tax'!#REF!,'Sales Tax'!#REF!,'Sales Tax'!#REF!,'Sales Tax'!#REF!,'Sales Tax'!#REF!,'Sales Tax'!#REF!,'Sales Tax'!#REF!,'Sales Tax'!#REF!,'Sales Tax'!#REF!,'Sales Tax'!#REF!,'Sales Tax'!#REF!,'Sales Tax'!#REF!,'Sales Tax'!#REF!,'Sales Tax'!#REF!,'Sales Tax'!#REF!,'Sales Tax'!#REF!,'Sales Tax'!#REF!,'Sales Tax'!#REF!,'Sales Tax'!#REF!</definedName>
    <definedName name="Z_1CBF4C38_CEB5_4AB0_9C0D_C9236226E6B7_.wvu.Rows" localSheetId="10" hidden="1">SpecialEd!#REF!,SpecialEd!#REF!,SpecialEd!#REF!,SpecialEd!#REF!,SpecialEd!#REF!,SpecialEd!#REF!,SpecialEd!#REF!,SpecialEd!#REF!,SpecialEd!#REF!,SpecialEd!#REF!,SpecialEd!#REF!,SpecialEd!#REF!,SpecialEd!#REF!,SpecialEd!$10:$40,SpecialEd!#REF!,SpecialEd!#REF!,SpecialEd!#REF!,SpecialEd!#REF!,SpecialEd!#REF!,SpecialEd!#REF!,SpecialEd!#REF!,SpecialEd!#REF!,SpecialEd!#REF!,SpecialEd!#REF!,SpecialEd!#REF!,SpecialEd!#REF!,SpecialEd!#REF!,SpecialEd!#REF!,SpecialEd!#REF!</definedName>
    <definedName name="Z_1CBF4C38_CEB5_4AB0_9C0D_C9236226E6B7_.wvu.Rows" localSheetId="13" hidden="1">'SpeechLang Therapy'!#REF!,'SpeechLang Therapy'!#REF!,'SpeechLang Therapy'!#REF!,'SpeechLang Therapy'!#REF!,'SpeechLang Therapy'!#REF!,'SpeechLang Therapy'!#REF!,'SpeechLang Therapy'!#REF!,'SpeechLang Therapy'!#REF!,'SpeechLang Therapy'!#REF!,'SpeechLang Therapy'!#REF!,'SpeechLang Therapy'!#REF!,'SpeechLang Therapy'!#REF!,'SpeechLang Therapy'!#REF!,'SpeechLang Therapy'!#REF!,'SpeechLang Therapy'!#REF!,'SpeechLang Therapy'!$10:$25,'SpeechLang Therapy'!#REF!,'SpeechLang Therapy'!#REF!,'SpeechLang Therapy'!#REF!,'SpeechLang Therapy'!#REF!,'SpeechLang Therapy'!#REF!,'SpeechLang Therapy'!#REF!,'SpeechLang Therapy'!#REF!,'SpeechLang Therapy'!#REF!,'SpeechLang Therapy'!#REF!,'SpeechLang Therapy'!#REF!,'SpeechLang Therapy'!#REF!,'SpeechLang Therapy'!#REF!,'SpeechLang Therapy'!#REF!</definedName>
    <definedName name="Z_1CBF4C38_CEB5_4AB0_9C0D_C9236226E6B7_.wvu.Rows" localSheetId="1" hidden="1">Superintendent!#REF!,Superintendent!$10:$20,Superintendent!#REF!,Superintendent!#REF!,Superintendent!#REF!,Superintendent!#REF!,Superintendent!#REF!,Superintendent!#REF!,Superintendent!#REF!,Superintendent!#REF!,Superintendent!#REF!,Superintendent!#REF!,Superintendent!#REF!,Superintendent!#REF!,Superintendent!#REF!,Superintendent!#REF!,Superintendent!#REF!,Superintendent!#REF!,Superintendent!#REF!,Superintendent!#REF!,Superintendent!#REF!,Superintendent!#REF!,Superintendent!#REF!,Superintendent!#REF!,Superintendent!#REF!,Superintendent!#REF!,Superintendent!#REF!,Superintendent!#REF!,Superintendent!#REF!</definedName>
    <definedName name="Z_1CBF4C38_CEB5_4AB0_9C0D_C9236226E6B7_.wvu.Rows" localSheetId="26" hidden="1">Technology!#REF!,Technology!#REF!,Technology!#REF!,Technology!#REF!,Technology!#REF!,Technology!#REF!,Technology!#REF!,Technology!#REF!,Technology!#REF!,Technology!#REF!,Technology!#REF!,Technology!#REF!,Technology!#REF!,Technology!#REF!,Technology!#REF!,Technology!#REF!,Technology!#REF!,Technology!#REF!,Technology!#REF!,Technology!#REF!,Technology!#REF!,Technology!#REF!,Technology!#REF!,Technology!$10:$50,Technology!#REF!,Technology!#REF!,Technology!#REF!,Technology!#REF!,Technology!#REF!</definedName>
    <definedName name="Z_1CBF4C38_CEB5_4AB0_9C0D_C9236226E6B7_.wvu.Rows" localSheetId="16" hidden="1">Testing!#REF!,Testing!#REF!,Testing!#REF!,Testing!#REF!,Testing!#REF!,Testing!#REF!,Testing!#REF!,Testing!#REF!,Testing!#REF!,Testing!#REF!,Testing!#REF!,Testing!#REF!,Testing!#REF!,Testing!#REF!,Testing!#REF!,Testing!#REF!,Testing!#REF!,Testing!$10:$30,Testing!#REF!,Testing!#REF!,Testing!#REF!,Testing!#REF!,Testing!#REF!,Testing!#REF!,Testing!#REF!,Testing!#REF!,Testing!#REF!,Testing!#REF!,Testing!#REF!</definedName>
    <definedName name="Z_1CBF4C38_CEB5_4AB0_9C0D_C9236226E6B7_.wvu.Rows" localSheetId="29" hidden="1">Transportation!#REF!,Transportation!#REF!,Transportation!#REF!,Transportation!#REF!,Transportation!#REF!,Transportation!#REF!,Transportation!#REF!,Transportation!#REF!,Transportation!#REF!,Transportation!#REF!,Transportation!#REF!,Transportation!#REF!,Transportation!#REF!,Transportation!#REF!,Transportation!#REF!,Transportation!#REF!,Transportation!#REF!,Transportation!#REF!,Transportation!#REF!,Transportation!#REF!,Transportation!#REF!,Transportation!#REF!,Transportation!#REF!,Transportation!#REF!,Transportation!#REF!,Transportation!#REF!,Transportation!#REF!,Transportation!#REF!,Transportation!#REF!</definedName>
    <definedName name="Z_1CBF4C38_CEB5_4AB0_9C0D_C9236226E6B7_.wvu.Rows" localSheetId="32" hidden="1">Utilities!#REF!,Utilities!#REF!,Utilities!#REF!,Utilities!#REF!,Utilities!#REF!,Utilities!#REF!,Utilities!#REF!,Utilities!#REF!,Utilities!#REF!,Utilities!#REF!,Utilities!#REF!,Utilities!#REF!,Utilities!#REF!,Utilities!#REF!,Utilities!#REF!,Utilities!#REF!,Utilities!#REF!,Utilities!#REF!,Utilities!#REF!,Utilities!#REF!,Utilities!#REF!,Utilities!#REF!,Utilities!#REF!,Utilities!#REF!,Utilities!#REF!,Utilities!#REF!,Utilities!#REF!,Utilities!#REF!,Utilities!#REF!</definedName>
    <definedName name="Z_1CBF4C38_CEB5_4AB0_9C0D_C9236226E6B7_.wvu.Rows" localSheetId="28" hidden="1">Warehouse!#REF!,Warehouse!#REF!,Warehouse!#REF!,Warehouse!#REF!,Warehouse!#REF!,Warehouse!#REF!,Warehouse!#REF!,Warehouse!#REF!,Warehouse!#REF!,Warehouse!#REF!,Warehouse!#REF!,Warehouse!#REF!,Warehouse!#REF!,Warehouse!#REF!,Warehouse!#REF!,Warehouse!#REF!,Warehouse!#REF!,Warehouse!#REF!,Warehouse!$10:$31,Warehouse!#REF!,Warehouse!#REF!,Warehouse!#REF!,Warehouse!#REF!,Warehouse!#REF!,Warehouse!#REF!,Warehouse!#REF!,Warehouse!#REF!,Warehouse!#REF!,Warehouse!#REF!</definedName>
    <definedName name="Z_5321139C_E7D1_422C_BA39_8D81EC674038_.wvu.FilterData" localSheetId="21" hidden="1">AccountingPurchasing!$A$9:$BH$35</definedName>
    <definedName name="Z_5321139C_E7D1_422C_BA39_8D81EC674038_.wvu.FilterData" localSheetId="22" hidden="1">'Accounts Payable'!$A$9:$BH$21</definedName>
    <definedName name="Z_5321139C_E7D1_422C_BA39_8D81EC674038_.wvu.FilterData" localSheetId="9" hidden="1">'Adult Ed'!$A$9:$BH$24</definedName>
    <definedName name="Z_5321139C_E7D1_422C_BA39_8D81EC674038_.wvu.FilterData" localSheetId="0" hidden="1">Board!$A$9:$BI$26</definedName>
    <definedName name="Z_5321139C_E7D1_422C_BA39_8D81EC674038_.wvu.FilterData" localSheetId="3" hidden="1">'C&amp;I'!$A$9:$BH$61</definedName>
    <definedName name="Z_5321139C_E7D1_422C_BA39_8D81EC674038_.wvu.FilterData" localSheetId="8" hidden="1">'CareerTech Ed'!$A$9:$BH$66</definedName>
    <definedName name="Z_5321139C_E7D1_422C_BA39_8D81EC674038_.wvu.FilterData" localSheetId="14" hidden="1">'Child Welfare'!$A$9:$BH$23</definedName>
    <definedName name="Z_5321139C_E7D1_422C_BA39_8D81EC674038_.wvu.FilterData" localSheetId="5" hidden="1">'Elem Instructional'!$A$9:$BH$27</definedName>
    <definedName name="Z_5321139C_E7D1_422C_BA39_8D81EC674038_.wvu.FilterData" localSheetId="4" hidden="1">Elementary!$A$9:$BH$62</definedName>
    <definedName name="Z_5321139C_E7D1_422C_BA39_8D81EC674038_.wvu.FilterData" localSheetId="33" hidden="1">'Employee Bene'!$A$9:$BH$26</definedName>
    <definedName name="Z_5321139C_E7D1_422C_BA39_8D81EC674038_.wvu.FilterData" localSheetId="20" hidden="1">Finance!$A$9:$BH$18</definedName>
    <definedName name="Z_5321139C_E7D1_422C_BA39_8D81EC674038_.wvu.FilterData" localSheetId="35" hidden="1">'Food Svc-D27 Debt-Transfers'!$A$9:$BH$23</definedName>
    <definedName name="Z_5321139C_E7D1_422C_BA39_8D81EC674038_.wvu.FilterData" localSheetId="11" hidden="1">GiftedTalented!$A$9:$BH$56</definedName>
    <definedName name="Z_5321139C_E7D1_422C_BA39_8D81EC674038_.wvu.FilterData" localSheetId="7" hidden="1">'High Schools'!$A$9:$BH$132</definedName>
    <definedName name="Z_5321139C_E7D1_422C_BA39_8D81EC674038_.wvu.FilterData" localSheetId="24" hidden="1">Insurance!$A$9:$BH$30</definedName>
    <definedName name="Z_5321139C_E7D1_422C_BA39_8D81EC674038_.wvu.FilterData" localSheetId="2" hidden="1">'Internal Audit'!$A$9:$BH$21</definedName>
    <definedName name="Z_5321139C_E7D1_422C_BA39_8D81EC674038_.wvu.FilterData" localSheetId="17" hidden="1">LibraryMedia!$A$9:$BH$43</definedName>
    <definedName name="Z_5321139C_E7D1_422C_BA39_8D81EC674038_.wvu.FilterData" localSheetId="30" hidden="1">Maintenance!$A$9:$BH$102</definedName>
    <definedName name="Z_5321139C_E7D1_422C_BA39_8D81EC674038_.wvu.FilterData" localSheetId="6" hidden="1">Middle!$A$9:$BH$96</definedName>
    <definedName name="Z_5321139C_E7D1_422C_BA39_8D81EC674038_.wvu.FilterData" localSheetId="25" hidden="1">MIS!$A$9:$BH$29</definedName>
    <definedName name="Z_5321139C_E7D1_422C_BA39_8D81EC674038_.wvu.FilterData" localSheetId="15" hidden="1">Nursing!$A$9:$BH$23</definedName>
    <definedName name="Z_5321139C_E7D1_422C_BA39_8D81EC674038_.wvu.FilterData" localSheetId="34" hidden="1">'Other Misc Grants'!$A$9:$BH$34</definedName>
    <definedName name="Z_5321139C_E7D1_422C_BA39_8D81EC674038_.wvu.FilterData" localSheetId="23" hidden="1">Payroll!$A$9:$BH$21</definedName>
    <definedName name="Z_5321139C_E7D1_422C_BA39_8D81EC674038_.wvu.FilterData" localSheetId="19" hidden="1">Personnel!$A$9:$BH$28</definedName>
    <definedName name="Z_5321139C_E7D1_422C_BA39_8D81EC674038_.wvu.FilterData" localSheetId="31" hidden="1">'Planning and Construction'!$A$9:$BH$37</definedName>
    <definedName name="Z_5321139C_E7D1_422C_BA39_8D81EC674038_.wvu.FilterData" localSheetId="18" hidden="1">'Print Shop'!$A$9:$BH$20</definedName>
    <definedName name="Z_5321139C_E7D1_422C_BA39_8D81EC674038_.wvu.FilterData" localSheetId="12" hidden="1">'Pupil Appraisal'!$A$9:$BH$31</definedName>
    <definedName name="Z_5321139C_E7D1_422C_BA39_8D81EC674038_.wvu.FilterData" localSheetId="27" hidden="1">'Sales Tax'!$A$9:$BH$33</definedName>
    <definedName name="Z_5321139C_E7D1_422C_BA39_8D81EC674038_.wvu.FilterData" localSheetId="10" hidden="1">SpecialEd!$A$9:$BH$41</definedName>
    <definedName name="Z_5321139C_E7D1_422C_BA39_8D81EC674038_.wvu.FilterData" localSheetId="13" hidden="1">'SpeechLang Therapy'!$A$9:$BH$26</definedName>
    <definedName name="Z_5321139C_E7D1_422C_BA39_8D81EC674038_.wvu.FilterData" localSheetId="1" hidden="1">Superintendent!$A$9:$BH$22</definedName>
    <definedName name="Z_5321139C_E7D1_422C_BA39_8D81EC674038_.wvu.FilterData" localSheetId="26" hidden="1">Technology!$A$9:$BH$51</definedName>
    <definedName name="Z_5321139C_E7D1_422C_BA39_8D81EC674038_.wvu.FilterData" localSheetId="16" hidden="1">Testing!$A$9:$BH$31</definedName>
    <definedName name="Z_5321139C_E7D1_422C_BA39_8D81EC674038_.wvu.FilterData" localSheetId="29" hidden="1">Transportation!$A$9:$BH$103</definedName>
    <definedName name="Z_5321139C_E7D1_422C_BA39_8D81EC674038_.wvu.FilterData" localSheetId="32" hidden="1">Utilities!$A$9:$BH$25</definedName>
    <definedName name="Z_5321139C_E7D1_422C_BA39_8D81EC674038_.wvu.FilterData" localSheetId="28" hidden="1">Warehouse!$A$9:$BH$32</definedName>
    <definedName name="Z_8C11D4D8_2237_4A41_97C9_CBD27200A933_.wvu.FilterData" localSheetId="21" hidden="1">AccountingPurchasing!$A$9:$BH$35</definedName>
    <definedName name="Z_8C11D4D8_2237_4A41_97C9_CBD27200A933_.wvu.FilterData" localSheetId="22" hidden="1">'Accounts Payable'!$A$9:$BH$21</definedName>
    <definedName name="Z_8C11D4D8_2237_4A41_97C9_CBD27200A933_.wvu.FilterData" localSheetId="9" hidden="1">'Adult Ed'!$A$9:$BH$24</definedName>
    <definedName name="Z_8C11D4D8_2237_4A41_97C9_CBD27200A933_.wvu.FilterData" localSheetId="0" hidden="1">Board!$A$9:$BI$26</definedName>
    <definedName name="Z_8C11D4D8_2237_4A41_97C9_CBD27200A933_.wvu.FilterData" localSheetId="3" hidden="1">'C&amp;I'!$A$9:$BH$61</definedName>
    <definedName name="Z_8C11D4D8_2237_4A41_97C9_CBD27200A933_.wvu.FilterData" localSheetId="8" hidden="1">'CareerTech Ed'!$A$9:$BH$66</definedName>
    <definedName name="Z_8C11D4D8_2237_4A41_97C9_CBD27200A933_.wvu.FilterData" localSheetId="14" hidden="1">'Child Welfare'!$A$9:$BH$23</definedName>
    <definedName name="Z_8C11D4D8_2237_4A41_97C9_CBD27200A933_.wvu.FilterData" localSheetId="5" hidden="1">'Elem Instructional'!$A$9:$BH$27</definedName>
    <definedName name="Z_8C11D4D8_2237_4A41_97C9_CBD27200A933_.wvu.FilterData" localSheetId="4" hidden="1">Elementary!$A$9:$BH$62</definedName>
    <definedName name="Z_8C11D4D8_2237_4A41_97C9_CBD27200A933_.wvu.FilterData" localSheetId="33" hidden="1">'Employee Bene'!$A$9:$BH$26</definedName>
    <definedName name="Z_8C11D4D8_2237_4A41_97C9_CBD27200A933_.wvu.FilterData" localSheetId="20" hidden="1">Finance!$A$9:$BH$18</definedName>
    <definedName name="Z_8C11D4D8_2237_4A41_97C9_CBD27200A933_.wvu.FilterData" localSheetId="35" hidden="1">'Food Svc-D27 Debt-Transfers'!$A$9:$BH$23</definedName>
    <definedName name="Z_8C11D4D8_2237_4A41_97C9_CBD27200A933_.wvu.FilterData" localSheetId="11" hidden="1">GiftedTalented!$A$9:$BH$56</definedName>
    <definedName name="Z_8C11D4D8_2237_4A41_97C9_CBD27200A933_.wvu.FilterData" localSheetId="7" hidden="1">'High Schools'!$A$9:$BH$132</definedName>
    <definedName name="Z_8C11D4D8_2237_4A41_97C9_CBD27200A933_.wvu.FilterData" localSheetId="24" hidden="1">Insurance!$A$9:$BH$30</definedName>
    <definedName name="Z_8C11D4D8_2237_4A41_97C9_CBD27200A933_.wvu.FilterData" localSheetId="2" hidden="1">'Internal Audit'!$A$9:$BH$21</definedName>
    <definedName name="Z_8C11D4D8_2237_4A41_97C9_CBD27200A933_.wvu.FilterData" localSheetId="17" hidden="1">LibraryMedia!$A$9:$BH$43</definedName>
    <definedName name="Z_8C11D4D8_2237_4A41_97C9_CBD27200A933_.wvu.FilterData" localSheetId="30" hidden="1">Maintenance!$A$9:$BH$102</definedName>
    <definedName name="Z_8C11D4D8_2237_4A41_97C9_CBD27200A933_.wvu.FilterData" localSheetId="6" hidden="1">Middle!$A$9:$BH$96</definedName>
    <definedName name="Z_8C11D4D8_2237_4A41_97C9_CBD27200A933_.wvu.FilterData" localSheetId="25" hidden="1">MIS!$A$9:$BH$29</definedName>
    <definedName name="Z_8C11D4D8_2237_4A41_97C9_CBD27200A933_.wvu.FilterData" localSheetId="15" hidden="1">Nursing!$A$9:$BH$23</definedName>
    <definedName name="Z_8C11D4D8_2237_4A41_97C9_CBD27200A933_.wvu.FilterData" localSheetId="34" hidden="1">'Other Misc Grants'!$A$9:$BH$34</definedName>
    <definedName name="Z_8C11D4D8_2237_4A41_97C9_CBD27200A933_.wvu.FilterData" localSheetId="23" hidden="1">Payroll!$A$9:$BH$21</definedName>
    <definedName name="Z_8C11D4D8_2237_4A41_97C9_CBD27200A933_.wvu.FilterData" localSheetId="19" hidden="1">Personnel!$A$9:$BH$28</definedName>
    <definedName name="Z_8C11D4D8_2237_4A41_97C9_CBD27200A933_.wvu.FilterData" localSheetId="31" hidden="1">'Planning and Construction'!$A$9:$BH$37</definedName>
    <definedName name="Z_8C11D4D8_2237_4A41_97C9_CBD27200A933_.wvu.FilterData" localSheetId="18" hidden="1">'Print Shop'!$A$9:$BH$20</definedName>
    <definedName name="Z_8C11D4D8_2237_4A41_97C9_CBD27200A933_.wvu.FilterData" localSheetId="12" hidden="1">'Pupil Appraisal'!$A$9:$BH$31</definedName>
    <definedName name="Z_8C11D4D8_2237_4A41_97C9_CBD27200A933_.wvu.FilterData" localSheetId="27" hidden="1">'Sales Tax'!$A$9:$BH$33</definedName>
    <definedName name="Z_8C11D4D8_2237_4A41_97C9_CBD27200A933_.wvu.FilterData" localSheetId="10" hidden="1">SpecialEd!$A$9:$BH$41</definedName>
    <definedName name="Z_8C11D4D8_2237_4A41_97C9_CBD27200A933_.wvu.FilterData" localSheetId="13" hidden="1">'SpeechLang Therapy'!$A$9:$BH$26</definedName>
    <definedName name="Z_8C11D4D8_2237_4A41_97C9_CBD27200A933_.wvu.FilterData" localSheetId="1" hidden="1">Superintendent!$A$9:$BH$22</definedName>
    <definedName name="Z_8C11D4D8_2237_4A41_97C9_CBD27200A933_.wvu.FilterData" localSheetId="26" hidden="1">Technology!$A$9:$BH$51</definedName>
    <definedName name="Z_8C11D4D8_2237_4A41_97C9_CBD27200A933_.wvu.FilterData" localSheetId="16" hidden="1">Testing!$A$9:$BH$31</definedName>
    <definedName name="Z_8C11D4D8_2237_4A41_97C9_CBD27200A933_.wvu.FilterData" localSheetId="29" hidden="1">Transportation!$A$9:$BH$103</definedName>
    <definedName name="Z_8C11D4D8_2237_4A41_97C9_CBD27200A933_.wvu.FilterData" localSheetId="32" hidden="1">Utilities!$A$9:$BH$25</definedName>
    <definedName name="Z_8C11D4D8_2237_4A41_97C9_CBD27200A933_.wvu.FilterData" localSheetId="28" hidden="1">Warehouse!$A$9:$BH$32</definedName>
    <definedName name="Z_9B61D1E9_1112_48FF_82E6_0FE07621100E_.wvu.FilterData" localSheetId="21" hidden="1">AccountingPurchasing!$A$1:$BJ$35</definedName>
    <definedName name="Z_9B61D1E9_1112_48FF_82E6_0FE07621100E_.wvu.FilterData" localSheetId="22" hidden="1">'Accounts Payable'!$A$1:$BJ$23</definedName>
    <definedName name="Z_9B61D1E9_1112_48FF_82E6_0FE07621100E_.wvu.FilterData" localSheetId="9" hidden="1">'Adult Ed'!$A$1:$BJ$24</definedName>
    <definedName name="Z_9B61D1E9_1112_48FF_82E6_0FE07621100E_.wvu.FilterData" localSheetId="0" hidden="1">Board!$A$1:$BK$68</definedName>
    <definedName name="Z_9B61D1E9_1112_48FF_82E6_0FE07621100E_.wvu.FilterData" localSheetId="3" hidden="1">'C&amp;I'!$A$1:$BJ$61</definedName>
    <definedName name="Z_9B61D1E9_1112_48FF_82E6_0FE07621100E_.wvu.FilterData" localSheetId="8" hidden="1">'CareerTech Ed'!$A$1:$BJ$66</definedName>
    <definedName name="Z_9B61D1E9_1112_48FF_82E6_0FE07621100E_.wvu.FilterData" localSheetId="14" hidden="1">'Child Welfare'!$A$1:$BJ$54</definedName>
    <definedName name="Z_9B61D1E9_1112_48FF_82E6_0FE07621100E_.wvu.FilterData" localSheetId="5" hidden="1">'Elem Instructional'!$A$1:$BJ$27</definedName>
    <definedName name="Z_9B61D1E9_1112_48FF_82E6_0FE07621100E_.wvu.FilterData" localSheetId="4" hidden="1">Elementary!$A$1:$BJ$62</definedName>
    <definedName name="Z_9B61D1E9_1112_48FF_82E6_0FE07621100E_.wvu.FilterData" localSheetId="33" hidden="1">'Employee Bene'!$A$1:$BJ$59</definedName>
    <definedName name="Z_9B61D1E9_1112_48FF_82E6_0FE07621100E_.wvu.FilterData" localSheetId="20" hidden="1">Finance!$A$1:$BJ$18</definedName>
    <definedName name="Z_9B61D1E9_1112_48FF_82E6_0FE07621100E_.wvu.FilterData" localSheetId="35" hidden="1">'Food Svc-D27 Debt-Transfers'!$A$1:$BJ$66</definedName>
    <definedName name="Z_9B61D1E9_1112_48FF_82E6_0FE07621100E_.wvu.FilterData" localSheetId="11" hidden="1">GiftedTalented!$A$1:$BJ$85</definedName>
    <definedName name="Z_9B61D1E9_1112_48FF_82E6_0FE07621100E_.wvu.FilterData" localSheetId="7" hidden="1">'High Schools'!$A$1:$BJ$132</definedName>
    <definedName name="Z_9B61D1E9_1112_48FF_82E6_0FE07621100E_.wvu.FilterData" localSheetId="24" hidden="1">Insurance!$A$1:$BJ$30</definedName>
    <definedName name="Z_9B61D1E9_1112_48FF_82E6_0FE07621100E_.wvu.FilterData" localSheetId="2" hidden="1">'Internal Audit'!$A$1:$BJ$21</definedName>
    <definedName name="Z_9B61D1E9_1112_48FF_82E6_0FE07621100E_.wvu.FilterData" localSheetId="17" hidden="1">LibraryMedia!$A$1:$BJ$43</definedName>
    <definedName name="Z_9B61D1E9_1112_48FF_82E6_0FE07621100E_.wvu.FilterData" localSheetId="30" hidden="1">Maintenance!$A$1:$BJ$110</definedName>
    <definedName name="Z_9B61D1E9_1112_48FF_82E6_0FE07621100E_.wvu.FilterData" localSheetId="6" hidden="1">Middle!$A$1:$BJ$137</definedName>
    <definedName name="Z_9B61D1E9_1112_48FF_82E6_0FE07621100E_.wvu.FilterData" localSheetId="25" hidden="1">MIS!$A$1:$BJ$46</definedName>
    <definedName name="Z_9B61D1E9_1112_48FF_82E6_0FE07621100E_.wvu.FilterData" localSheetId="15" hidden="1">Nursing!$A$1:$BJ$26</definedName>
    <definedName name="Z_9B61D1E9_1112_48FF_82E6_0FE07621100E_.wvu.FilterData" localSheetId="34" hidden="1">'Other Misc Grants'!$A$1:$BJ$74</definedName>
    <definedName name="Z_9B61D1E9_1112_48FF_82E6_0FE07621100E_.wvu.FilterData" localSheetId="23" hidden="1">Payroll!$A$1:$BJ$21</definedName>
    <definedName name="Z_9B61D1E9_1112_48FF_82E6_0FE07621100E_.wvu.FilterData" localSheetId="19" hidden="1">Personnel!$A$1:$BJ$44</definedName>
    <definedName name="Z_9B61D1E9_1112_48FF_82E6_0FE07621100E_.wvu.FilterData" localSheetId="31" hidden="1">'Planning and Construction'!$A$1:$BJ$37</definedName>
    <definedName name="Z_9B61D1E9_1112_48FF_82E6_0FE07621100E_.wvu.FilterData" localSheetId="18" hidden="1">'Print Shop'!$A$1:$BJ$20</definedName>
    <definedName name="Z_9B61D1E9_1112_48FF_82E6_0FE07621100E_.wvu.FilterData" localSheetId="12" hidden="1">'Pupil Appraisal'!$A$1:$BJ$31</definedName>
    <definedName name="Z_9B61D1E9_1112_48FF_82E6_0FE07621100E_.wvu.FilterData" localSheetId="27" hidden="1">'Sales Tax'!$A$1:$BJ$33</definedName>
    <definedName name="Z_9B61D1E9_1112_48FF_82E6_0FE07621100E_.wvu.FilterData" localSheetId="10" hidden="1">SpecialEd!$A$1:$BJ$60</definedName>
    <definedName name="Z_9B61D1E9_1112_48FF_82E6_0FE07621100E_.wvu.FilterData" localSheetId="13" hidden="1">'SpeechLang Therapy'!$A$1:$BJ$41</definedName>
    <definedName name="Z_9B61D1E9_1112_48FF_82E6_0FE07621100E_.wvu.FilterData" localSheetId="1" hidden="1">Superintendent!$A$1:$BJ$58</definedName>
    <definedName name="Z_9B61D1E9_1112_48FF_82E6_0FE07621100E_.wvu.FilterData" localSheetId="26" hidden="1">Technology!$A$1:$BJ$51</definedName>
    <definedName name="Z_9B61D1E9_1112_48FF_82E6_0FE07621100E_.wvu.FilterData" localSheetId="16" hidden="1">Testing!$A$1:$BJ$38</definedName>
    <definedName name="Z_9B61D1E9_1112_48FF_82E6_0FE07621100E_.wvu.FilterData" localSheetId="29" hidden="1">Transportation!$A$1:$BJ$103</definedName>
    <definedName name="Z_9B61D1E9_1112_48FF_82E6_0FE07621100E_.wvu.FilterData" localSheetId="32" hidden="1">Utilities!$A$1:$BJ$62</definedName>
    <definedName name="Z_9B61D1E9_1112_48FF_82E6_0FE07621100E_.wvu.FilterData" localSheetId="28" hidden="1">Warehouse!$A$1:$BJ$52</definedName>
    <definedName name="Z_A5813BDB_B99C_49D2_94F3_F89543F4E34B_.wvu.FilterData" localSheetId="21" hidden="1">AccountingPurchasing!$A$1:$BJ$35</definedName>
    <definedName name="Z_A5813BDB_B99C_49D2_94F3_F89543F4E34B_.wvu.FilterData" localSheetId="22" hidden="1">'Accounts Payable'!$A$1:$BJ$23</definedName>
    <definedName name="Z_A5813BDB_B99C_49D2_94F3_F89543F4E34B_.wvu.FilterData" localSheetId="9" hidden="1">'Adult Ed'!$A$1:$BJ$24</definedName>
    <definedName name="Z_A5813BDB_B99C_49D2_94F3_F89543F4E34B_.wvu.FilterData" localSheetId="0" hidden="1">Board!$A$1:$BK$68</definedName>
    <definedName name="Z_A5813BDB_B99C_49D2_94F3_F89543F4E34B_.wvu.FilterData" localSheetId="3" hidden="1">'C&amp;I'!$A$1:$BJ$61</definedName>
    <definedName name="Z_A5813BDB_B99C_49D2_94F3_F89543F4E34B_.wvu.FilterData" localSheetId="8" hidden="1">'CareerTech Ed'!$A$1:$BJ$66</definedName>
    <definedName name="Z_A5813BDB_B99C_49D2_94F3_F89543F4E34B_.wvu.FilterData" localSheetId="14" hidden="1">'Child Welfare'!$A$1:$BJ$54</definedName>
    <definedName name="Z_A5813BDB_B99C_49D2_94F3_F89543F4E34B_.wvu.FilterData" localSheetId="5" hidden="1">'Elem Instructional'!$A$1:$BJ$27</definedName>
    <definedName name="Z_A5813BDB_B99C_49D2_94F3_F89543F4E34B_.wvu.FilterData" localSheetId="4" hidden="1">Elementary!$A$1:$BJ$62</definedName>
    <definedName name="Z_A5813BDB_B99C_49D2_94F3_F89543F4E34B_.wvu.FilterData" localSheetId="33" hidden="1">'Employee Bene'!$A$1:$BJ$59</definedName>
    <definedName name="Z_A5813BDB_B99C_49D2_94F3_F89543F4E34B_.wvu.FilterData" localSheetId="20" hidden="1">Finance!$A$1:$BJ$18</definedName>
    <definedName name="Z_A5813BDB_B99C_49D2_94F3_F89543F4E34B_.wvu.FilterData" localSheetId="35" hidden="1">'Food Svc-D27 Debt-Transfers'!$A$1:$BJ$66</definedName>
    <definedName name="Z_A5813BDB_B99C_49D2_94F3_F89543F4E34B_.wvu.FilterData" localSheetId="11" hidden="1">GiftedTalented!$A$1:$BJ$85</definedName>
    <definedName name="Z_A5813BDB_B99C_49D2_94F3_F89543F4E34B_.wvu.FilterData" localSheetId="7" hidden="1">'High Schools'!$A$1:$BJ$132</definedName>
    <definedName name="Z_A5813BDB_B99C_49D2_94F3_F89543F4E34B_.wvu.FilterData" localSheetId="24" hidden="1">Insurance!$A$1:$BJ$30</definedName>
    <definedName name="Z_A5813BDB_B99C_49D2_94F3_F89543F4E34B_.wvu.FilterData" localSheetId="2" hidden="1">'Internal Audit'!$A$1:$BJ$21</definedName>
    <definedName name="Z_A5813BDB_B99C_49D2_94F3_F89543F4E34B_.wvu.FilterData" localSheetId="17" hidden="1">LibraryMedia!$A$1:$BJ$43</definedName>
    <definedName name="Z_A5813BDB_B99C_49D2_94F3_F89543F4E34B_.wvu.FilterData" localSheetId="30" hidden="1">Maintenance!$A$1:$BJ$110</definedName>
    <definedName name="Z_A5813BDB_B99C_49D2_94F3_F89543F4E34B_.wvu.FilterData" localSheetId="6" hidden="1">Middle!$A$1:$BJ$137</definedName>
    <definedName name="Z_A5813BDB_B99C_49D2_94F3_F89543F4E34B_.wvu.FilterData" localSheetId="25" hidden="1">MIS!$A$1:$BJ$46</definedName>
    <definedName name="Z_A5813BDB_B99C_49D2_94F3_F89543F4E34B_.wvu.FilterData" localSheetId="15" hidden="1">Nursing!$A$1:$BJ$26</definedName>
    <definedName name="Z_A5813BDB_B99C_49D2_94F3_F89543F4E34B_.wvu.FilterData" localSheetId="34" hidden="1">'Other Misc Grants'!$A$1:$BJ$74</definedName>
    <definedName name="Z_A5813BDB_B99C_49D2_94F3_F89543F4E34B_.wvu.FilterData" localSheetId="23" hidden="1">Payroll!$A$1:$BJ$21</definedName>
    <definedName name="Z_A5813BDB_B99C_49D2_94F3_F89543F4E34B_.wvu.FilterData" localSheetId="19" hidden="1">Personnel!$A$1:$BJ$44</definedName>
    <definedName name="Z_A5813BDB_B99C_49D2_94F3_F89543F4E34B_.wvu.FilterData" localSheetId="31" hidden="1">'Planning and Construction'!$A$1:$BJ$37</definedName>
    <definedName name="Z_A5813BDB_B99C_49D2_94F3_F89543F4E34B_.wvu.FilterData" localSheetId="18" hidden="1">'Print Shop'!$A$1:$BJ$20</definedName>
    <definedName name="Z_A5813BDB_B99C_49D2_94F3_F89543F4E34B_.wvu.FilterData" localSheetId="12" hidden="1">'Pupil Appraisal'!$A$1:$BJ$31</definedName>
    <definedName name="Z_A5813BDB_B99C_49D2_94F3_F89543F4E34B_.wvu.FilterData" localSheetId="27" hidden="1">'Sales Tax'!$A$1:$BJ$33</definedName>
    <definedName name="Z_A5813BDB_B99C_49D2_94F3_F89543F4E34B_.wvu.FilterData" localSheetId="10" hidden="1">SpecialEd!$A$1:$BJ$60</definedName>
    <definedName name="Z_A5813BDB_B99C_49D2_94F3_F89543F4E34B_.wvu.FilterData" localSheetId="13" hidden="1">'SpeechLang Therapy'!$A$1:$BJ$41</definedName>
    <definedName name="Z_A5813BDB_B99C_49D2_94F3_F89543F4E34B_.wvu.FilterData" localSheetId="1" hidden="1">Superintendent!$A$1:$BJ$58</definedName>
    <definedName name="Z_A5813BDB_B99C_49D2_94F3_F89543F4E34B_.wvu.FilterData" localSheetId="26" hidden="1">Technology!$A$1:$BJ$51</definedName>
    <definedName name="Z_A5813BDB_B99C_49D2_94F3_F89543F4E34B_.wvu.FilterData" localSheetId="16" hidden="1">Testing!$A$1:$BJ$38</definedName>
    <definedName name="Z_A5813BDB_B99C_49D2_94F3_F89543F4E34B_.wvu.FilterData" localSheetId="29" hidden="1">Transportation!$A$1:$BJ$103</definedName>
    <definedName name="Z_A5813BDB_B99C_49D2_94F3_F89543F4E34B_.wvu.FilterData" localSheetId="32" hidden="1">Utilities!$A$1:$BJ$62</definedName>
    <definedName name="Z_A5813BDB_B99C_49D2_94F3_F89543F4E34B_.wvu.FilterData" localSheetId="28" hidden="1">Warehouse!$A$1:$BJ$52</definedName>
    <definedName name="Z_EFC02768_FEBA_4701_98E5_746D61D4F707_.wvu.FilterData" localSheetId="21" hidden="1">AccountingPurchasing!$A$9:$BH$35</definedName>
    <definedName name="Z_EFC02768_FEBA_4701_98E5_746D61D4F707_.wvu.FilterData" localSheetId="22" hidden="1">'Accounts Payable'!$A$9:$BH$21</definedName>
    <definedName name="Z_EFC02768_FEBA_4701_98E5_746D61D4F707_.wvu.FilterData" localSheetId="9" hidden="1">'Adult Ed'!$A$9:$BH$24</definedName>
    <definedName name="Z_EFC02768_FEBA_4701_98E5_746D61D4F707_.wvu.FilterData" localSheetId="0" hidden="1">Board!$A$9:$BI$26</definedName>
    <definedName name="Z_EFC02768_FEBA_4701_98E5_746D61D4F707_.wvu.FilterData" localSheetId="3" hidden="1">'C&amp;I'!$A$9:$BH$61</definedName>
    <definedName name="Z_EFC02768_FEBA_4701_98E5_746D61D4F707_.wvu.FilterData" localSheetId="8" hidden="1">'CareerTech Ed'!$A$9:$BH$66</definedName>
    <definedName name="Z_EFC02768_FEBA_4701_98E5_746D61D4F707_.wvu.FilterData" localSheetId="14" hidden="1">'Child Welfare'!$A$9:$BH$23</definedName>
    <definedName name="Z_EFC02768_FEBA_4701_98E5_746D61D4F707_.wvu.FilterData" localSheetId="5" hidden="1">'Elem Instructional'!$A$9:$BH$27</definedName>
    <definedName name="Z_EFC02768_FEBA_4701_98E5_746D61D4F707_.wvu.FilterData" localSheetId="4" hidden="1">Elementary!$A$9:$BH$62</definedName>
    <definedName name="Z_EFC02768_FEBA_4701_98E5_746D61D4F707_.wvu.FilterData" localSheetId="33" hidden="1">'Employee Bene'!$A$9:$BH$26</definedName>
    <definedName name="Z_EFC02768_FEBA_4701_98E5_746D61D4F707_.wvu.FilterData" localSheetId="20" hidden="1">Finance!$A$9:$BH$18</definedName>
    <definedName name="Z_EFC02768_FEBA_4701_98E5_746D61D4F707_.wvu.FilterData" localSheetId="35" hidden="1">'Food Svc-D27 Debt-Transfers'!$A$9:$BH$23</definedName>
    <definedName name="Z_EFC02768_FEBA_4701_98E5_746D61D4F707_.wvu.FilterData" localSheetId="11" hidden="1">GiftedTalented!$A$9:$BH$56</definedName>
    <definedName name="Z_EFC02768_FEBA_4701_98E5_746D61D4F707_.wvu.FilterData" localSheetId="7" hidden="1">'High Schools'!$A$9:$BH$132</definedName>
    <definedName name="Z_EFC02768_FEBA_4701_98E5_746D61D4F707_.wvu.FilterData" localSheetId="24" hidden="1">Insurance!$A$9:$BH$30</definedName>
    <definedName name="Z_EFC02768_FEBA_4701_98E5_746D61D4F707_.wvu.FilterData" localSheetId="2" hidden="1">'Internal Audit'!$A$9:$BH$21</definedName>
    <definedName name="Z_EFC02768_FEBA_4701_98E5_746D61D4F707_.wvu.FilterData" localSheetId="17" hidden="1">LibraryMedia!$A$9:$BH$43</definedName>
    <definedName name="Z_EFC02768_FEBA_4701_98E5_746D61D4F707_.wvu.FilterData" localSheetId="30" hidden="1">Maintenance!$A$9:$BH$102</definedName>
    <definedName name="Z_EFC02768_FEBA_4701_98E5_746D61D4F707_.wvu.FilterData" localSheetId="6" hidden="1">Middle!$A$9:$BH$96</definedName>
    <definedName name="Z_EFC02768_FEBA_4701_98E5_746D61D4F707_.wvu.FilterData" localSheetId="25" hidden="1">MIS!$A$9:$BH$29</definedName>
    <definedName name="Z_EFC02768_FEBA_4701_98E5_746D61D4F707_.wvu.FilterData" localSheetId="15" hidden="1">Nursing!$A$9:$BH$23</definedName>
    <definedName name="Z_EFC02768_FEBA_4701_98E5_746D61D4F707_.wvu.FilterData" localSheetId="34" hidden="1">'Other Misc Grants'!$A$9:$BH$34</definedName>
    <definedName name="Z_EFC02768_FEBA_4701_98E5_746D61D4F707_.wvu.FilterData" localSheetId="23" hidden="1">Payroll!$A$9:$BH$21</definedName>
    <definedName name="Z_EFC02768_FEBA_4701_98E5_746D61D4F707_.wvu.FilterData" localSheetId="19" hidden="1">Personnel!$A$9:$BH$28</definedName>
    <definedName name="Z_EFC02768_FEBA_4701_98E5_746D61D4F707_.wvu.FilterData" localSheetId="31" hidden="1">'Planning and Construction'!$A$9:$BH$37</definedName>
    <definedName name="Z_EFC02768_FEBA_4701_98E5_746D61D4F707_.wvu.FilterData" localSheetId="18" hidden="1">'Print Shop'!$A$9:$BH$20</definedName>
    <definedName name="Z_EFC02768_FEBA_4701_98E5_746D61D4F707_.wvu.FilterData" localSheetId="12" hidden="1">'Pupil Appraisal'!$A$9:$BH$31</definedName>
    <definedName name="Z_EFC02768_FEBA_4701_98E5_746D61D4F707_.wvu.FilterData" localSheetId="27" hidden="1">'Sales Tax'!$A$9:$BH$33</definedName>
    <definedName name="Z_EFC02768_FEBA_4701_98E5_746D61D4F707_.wvu.FilterData" localSheetId="10" hidden="1">SpecialEd!$A$9:$BH$41</definedName>
    <definedName name="Z_EFC02768_FEBA_4701_98E5_746D61D4F707_.wvu.FilterData" localSheetId="13" hidden="1">'SpeechLang Therapy'!$A$9:$BH$26</definedName>
    <definedName name="Z_EFC02768_FEBA_4701_98E5_746D61D4F707_.wvu.FilterData" localSheetId="1" hidden="1">Superintendent!$A$9:$BH$22</definedName>
    <definedName name="Z_EFC02768_FEBA_4701_98E5_746D61D4F707_.wvu.FilterData" localSheetId="26" hidden="1">Technology!$A$9:$BH$51</definedName>
    <definedName name="Z_EFC02768_FEBA_4701_98E5_746D61D4F707_.wvu.FilterData" localSheetId="16" hidden="1">Testing!$A$9:$BH$31</definedName>
    <definedName name="Z_EFC02768_FEBA_4701_98E5_746D61D4F707_.wvu.FilterData" localSheetId="29" hidden="1">Transportation!$A$9:$BH$103</definedName>
    <definedName name="Z_EFC02768_FEBA_4701_98E5_746D61D4F707_.wvu.FilterData" localSheetId="32" hidden="1">Utilities!$A$9:$BH$25</definedName>
    <definedName name="Z_EFC02768_FEBA_4701_98E5_746D61D4F707_.wvu.FilterData" localSheetId="28" hidden="1">Warehouse!$A$9:$BH$32</definedName>
    <definedName name="Z_F5C2D42C_1E90_4E1E_8CD2_BCC10FF918BB_.wvu.FilterData" localSheetId="21" hidden="1">AccountingPurchasing!$A$1:$BJ$35</definedName>
    <definedName name="Z_F5C2D42C_1E90_4E1E_8CD2_BCC10FF918BB_.wvu.FilterData" localSheetId="22" hidden="1">'Accounts Payable'!$A$1:$BJ$23</definedName>
    <definedName name="Z_F5C2D42C_1E90_4E1E_8CD2_BCC10FF918BB_.wvu.FilterData" localSheetId="9" hidden="1">'Adult Ed'!$A$1:$BJ$24</definedName>
    <definedName name="Z_F5C2D42C_1E90_4E1E_8CD2_BCC10FF918BB_.wvu.FilterData" localSheetId="0" hidden="1">Board!$A$1:$BK$68</definedName>
    <definedName name="Z_F5C2D42C_1E90_4E1E_8CD2_BCC10FF918BB_.wvu.FilterData" localSheetId="3" hidden="1">'C&amp;I'!$A$1:$BJ$61</definedName>
    <definedName name="Z_F5C2D42C_1E90_4E1E_8CD2_BCC10FF918BB_.wvu.FilterData" localSheetId="8" hidden="1">'CareerTech Ed'!$A$1:$BJ$66</definedName>
    <definedName name="Z_F5C2D42C_1E90_4E1E_8CD2_BCC10FF918BB_.wvu.FilterData" localSheetId="14" hidden="1">'Child Welfare'!$A$1:$BJ$54</definedName>
    <definedName name="Z_F5C2D42C_1E90_4E1E_8CD2_BCC10FF918BB_.wvu.FilterData" localSheetId="5" hidden="1">'Elem Instructional'!$A$1:$BJ$27</definedName>
    <definedName name="Z_F5C2D42C_1E90_4E1E_8CD2_BCC10FF918BB_.wvu.FilterData" localSheetId="4" hidden="1">Elementary!$A$1:$BJ$62</definedName>
    <definedName name="Z_F5C2D42C_1E90_4E1E_8CD2_BCC10FF918BB_.wvu.FilterData" localSheetId="33" hidden="1">'Employee Bene'!$A$1:$BJ$59</definedName>
    <definedName name="Z_F5C2D42C_1E90_4E1E_8CD2_BCC10FF918BB_.wvu.FilterData" localSheetId="20" hidden="1">Finance!$A$1:$BJ$18</definedName>
    <definedName name="Z_F5C2D42C_1E90_4E1E_8CD2_BCC10FF918BB_.wvu.FilterData" localSheetId="35" hidden="1">'Food Svc-D27 Debt-Transfers'!$A$1:$BJ$66</definedName>
    <definedName name="Z_F5C2D42C_1E90_4E1E_8CD2_BCC10FF918BB_.wvu.FilterData" localSheetId="11" hidden="1">GiftedTalented!$A$1:$BJ$85</definedName>
    <definedName name="Z_F5C2D42C_1E90_4E1E_8CD2_BCC10FF918BB_.wvu.FilterData" localSheetId="7" hidden="1">'High Schools'!$A$1:$BJ$132</definedName>
    <definedName name="Z_F5C2D42C_1E90_4E1E_8CD2_BCC10FF918BB_.wvu.FilterData" localSheetId="24" hidden="1">Insurance!$A$1:$BJ$30</definedName>
    <definedName name="Z_F5C2D42C_1E90_4E1E_8CD2_BCC10FF918BB_.wvu.FilterData" localSheetId="2" hidden="1">'Internal Audit'!$A$1:$BJ$21</definedName>
    <definedName name="Z_F5C2D42C_1E90_4E1E_8CD2_BCC10FF918BB_.wvu.FilterData" localSheetId="17" hidden="1">LibraryMedia!$A$1:$BJ$43</definedName>
    <definedName name="Z_F5C2D42C_1E90_4E1E_8CD2_BCC10FF918BB_.wvu.FilterData" localSheetId="30" hidden="1">Maintenance!$A$1:$BJ$110</definedName>
    <definedName name="Z_F5C2D42C_1E90_4E1E_8CD2_BCC10FF918BB_.wvu.FilterData" localSheetId="6" hidden="1">Middle!$A$1:$BJ$137</definedName>
    <definedName name="Z_F5C2D42C_1E90_4E1E_8CD2_BCC10FF918BB_.wvu.FilterData" localSheetId="25" hidden="1">MIS!$A$1:$BJ$46</definedName>
    <definedName name="Z_F5C2D42C_1E90_4E1E_8CD2_BCC10FF918BB_.wvu.FilterData" localSheetId="15" hidden="1">Nursing!$A$1:$BJ$26</definedName>
    <definedName name="Z_F5C2D42C_1E90_4E1E_8CD2_BCC10FF918BB_.wvu.FilterData" localSheetId="34" hidden="1">'Other Misc Grants'!$A$1:$BJ$74</definedName>
    <definedName name="Z_F5C2D42C_1E90_4E1E_8CD2_BCC10FF918BB_.wvu.FilterData" localSheetId="23" hidden="1">Payroll!$A$1:$BJ$21</definedName>
    <definedName name="Z_F5C2D42C_1E90_4E1E_8CD2_BCC10FF918BB_.wvu.FilterData" localSheetId="19" hidden="1">Personnel!$A$1:$BJ$44</definedName>
    <definedName name="Z_F5C2D42C_1E90_4E1E_8CD2_BCC10FF918BB_.wvu.FilterData" localSheetId="31" hidden="1">'Planning and Construction'!$A$1:$BJ$37</definedName>
    <definedName name="Z_F5C2D42C_1E90_4E1E_8CD2_BCC10FF918BB_.wvu.FilterData" localSheetId="18" hidden="1">'Print Shop'!$A$1:$BJ$20</definedName>
    <definedName name="Z_F5C2D42C_1E90_4E1E_8CD2_BCC10FF918BB_.wvu.FilterData" localSheetId="12" hidden="1">'Pupil Appraisal'!$A$1:$BJ$31</definedName>
    <definedName name="Z_F5C2D42C_1E90_4E1E_8CD2_BCC10FF918BB_.wvu.FilterData" localSheetId="27" hidden="1">'Sales Tax'!$A$1:$BJ$33</definedName>
    <definedName name="Z_F5C2D42C_1E90_4E1E_8CD2_BCC10FF918BB_.wvu.FilterData" localSheetId="10" hidden="1">SpecialEd!$A$1:$BJ$60</definedName>
    <definedName name="Z_F5C2D42C_1E90_4E1E_8CD2_BCC10FF918BB_.wvu.FilterData" localSheetId="13" hidden="1">'SpeechLang Therapy'!$A$1:$BJ$41</definedName>
    <definedName name="Z_F5C2D42C_1E90_4E1E_8CD2_BCC10FF918BB_.wvu.FilterData" localSheetId="1" hidden="1">Superintendent!$A$1:$BJ$58</definedName>
    <definedName name="Z_F5C2D42C_1E90_4E1E_8CD2_BCC10FF918BB_.wvu.FilterData" localSheetId="26" hidden="1">Technology!$A$1:$BJ$51</definedName>
    <definedName name="Z_F5C2D42C_1E90_4E1E_8CD2_BCC10FF918BB_.wvu.FilterData" localSheetId="16" hidden="1">Testing!$A$1:$BJ$38</definedName>
    <definedName name="Z_F5C2D42C_1E90_4E1E_8CD2_BCC10FF918BB_.wvu.FilterData" localSheetId="29" hidden="1">Transportation!$A$1:$BJ$103</definedName>
    <definedName name="Z_F5C2D42C_1E90_4E1E_8CD2_BCC10FF918BB_.wvu.FilterData" localSheetId="32" hidden="1">Utilities!$A$1:$BJ$62</definedName>
    <definedName name="Z_F5C2D42C_1E90_4E1E_8CD2_BCC10FF918BB_.wvu.FilterData" localSheetId="28" hidden="1">Warehouse!$A$1:$BJ$52</definedName>
    <definedName name="Z_FB13FC4A_AD2A_42C2_B51F_0568BEA176E2_.wvu.FilterData" localSheetId="21" hidden="1">AccountingPurchasing!$A$9:$BH$35</definedName>
    <definedName name="Z_FB13FC4A_AD2A_42C2_B51F_0568BEA176E2_.wvu.FilterData" localSheetId="22" hidden="1">'Accounts Payable'!$A$9:$BH$21</definedName>
    <definedName name="Z_FB13FC4A_AD2A_42C2_B51F_0568BEA176E2_.wvu.FilterData" localSheetId="9" hidden="1">'Adult Ed'!$A$9:$BH$24</definedName>
    <definedName name="Z_FB13FC4A_AD2A_42C2_B51F_0568BEA176E2_.wvu.FilterData" localSheetId="0" hidden="1">Board!$A$9:$BI$26</definedName>
    <definedName name="Z_FB13FC4A_AD2A_42C2_B51F_0568BEA176E2_.wvu.FilterData" localSheetId="3" hidden="1">'C&amp;I'!$A$9:$BH$61</definedName>
    <definedName name="Z_FB13FC4A_AD2A_42C2_B51F_0568BEA176E2_.wvu.FilterData" localSheetId="8" hidden="1">'CareerTech Ed'!$A$9:$BH$66</definedName>
    <definedName name="Z_FB13FC4A_AD2A_42C2_B51F_0568BEA176E2_.wvu.FilterData" localSheetId="14" hidden="1">'Child Welfare'!$A$9:$BH$23</definedName>
    <definedName name="Z_FB13FC4A_AD2A_42C2_B51F_0568BEA176E2_.wvu.FilterData" localSheetId="5" hidden="1">'Elem Instructional'!$A$9:$BH$27</definedName>
    <definedName name="Z_FB13FC4A_AD2A_42C2_B51F_0568BEA176E2_.wvu.FilterData" localSheetId="4" hidden="1">Elementary!$A$9:$BH$62</definedName>
    <definedName name="Z_FB13FC4A_AD2A_42C2_B51F_0568BEA176E2_.wvu.FilterData" localSheetId="33" hidden="1">'Employee Bene'!$A$9:$BH$26</definedName>
    <definedName name="Z_FB13FC4A_AD2A_42C2_B51F_0568BEA176E2_.wvu.FilterData" localSheetId="20" hidden="1">Finance!$A$9:$BH$18</definedName>
    <definedName name="Z_FB13FC4A_AD2A_42C2_B51F_0568BEA176E2_.wvu.FilterData" localSheetId="35" hidden="1">'Food Svc-D27 Debt-Transfers'!$A$9:$BH$23</definedName>
    <definedName name="Z_FB13FC4A_AD2A_42C2_B51F_0568BEA176E2_.wvu.FilterData" localSheetId="11" hidden="1">GiftedTalented!$A$9:$BH$56</definedName>
    <definedName name="Z_FB13FC4A_AD2A_42C2_B51F_0568BEA176E2_.wvu.FilterData" localSheetId="7" hidden="1">'High Schools'!$A$9:$BH$132</definedName>
    <definedName name="Z_FB13FC4A_AD2A_42C2_B51F_0568BEA176E2_.wvu.FilterData" localSheetId="24" hidden="1">Insurance!$A$9:$BH$30</definedName>
    <definedName name="Z_FB13FC4A_AD2A_42C2_B51F_0568BEA176E2_.wvu.FilterData" localSheetId="2" hidden="1">'Internal Audit'!$A$9:$BH$21</definedName>
    <definedName name="Z_FB13FC4A_AD2A_42C2_B51F_0568BEA176E2_.wvu.FilterData" localSheetId="17" hidden="1">LibraryMedia!$A$9:$BH$43</definedName>
    <definedName name="Z_FB13FC4A_AD2A_42C2_B51F_0568BEA176E2_.wvu.FilterData" localSheetId="30" hidden="1">Maintenance!$A$9:$BH$102</definedName>
    <definedName name="Z_FB13FC4A_AD2A_42C2_B51F_0568BEA176E2_.wvu.FilterData" localSheetId="6" hidden="1">Middle!$A$9:$BH$96</definedName>
    <definedName name="Z_FB13FC4A_AD2A_42C2_B51F_0568BEA176E2_.wvu.FilterData" localSheetId="25" hidden="1">MIS!$A$9:$BH$29</definedName>
    <definedName name="Z_FB13FC4A_AD2A_42C2_B51F_0568BEA176E2_.wvu.FilterData" localSheetId="15" hidden="1">Nursing!$A$9:$BH$23</definedName>
    <definedName name="Z_FB13FC4A_AD2A_42C2_B51F_0568BEA176E2_.wvu.FilterData" localSheetId="34" hidden="1">'Other Misc Grants'!$A$9:$BH$34</definedName>
    <definedName name="Z_FB13FC4A_AD2A_42C2_B51F_0568BEA176E2_.wvu.FilterData" localSheetId="23" hidden="1">Payroll!$A$9:$BH$21</definedName>
    <definedName name="Z_FB13FC4A_AD2A_42C2_B51F_0568BEA176E2_.wvu.FilterData" localSheetId="19" hidden="1">Personnel!$A$9:$BH$28</definedName>
    <definedName name="Z_FB13FC4A_AD2A_42C2_B51F_0568BEA176E2_.wvu.FilterData" localSheetId="31" hidden="1">'Planning and Construction'!$A$9:$BH$37</definedName>
    <definedName name="Z_FB13FC4A_AD2A_42C2_B51F_0568BEA176E2_.wvu.FilterData" localSheetId="18" hidden="1">'Print Shop'!$A$9:$BH$20</definedName>
    <definedName name="Z_FB13FC4A_AD2A_42C2_B51F_0568BEA176E2_.wvu.FilterData" localSheetId="12" hidden="1">'Pupil Appraisal'!$A$9:$BH$31</definedName>
    <definedName name="Z_FB13FC4A_AD2A_42C2_B51F_0568BEA176E2_.wvu.FilterData" localSheetId="27" hidden="1">'Sales Tax'!$A$9:$BH$33</definedName>
    <definedName name="Z_FB13FC4A_AD2A_42C2_B51F_0568BEA176E2_.wvu.FilterData" localSheetId="10" hidden="1">SpecialEd!$A$9:$BH$41</definedName>
    <definedName name="Z_FB13FC4A_AD2A_42C2_B51F_0568BEA176E2_.wvu.FilterData" localSheetId="13" hidden="1">'SpeechLang Therapy'!$A$9:$BH$26</definedName>
    <definedName name="Z_FB13FC4A_AD2A_42C2_B51F_0568BEA176E2_.wvu.FilterData" localSheetId="1" hidden="1">Superintendent!$A$9:$BH$22</definedName>
    <definedName name="Z_FB13FC4A_AD2A_42C2_B51F_0568BEA176E2_.wvu.FilterData" localSheetId="26" hidden="1">Technology!$A$9:$BH$51</definedName>
    <definedName name="Z_FB13FC4A_AD2A_42C2_B51F_0568BEA176E2_.wvu.FilterData" localSheetId="16" hidden="1">Testing!$A$9:$BH$31</definedName>
    <definedName name="Z_FB13FC4A_AD2A_42C2_B51F_0568BEA176E2_.wvu.FilterData" localSheetId="29" hidden="1">Transportation!$A$9:$BH$103</definedName>
    <definedName name="Z_FB13FC4A_AD2A_42C2_B51F_0568BEA176E2_.wvu.FilterData" localSheetId="32" hidden="1">Utilities!$A$9:$BH$25</definedName>
    <definedName name="Z_FB13FC4A_AD2A_42C2_B51F_0568BEA176E2_.wvu.FilterData" localSheetId="28" hidden="1">Warehouse!$A$9:$BH$32</definedName>
  </definedNames>
  <calcPr calcId="125725" iterate="1" iterateCount="10"/>
</workbook>
</file>

<file path=xl/calcChain.xml><?xml version="1.0" encoding="utf-8"?>
<calcChain xmlns="http://schemas.openxmlformats.org/spreadsheetml/2006/main">
  <c r="C12" i="27"/>
  <c r="C13" s="1"/>
  <c r="C14" s="1"/>
  <c r="C15" s="1"/>
  <c r="C16" s="1"/>
  <c r="C17" s="1"/>
  <c r="C18" s="1"/>
  <c r="C19" s="1"/>
  <c r="C20" s="1"/>
  <c r="C21" s="1"/>
  <c r="C22" s="1"/>
  <c r="C23" s="1"/>
  <c r="C24" s="1"/>
  <c r="C25" s="1"/>
  <c r="C26" s="1"/>
  <c r="C27" s="1"/>
  <c r="C28" s="1"/>
  <c r="C29" s="1"/>
  <c r="BA31" i="21"/>
  <c r="AZ31"/>
  <c r="AP21" i="35"/>
  <c r="AP23"/>
  <c r="AP67" i="4"/>
  <c r="AP27" i="11"/>
  <c r="AP12" i="8"/>
  <c r="AP24" i="6"/>
  <c r="AP11" i="27"/>
  <c r="AP16" i="35"/>
  <c r="AP15"/>
  <c r="AP13"/>
  <c r="AP28" i="11"/>
  <c r="AZ34" i="25"/>
  <c r="AP11" i="35"/>
  <c r="AP23" i="34"/>
  <c r="AP98" i="4"/>
  <c r="AP70" i="24"/>
  <c r="AN63"/>
  <c r="X63"/>
  <c r="L63"/>
  <c r="BD85"/>
  <c r="E85"/>
  <c r="AP83"/>
  <c r="AP61"/>
  <c r="AP69"/>
  <c r="BD38"/>
  <c r="E38"/>
  <c r="E12"/>
  <c r="AP28" i="23"/>
  <c r="E23" i="32"/>
  <c r="E16" i="29"/>
  <c r="AP17" i="14"/>
  <c r="AP31" i="21"/>
  <c r="AP49" i="18"/>
  <c r="E47"/>
  <c r="E40"/>
  <c r="AN18" i="17"/>
  <c r="AN26"/>
  <c r="AP17"/>
  <c r="BD23" i="10"/>
  <c r="E23"/>
  <c r="C12"/>
  <c r="C13"/>
  <c r="C14" s="1"/>
  <c r="C15" s="1"/>
  <c r="C16" s="1"/>
  <c r="C17" s="1"/>
  <c r="C18" s="1"/>
  <c r="C19" s="1"/>
  <c r="C20" s="1"/>
  <c r="C21" s="1"/>
  <c r="C22" s="1"/>
  <c r="BD65" i="9"/>
  <c r="E65"/>
  <c r="AP57"/>
  <c r="E46" i="6"/>
  <c r="AP12"/>
  <c r="E20" i="5"/>
  <c r="BD36"/>
  <c r="AP99" i="4"/>
  <c r="AP27"/>
  <c r="AP52"/>
  <c r="AP11" i="6"/>
  <c r="E13" i="25"/>
  <c r="AF13"/>
  <c r="AJ13" s="1"/>
  <c r="AN13" s="1"/>
  <c r="BD13" s="1"/>
  <c r="AV13"/>
  <c r="E17"/>
  <c r="E18"/>
  <c r="E19"/>
  <c r="E20"/>
  <c r="E21"/>
  <c r="E22"/>
  <c r="E23"/>
  <c r="E24"/>
  <c r="E25"/>
  <c r="E26"/>
  <c r="E27"/>
  <c r="E28"/>
  <c r="E29"/>
  <c r="E30"/>
  <c r="E31"/>
  <c r="E32"/>
  <c r="E33"/>
  <c r="E12"/>
  <c r="E14"/>
  <c r="E15"/>
  <c r="E11"/>
  <c r="E16"/>
  <c r="C14" i="36"/>
  <c r="C15" s="1"/>
  <c r="C16" s="1"/>
  <c r="E20"/>
  <c r="E14"/>
  <c r="E15"/>
  <c r="E16"/>
  <c r="E13"/>
  <c r="E10"/>
  <c r="AZ22"/>
  <c r="AZ17"/>
  <c r="AZ11"/>
  <c r="AZ26" i="35"/>
  <c r="E12"/>
  <c r="E13"/>
  <c r="E14"/>
  <c r="E15"/>
  <c r="E16"/>
  <c r="E19"/>
  <c r="E17"/>
  <c r="E18"/>
  <c r="E20"/>
  <c r="E21"/>
  <c r="E22"/>
  <c r="E24"/>
  <c r="E25"/>
  <c r="E23"/>
  <c r="E11"/>
  <c r="AZ24" i="34"/>
  <c r="E11"/>
  <c r="E12"/>
  <c r="E13"/>
  <c r="E14"/>
  <c r="E16"/>
  <c r="E17"/>
  <c r="E18"/>
  <c r="E19"/>
  <c r="E20"/>
  <c r="E21"/>
  <c r="E22"/>
  <c r="E23"/>
  <c r="E15"/>
  <c r="BD15" i="5"/>
  <c r="E12"/>
  <c r="E13"/>
  <c r="E14"/>
  <c r="E15"/>
  <c r="E16"/>
  <c r="E17"/>
  <c r="E18"/>
  <c r="E19"/>
  <c r="E21"/>
  <c r="E22"/>
  <c r="E23"/>
  <c r="E24"/>
  <c r="E25"/>
  <c r="E26"/>
  <c r="E11"/>
  <c r="E28"/>
  <c r="E29"/>
  <c r="E30"/>
  <c r="E31"/>
  <c r="E32"/>
  <c r="E33"/>
  <c r="E34"/>
  <c r="E35"/>
  <c r="E36"/>
  <c r="E27"/>
  <c r="BD68" i="24"/>
  <c r="E68"/>
  <c r="AZ103"/>
  <c r="E13"/>
  <c r="E14"/>
  <c r="E15"/>
  <c r="E16"/>
  <c r="E17"/>
  <c r="E18"/>
  <c r="E19"/>
  <c r="E20"/>
  <c r="E21"/>
  <c r="E22"/>
  <c r="E23"/>
  <c r="E25"/>
  <c r="E24"/>
  <c r="E26"/>
  <c r="E27"/>
  <c r="E28"/>
  <c r="E29"/>
  <c r="E30"/>
  <c r="E31"/>
  <c r="E32"/>
  <c r="E33"/>
  <c r="E34"/>
  <c r="E35"/>
  <c r="E36"/>
  <c r="E37"/>
  <c r="E39"/>
  <c r="E40"/>
  <c r="E41"/>
  <c r="E42"/>
  <c r="E43"/>
  <c r="E44"/>
  <c r="E45"/>
  <c r="E46"/>
  <c r="E47"/>
  <c r="E48"/>
  <c r="E49"/>
  <c r="E50"/>
  <c r="E51"/>
  <c r="E52"/>
  <c r="E53"/>
  <c r="E54"/>
  <c r="E55"/>
  <c r="E56"/>
  <c r="E57"/>
  <c r="E58"/>
  <c r="E59"/>
  <c r="E60"/>
  <c r="E61"/>
  <c r="E62"/>
  <c r="E63"/>
  <c r="E64"/>
  <c r="E65"/>
  <c r="E66"/>
  <c r="E67"/>
  <c r="E69"/>
  <c r="E70"/>
  <c r="E71"/>
  <c r="E72"/>
  <c r="E73"/>
  <c r="E74"/>
  <c r="E75"/>
  <c r="E76"/>
  <c r="E77"/>
  <c r="E78"/>
  <c r="E79"/>
  <c r="E80"/>
  <c r="E81"/>
  <c r="E82"/>
  <c r="E83"/>
  <c r="E84"/>
  <c r="E86"/>
  <c r="E87"/>
  <c r="E88"/>
  <c r="E89"/>
  <c r="E90"/>
  <c r="E91"/>
  <c r="E92"/>
  <c r="E93"/>
  <c r="E94"/>
  <c r="E95"/>
  <c r="E96"/>
  <c r="E97"/>
  <c r="E98"/>
  <c r="E99"/>
  <c r="E100"/>
  <c r="E101"/>
  <c r="E102"/>
  <c r="E11"/>
  <c r="AZ32" i="23"/>
  <c r="E13"/>
  <c r="E14"/>
  <c r="E12"/>
  <c r="E15"/>
  <c r="E16"/>
  <c r="E17"/>
  <c r="E18"/>
  <c r="E19"/>
  <c r="E20"/>
  <c r="E21"/>
  <c r="E22"/>
  <c r="E23"/>
  <c r="E24"/>
  <c r="E25"/>
  <c r="E26"/>
  <c r="E27"/>
  <c r="E28"/>
  <c r="E29"/>
  <c r="E30"/>
  <c r="E31"/>
  <c r="E11"/>
  <c r="BA5"/>
  <c r="AZ33" i="31"/>
  <c r="E12"/>
  <c r="E13"/>
  <c r="E14"/>
  <c r="E15"/>
  <c r="E16"/>
  <c r="E17"/>
  <c r="E18"/>
  <c r="E19"/>
  <c r="E20"/>
  <c r="E21"/>
  <c r="E22"/>
  <c r="E23"/>
  <c r="E24"/>
  <c r="E25"/>
  <c r="E26"/>
  <c r="E27"/>
  <c r="E28"/>
  <c r="E29"/>
  <c r="E30"/>
  <c r="E31"/>
  <c r="E32"/>
  <c r="E11"/>
  <c r="AZ51" i="32"/>
  <c r="E24"/>
  <c r="E12"/>
  <c r="E13"/>
  <c r="E14"/>
  <c r="E15"/>
  <c r="E16"/>
  <c r="E17"/>
  <c r="E18"/>
  <c r="E19"/>
  <c r="E20"/>
  <c r="E21"/>
  <c r="E22"/>
  <c r="E25"/>
  <c r="E26"/>
  <c r="E27"/>
  <c r="E28"/>
  <c r="E29"/>
  <c r="E30"/>
  <c r="E31"/>
  <c r="E32"/>
  <c r="E33"/>
  <c r="E34"/>
  <c r="E11"/>
  <c r="E36"/>
  <c r="E38"/>
  <c r="E39"/>
  <c r="E40"/>
  <c r="E43"/>
  <c r="E37"/>
  <c r="E44"/>
  <c r="E46"/>
  <c r="E48"/>
  <c r="E41"/>
  <c r="E49"/>
  <c r="E50"/>
  <c r="E42"/>
  <c r="E45"/>
  <c r="E47"/>
  <c r="E35"/>
  <c r="AZ29" i="33"/>
  <c r="E25"/>
  <c r="E13"/>
  <c r="E14"/>
  <c r="E11"/>
  <c r="E12"/>
  <c r="E15"/>
  <c r="E16"/>
  <c r="E17"/>
  <c r="E18"/>
  <c r="E19"/>
  <c r="E20"/>
  <c r="E21"/>
  <c r="E22"/>
  <c r="E23"/>
  <c r="E26"/>
  <c r="E27"/>
  <c r="E28"/>
  <c r="E24"/>
  <c r="E12" i="27"/>
  <c r="E13"/>
  <c r="E14"/>
  <c r="E15"/>
  <c r="E16"/>
  <c r="E17"/>
  <c r="E18"/>
  <c r="E19"/>
  <c r="E20"/>
  <c r="E21"/>
  <c r="E22"/>
  <c r="E23"/>
  <c r="E24"/>
  <c r="E25"/>
  <c r="E26"/>
  <c r="E27"/>
  <c r="E28"/>
  <c r="E29"/>
  <c r="E11"/>
  <c r="AZ30"/>
  <c r="AZ21" i="30"/>
  <c r="E12"/>
  <c r="E13"/>
  <c r="E14"/>
  <c r="E15"/>
  <c r="E16"/>
  <c r="E17"/>
  <c r="E18"/>
  <c r="E19"/>
  <c r="E20"/>
  <c r="E11"/>
  <c r="E12" i="29"/>
  <c r="E13"/>
  <c r="E14"/>
  <c r="E15"/>
  <c r="E17"/>
  <c r="E18"/>
  <c r="E19"/>
  <c r="E20"/>
  <c r="E11"/>
  <c r="AZ21"/>
  <c r="BA34" i="28"/>
  <c r="AZ34"/>
  <c r="AP34"/>
  <c r="X34"/>
  <c r="BA22"/>
  <c r="AZ22"/>
  <c r="AP22"/>
  <c r="X22"/>
  <c r="L22"/>
  <c r="L34"/>
  <c r="AP35"/>
  <c r="X35"/>
  <c r="AZ35"/>
  <c r="E17"/>
  <c r="E18"/>
  <c r="E19"/>
  <c r="E20"/>
  <c r="E21"/>
  <c r="E23"/>
  <c r="E24"/>
  <c r="E25"/>
  <c r="E26"/>
  <c r="E27"/>
  <c r="E28"/>
  <c r="E29"/>
  <c r="E30"/>
  <c r="E31"/>
  <c r="E32"/>
  <c r="E33"/>
  <c r="E16"/>
  <c r="E12" i="26"/>
  <c r="E13"/>
  <c r="E14"/>
  <c r="E15"/>
  <c r="E16"/>
  <c r="E17"/>
  <c r="E11"/>
  <c r="AZ18"/>
  <c r="AZ28" i="22"/>
  <c r="E12"/>
  <c r="E14"/>
  <c r="E16"/>
  <c r="E17"/>
  <c r="E18"/>
  <c r="E20"/>
  <c r="E21"/>
  <c r="E22"/>
  <c r="E23"/>
  <c r="E15"/>
  <c r="E13"/>
  <c r="E24"/>
  <c r="E25"/>
  <c r="E19"/>
  <c r="E26"/>
  <c r="E27"/>
  <c r="E11"/>
  <c r="L18" i="21"/>
  <c r="L31" s="1"/>
  <c r="X18"/>
  <c r="X31"/>
  <c r="AF11"/>
  <c r="AJ11"/>
  <c r="AN11" s="1"/>
  <c r="AF12"/>
  <c r="AJ12" s="1"/>
  <c r="AN12" s="1"/>
  <c r="AF13"/>
  <c r="AJ13" s="1"/>
  <c r="AN13" s="1"/>
  <c r="BD13" s="1"/>
  <c r="AF14"/>
  <c r="AJ14" s="1"/>
  <c r="AF15"/>
  <c r="AJ15"/>
  <c r="AN15" s="1"/>
  <c r="AF16"/>
  <c r="AJ16" s="1"/>
  <c r="AN16" s="1"/>
  <c r="AF17"/>
  <c r="AJ17" s="1"/>
  <c r="AN17" s="1"/>
  <c r="BD17" s="1"/>
  <c r="E18"/>
  <c r="E29"/>
  <c r="E27"/>
  <c r="E28"/>
  <c r="E30"/>
  <c r="E20"/>
  <c r="E21"/>
  <c r="E19"/>
  <c r="E22"/>
  <c r="E23"/>
  <c r="E24"/>
  <c r="E25"/>
  <c r="E26"/>
  <c r="E17" i="20"/>
  <c r="AZ23"/>
  <c r="E12"/>
  <c r="E13"/>
  <c r="E14"/>
  <c r="E15"/>
  <c r="E16"/>
  <c r="E18"/>
  <c r="E19"/>
  <c r="E20"/>
  <c r="E21"/>
  <c r="E22"/>
  <c r="E11"/>
  <c r="AZ26" i="19"/>
  <c r="E12"/>
  <c r="E13"/>
  <c r="E14"/>
  <c r="E15"/>
  <c r="E16"/>
  <c r="E17"/>
  <c r="E18"/>
  <c r="E19"/>
  <c r="E20"/>
  <c r="E21"/>
  <c r="E22"/>
  <c r="E23"/>
  <c r="E24"/>
  <c r="E25"/>
  <c r="E11"/>
  <c r="AZ31" i="11"/>
  <c r="E12"/>
  <c r="E13"/>
  <c r="E14"/>
  <c r="E15"/>
  <c r="E16"/>
  <c r="E17"/>
  <c r="E18"/>
  <c r="E19"/>
  <c r="E20"/>
  <c r="E21"/>
  <c r="E22"/>
  <c r="E23"/>
  <c r="E24"/>
  <c r="E25"/>
  <c r="E27"/>
  <c r="E26"/>
  <c r="E28"/>
  <c r="E29"/>
  <c r="E30"/>
  <c r="E11"/>
  <c r="AZ56" i="18"/>
  <c r="E12"/>
  <c r="E13"/>
  <c r="E14"/>
  <c r="E15"/>
  <c r="E16"/>
  <c r="E17"/>
  <c r="E18"/>
  <c r="E19"/>
  <c r="E20"/>
  <c r="E21"/>
  <c r="E22"/>
  <c r="E23"/>
  <c r="E24"/>
  <c r="E25"/>
  <c r="E26"/>
  <c r="E27"/>
  <c r="E28"/>
  <c r="E29"/>
  <c r="E30"/>
  <c r="E31"/>
  <c r="E32"/>
  <c r="E33"/>
  <c r="E34"/>
  <c r="E35"/>
  <c r="E36"/>
  <c r="E37"/>
  <c r="E38"/>
  <c r="E39"/>
  <c r="E41"/>
  <c r="E42"/>
  <c r="E43"/>
  <c r="E44"/>
  <c r="E45"/>
  <c r="E46"/>
  <c r="E48"/>
  <c r="E49"/>
  <c r="E50"/>
  <c r="E51"/>
  <c r="E52"/>
  <c r="E53"/>
  <c r="E54"/>
  <c r="E55"/>
  <c r="E11"/>
  <c r="BD27" i="17"/>
  <c r="AZ41"/>
  <c r="E17"/>
  <c r="E19"/>
  <c r="E22"/>
  <c r="E24"/>
  <c r="E18"/>
  <c r="E21"/>
  <c r="E23"/>
  <c r="E12"/>
  <c r="E13"/>
  <c r="E14"/>
  <c r="E15"/>
  <c r="E16"/>
  <c r="E20"/>
  <c r="E25"/>
  <c r="E26"/>
  <c r="E27"/>
  <c r="E39"/>
  <c r="E28"/>
  <c r="E29"/>
  <c r="E30"/>
  <c r="E31"/>
  <c r="E33"/>
  <c r="E34"/>
  <c r="E35"/>
  <c r="E32"/>
  <c r="E36"/>
  <c r="E37"/>
  <c r="E38"/>
  <c r="E40"/>
  <c r="E11"/>
  <c r="BD16" i="16"/>
  <c r="E16"/>
  <c r="AZ43"/>
  <c r="E12"/>
  <c r="E13"/>
  <c r="E14"/>
  <c r="E15"/>
  <c r="E17"/>
  <c r="E18"/>
  <c r="E19"/>
  <c r="E20"/>
  <c r="E21"/>
  <c r="E22"/>
  <c r="E23"/>
  <c r="E24"/>
  <c r="E25"/>
  <c r="E26"/>
  <c r="E27"/>
  <c r="E28"/>
  <c r="E29"/>
  <c r="E30"/>
  <c r="E31"/>
  <c r="E32"/>
  <c r="E33"/>
  <c r="E34"/>
  <c r="E35"/>
  <c r="E36"/>
  <c r="E37"/>
  <c r="E38"/>
  <c r="E39"/>
  <c r="E40"/>
  <c r="E41"/>
  <c r="E42"/>
  <c r="E11"/>
  <c r="C12"/>
  <c r="C13" s="1"/>
  <c r="C14" s="1"/>
  <c r="C15" s="1"/>
  <c r="E17" i="15"/>
  <c r="E18"/>
  <c r="AZ23"/>
  <c r="BA23"/>
  <c r="E12"/>
  <c r="E13"/>
  <c r="E14"/>
  <c r="E15"/>
  <c r="E16"/>
  <c r="E19"/>
  <c r="E20"/>
  <c r="E21"/>
  <c r="E22"/>
  <c r="E11"/>
  <c r="BD15" i="14"/>
  <c r="E15"/>
  <c r="AZ19"/>
  <c r="E12"/>
  <c r="E13"/>
  <c r="E14"/>
  <c r="E16"/>
  <c r="E17"/>
  <c r="E18"/>
  <c r="E11"/>
  <c r="BD19" i="13"/>
  <c r="E19"/>
  <c r="AZ24"/>
  <c r="E13"/>
  <c r="E14"/>
  <c r="E15"/>
  <c r="E16"/>
  <c r="E17"/>
  <c r="E18"/>
  <c r="E20"/>
  <c r="E21"/>
  <c r="E22"/>
  <c r="E23"/>
  <c r="E12"/>
  <c r="AN104" i="12"/>
  <c r="AZ132"/>
  <c r="E12"/>
  <c r="E13"/>
  <c r="E14"/>
  <c r="E15"/>
  <c r="E16"/>
  <c r="E17"/>
  <c r="E18"/>
  <c r="E19"/>
  <c r="E20"/>
  <c r="E21"/>
  <c r="E22"/>
  <c r="E23"/>
  <c r="E24"/>
  <c r="E25"/>
  <c r="E26"/>
  <c r="E27"/>
  <c r="E28"/>
  <c r="E29"/>
  <c r="E30"/>
  <c r="E31"/>
  <c r="E32"/>
  <c r="E33"/>
  <c r="E34"/>
  <c r="E35"/>
  <c r="E36"/>
  <c r="E37"/>
  <c r="E38"/>
  <c r="E39"/>
  <c r="E40"/>
  <c r="E41"/>
  <c r="E42"/>
  <c r="E43"/>
  <c r="E44"/>
  <c r="E45"/>
  <c r="E46"/>
  <c r="E47"/>
  <c r="E48"/>
  <c r="E49"/>
  <c r="E50"/>
  <c r="E51"/>
  <c r="E52"/>
  <c r="E53"/>
  <c r="E54"/>
  <c r="E55"/>
  <c r="E56"/>
  <c r="E57"/>
  <c r="E58"/>
  <c r="E59"/>
  <c r="E60"/>
  <c r="E61"/>
  <c r="E62"/>
  <c r="E63"/>
  <c r="E64"/>
  <c r="E65"/>
  <c r="E66"/>
  <c r="E67"/>
  <c r="E68"/>
  <c r="E69"/>
  <c r="E70"/>
  <c r="E71"/>
  <c r="E72"/>
  <c r="E73"/>
  <c r="E74"/>
  <c r="E75"/>
  <c r="E76"/>
  <c r="E77"/>
  <c r="E78"/>
  <c r="E79"/>
  <c r="E80"/>
  <c r="E81"/>
  <c r="E82"/>
  <c r="E83"/>
  <c r="E84"/>
  <c r="E85"/>
  <c r="E86"/>
  <c r="E87"/>
  <c r="E88"/>
  <c r="E89"/>
  <c r="E90"/>
  <c r="E91"/>
  <c r="E92"/>
  <c r="E93"/>
  <c r="E94"/>
  <c r="E95"/>
  <c r="E96"/>
  <c r="E97"/>
  <c r="E98"/>
  <c r="E99"/>
  <c r="E100"/>
  <c r="E101"/>
  <c r="E102"/>
  <c r="E103"/>
  <c r="E104"/>
  <c r="E105"/>
  <c r="E106"/>
  <c r="E107"/>
  <c r="E108"/>
  <c r="E109"/>
  <c r="E110"/>
  <c r="E111"/>
  <c r="E112"/>
  <c r="E113"/>
  <c r="E114"/>
  <c r="E115"/>
  <c r="E116"/>
  <c r="E117"/>
  <c r="E118"/>
  <c r="E119"/>
  <c r="E120"/>
  <c r="E121"/>
  <c r="E122"/>
  <c r="E123"/>
  <c r="E124"/>
  <c r="E125"/>
  <c r="E126"/>
  <c r="E127"/>
  <c r="E128"/>
  <c r="E129"/>
  <c r="E130"/>
  <c r="E131"/>
  <c r="E11"/>
  <c r="C12"/>
  <c r="C13" s="1"/>
  <c r="C14" s="1"/>
  <c r="C15" s="1"/>
  <c r="C16" s="1"/>
  <c r="C17" s="1"/>
  <c r="C18" s="1"/>
  <c r="C19" s="1"/>
  <c r="C20" s="1"/>
  <c r="C21" s="1"/>
  <c r="C22" s="1"/>
  <c r="C23" s="1"/>
  <c r="C24" s="1"/>
  <c r="C25" s="1"/>
  <c r="C26" s="1"/>
  <c r="C27" s="1"/>
  <c r="C28" s="1"/>
  <c r="C29" s="1"/>
  <c r="C30" s="1"/>
  <c r="C31" s="1"/>
  <c r="C32" s="1"/>
  <c r="C33" s="1"/>
  <c r="C34" s="1"/>
  <c r="C35" s="1"/>
  <c r="C36" s="1"/>
  <c r="C37" s="1"/>
  <c r="C38" s="1"/>
  <c r="C39" s="1"/>
  <c r="C40" s="1"/>
  <c r="C41" s="1"/>
  <c r="C42" s="1"/>
  <c r="C43" s="1"/>
  <c r="C44" s="1"/>
  <c r="C45" s="1"/>
  <c r="C46" s="1"/>
  <c r="C47" s="1"/>
  <c r="C48" s="1"/>
  <c r="C49" s="1"/>
  <c r="C50" s="1"/>
  <c r="C51" s="1"/>
  <c r="C52" s="1"/>
  <c r="C53" s="1"/>
  <c r="C54" s="1"/>
  <c r="C55" s="1"/>
  <c r="C56" s="1"/>
  <c r="C57" s="1"/>
  <c r="C58" s="1"/>
  <c r="C59" s="1"/>
  <c r="C60" s="1"/>
  <c r="C61" s="1"/>
  <c r="C62" s="1"/>
  <c r="C63" s="1"/>
  <c r="C64" s="1"/>
  <c r="C65" s="1"/>
  <c r="C66" s="1"/>
  <c r="C67" s="1"/>
  <c r="C68" s="1"/>
  <c r="C69" s="1"/>
  <c r="C70" s="1"/>
  <c r="C71" s="1"/>
  <c r="C72" s="1"/>
  <c r="C73" s="1"/>
  <c r="C74" s="1"/>
  <c r="C75" s="1"/>
  <c r="C76" s="1"/>
  <c r="C77" s="1"/>
  <c r="C78" s="1"/>
  <c r="C79" s="1"/>
  <c r="C80" s="1"/>
  <c r="C81" s="1"/>
  <c r="C82" s="1"/>
  <c r="C83" s="1"/>
  <c r="C84" s="1"/>
  <c r="C85" s="1"/>
  <c r="C86" s="1"/>
  <c r="C87" s="1"/>
  <c r="C88" s="1"/>
  <c r="C89" s="1"/>
  <c r="C90" s="1"/>
  <c r="C91" s="1"/>
  <c r="C92" s="1"/>
  <c r="C93" s="1"/>
  <c r="C94" s="1"/>
  <c r="C95" s="1"/>
  <c r="C96" s="1"/>
  <c r="C97" s="1"/>
  <c r="C98" s="1"/>
  <c r="C99" s="1"/>
  <c r="C100" s="1"/>
  <c r="C101" s="1"/>
  <c r="C102" s="1"/>
  <c r="C103" s="1"/>
  <c r="C104" s="1"/>
  <c r="C105" s="1"/>
  <c r="C106" s="1"/>
  <c r="C107" s="1"/>
  <c r="C108" s="1"/>
  <c r="C109" s="1"/>
  <c r="C110" s="1"/>
  <c r="C111" s="1"/>
  <c r="C112" s="1"/>
  <c r="C113" s="1"/>
  <c r="C114" s="1"/>
  <c r="C115" s="1"/>
  <c r="C116" s="1"/>
  <c r="C117" s="1"/>
  <c r="C118" s="1"/>
  <c r="C119" s="1"/>
  <c r="C120" s="1"/>
  <c r="C121" s="1"/>
  <c r="C122" s="1"/>
  <c r="C123" s="1"/>
  <c r="C124" s="1"/>
  <c r="C125" s="1"/>
  <c r="C126" s="1"/>
  <c r="C127" s="1"/>
  <c r="C128" s="1"/>
  <c r="C129" s="1"/>
  <c r="C130" s="1"/>
  <c r="C131" s="1"/>
  <c r="E55" i="10"/>
  <c r="BD55"/>
  <c r="E12"/>
  <c r="E13"/>
  <c r="E14"/>
  <c r="E15"/>
  <c r="E16"/>
  <c r="E17"/>
  <c r="E18"/>
  <c r="E19"/>
  <c r="E20"/>
  <c r="E21"/>
  <c r="E22"/>
  <c r="E24"/>
  <c r="E25"/>
  <c r="E26"/>
  <c r="E27"/>
  <c r="E28"/>
  <c r="E29"/>
  <c r="E30"/>
  <c r="E31"/>
  <c r="E32"/>
  <c r="E33"/>
  <c r="E34"/>
  <c r="E35"/>
  <c r="E36"/>
  <c r="E37"/>
  <c r="E38"/>
  <c r="E39"/>
  <c r="E40"/>
  <c r="E41"/>
  <c r="E42"/>
  <c r="E43"/>
  <c r="E44"/>
  <c r="E45"/>
  <c r="E46"/>
  <c r="E47"/>
  <c r="E48"/>
  <c r="E49"/>
  <c r="E50"/>
  <c r="E51"/>
  <c r="E52"/>
  <c r="E53"/>
  <c r="E54"/>
  <c r="E56"/>
  <c r="E57"/>
  <c r="E58"/>
  <c r="E59"/>
  <c r="E60"/>
  <c r="E61"/>
  <c r="E62"/>
  <c r="E63"/>
  <c r="E64"/>
  <c r="E11"/>
  <c r="AZ65"/>
  <c r="BD75" i="9"/>
  <c r="E75"/>
  <c r="AZ96"/>
  <c r="E27"/>
  <c r="E28"/>
  <c r="E29"/>
  <c r="E30"/>
  <c r="E31"/>
  <c r="E32"/>
  <c r="E33"/>
  <c r="E34"/>
  <c r="E35"/>
  <c r="E36"/>
  <c r="E37"/>
  <c r="E38"/>
  <c r="E39"/>
  <c r="E40"/>
  <c r="E41"/>
  <c r="E42"/>
  <c r="E43"/>
  <c r="E44"/>
  <c r="E45"/>
  <c r="E46"/>
  <c r="E47"/>
  <c r="E48"/>
  <c r="E49"/>
  <c r="E50"/>
  <c r="E51"/>
  <c r="E52"/>
  <c r="E53"/>
  <c r="E54"/>
  <c r="E55"/>
  <c r="E56"/>
  <c r="E57"/>
  <c r="E58"/>
  <c r="E59"/>
  <c r="E60"/>
  <c r="E61"/>
  <c r="E62"/>
  <c r="E63"/>
  <c r="E64"/>
  <c r="E66"/>
  <c r="E67"/>
  <c r="E68"/>
  <c r="E69"/>
  <c r="E70"/>
  <c r="E71"/>
  <c r="E72"/>
  <c r="E73"/>
  <c r="E74"/>
  <c r="E76"/>
  <c r="E77"/>
  <c r="E78"/>
  <c r="E79"/>
  <c r="E80"/>
  <c r="E81"/>
  <c r="E82"/>
  <c r="E83"/>
  <c r="E84"/>
  <c r="E85"/>
  <c r="E86"/>
  <c r="E87"/>
  <c r="E88"/>
  <c r="E89"/>
  <c r="E90"/>
  <c r="E91"/>
  <c r="E92"/>
  <c r="E93"/>
  <c r="E94"/>
  <c r="E95"/>
  <c r="E26"/>
  <c r="AZ26" i="8"/>
  <c r="C12"/>
  <c r="C13" s="1"/>
  <c r="C14" s="1"/>
  <c r="C15" s="1"/>
  <c r="C16" s="1"/>
  <c r="C17" s="1"/>
  <c r="C18" s="1"/>
  <c r="C19" s="1"/>
  <c r="C20" s="1"/>
  <c r="C21" s="1"/>
  <c r="C22" s="1"/>
  <c r="C23" s="1"/>
  <c r="C24" s="1"/>
  <c r="C25" s="1"/>
  <c r="E12"/>
  <c r="E13"/>
  <c r="E14"/>
  <c r="E15"/>
  <c r="E16"/>
  <c r="E17"/>
  <c r="E18"/>
  <c r="E19"/>
  <c r="E20"/>
  <c r="E21"/>
  <c r="E22"/>
  <c r="E23"/>
  <c r="E24"/>
  <c r="E25"/>
  <c r="E11"/>
  <c r="C12" i="7"/>
  <c r="C13" s="1"/>
  <c r="C14" s="1"/>
  <c r="C15" s="1"/>
  <c r="C16" s="1"/>
  <c r="C17" s="1"/>
  <c r="C18" s="1"/>
  <c r="C19" s="1"/>
  <c r="C20" s="1"/>
  <c r="C21" s="1"/>
  <c r="C22" s="1"/>
  <c r="C23" s="1"/>
  <c r="C24" s="1"/>
  <c r="C25" s="1"/>
  <c r="C26" s="1"/>
  <c r="C27" s="1"/>
  <c r="C28" s="1"/>
  <c r="C29" s="1"/>
  <c r="C30" s="1"/>
  <c r="C31" s="1"/>
  <c r="C32" s="1"/>
  <c r="C33" s="1"/>
  <c r="C34" s="1"/>
  <c r="C35" s="1"/>
  <c r="C36" s="1"/>
  <c r="C37" s="1"/>
  <c r="C38" s="1"/>
  <c r="C39" s="1"/>
  <c r="C40" s="1"/>
  <c r="C41" s="1"/>
  <c r="C42" s="1"/>
  <c r="C43" s="1"/>
  <c r="C44" s="1"/>
  <c r="C45" s="1"/>
  <c r="C46" s="1"/>
  <c r="C47" s="1"/>
  <c r="C48" s="1"/>
  <c r="C49" s="1"/>
  <c r="C50" s="1"/>
  <c r="C51" s="1"/>
  <c r="C52" s="1"/>
  <c r="C53" s="1"/>
  <c r="C54" s="1"/>
  <c r="C55" s="1"/>
  <c r="C56" s="1"/>
  <c r="C57" s="1"/>
  <c r="C58" s="1"/>
  <c r="C59" s="1"/>
  <c r="C60" s="1"/>
  <c r="E12"/>
  <c r="E13"/>
  <c r="E14"/>
  <c r="E15"/>
  <c r="E16"/>
  <c r="E17"/>
  <c r="E18"/>
  <c r="E19"/>
  <c r="E20"/>
  <c r="E21"/>
  <c r="E22"/>
  <c r="E23"/>
  <c r="E24"/>
  <c r="E25"/>
  <c r="E26"/>
  <c r="E27"/>
  <c r="E28"/>
  <c r="E29"/>
  <c r="E30"/>
  <c r="E31"/>
  <c r="E32"/>
  <c r="E33"/>
  <c r="E34"/>
  <c r="E35"/>
  <c r="E36"/>
  <c r="E37"/>
  <c r="E38"/>
  <c r="E39"/>
  <c r="E40"/>
  <c r="E41"/>
  <c r="E42"/>
  <c r="E43"/>
  <c r="E44"/>
  <c r="E45"/>
  <c r="E46"/>
  <c r="E47"/>
  <c r="E48"/>
  <c r="E49"/>
  <c r="E50"/>
  <c r="E51"/>
  <c r="E52"/>
  <c r="E53"/>
  <c r="E54"/>
  <c r="E55"/>
  <c r="E56"/>
  <c r="E57"/>
  <c r="E58"/>
  <c r="E59"/>
  <c r="E60"/>
  <c r="E11"/>
  <c r="AZ61"/>
  <c r="BA22" i="6"/>
  <c r="BA14"/>
  <c r="BA15"/>
  <c r="BA60" s="1"/>
  <c r="BA16"/>
  <c r="BA18"/>
  <c r="BA19"/>
  <c r="BA20"/>
  <c r="BA21"/>
  <c r="BA25"/>
  <c r="BA27"/>
  <c r="BA28"/>
  <c r="BA32"/>
  <c r="BA33"/>
  <c r="BA36"/>
  <c r="BA37"/>
  <c r="BA39"/>
  <c r="BA44"/>
  <c r="BA45"/>
  <c r="BA50"/>
  <c r="BA51"/>
  <c r="BA52"/>
  <c r="BA58"/>
  <c r="BA59"/>
  <c r="E12"/>
  <c r="E13"/>
  <c r="E14"/>
  <c r="E15"/>
  <c r="E16"/>
  <c r="E17"/>
  <c r="E18"/>
  <c r="E19"/>
  <c r="E20"/>
  <c r="E21"/>
  <c r="E22"/>
  <c r="E23"/>
  <c r="E24"/>
  <c r="E25"/>
  <c r="E26"/>
  <c r="E27"/>
  <c r="E28"/>
  <c r="E29"/>
  <c r="E30"/>
  <c r="E31"/>
  <c r="E32"/>
  <c r="E33"/>
  <c r="E34"/>
  <c r="E35"/>
  <c r="E36"/>
  <c r="E37"/>
  <c r="E38"/>
  <c r="E39"/>
  <c r="E40"/>
  <c r="E41"/>
  <c r="E42"/>
  <c r="E43"/>
  <c r="E44"/>
  <c r="E45"/>
  <c r="E47"/>
  <c r="E48"/>
  <c r="E49"/>
  <c r="E50"/>
  <c r="E51"/>
  <c r="E52"/>
  <c r="E53"/>
  <c r="E54"/>
  <c r="E55"/>
  <c r="E56"/>
  <c r="E57"/>
  <c r="E58"/>
  <c r="E59"/>
  <c r="E11"/>
  <c r="C12"/>
  <c r="C13" s="1"/>
  <c r="C14" s="1"/>
  <c r="C15" s="1"/>
  <c r="C16" s="1"/>
  <c r="C17" s="1"/>
  <c r="C18" s="1"/>
  <c r="C19" s="1"/>
  <c r="C20" s="1"/>
  <c r="C21" s="1"/>
  <c r="C22" s="1"/>
  <c r="C23" s="1"/>
  <c r="C24" s="1"/>
  <c r="C25" s="1"/>
  <c r="C26" s="1"/>
  <c r="C27" s="1"/>
  <c r="C28" s="1"/>
  <c r="C29" s="1"/>
  <c r="C30" s="1"/>
  <c r="C31" s="1"/>
  <c r="C32" s="1"/>
  <c r="C33" s="1"/>
  <c r="C34" s="1"/>
  <c r="C35" s="1"/>
  <c r="C36" s="1"/>
  <c r="C37" s="1"/>
  <c r="C38" s="1"/>
  <c r="C39" s="1"/>
  <c r="C40" s="1"/>
  <c r="C41" s="1"/>
  <c r="C42" s="1"/>
  <c r="C43" s="1"/>
  <c r="C44" s="1"/>
  <c r="BA37" i="5"/>
  <c r="BA101" i="4"/>
  <c r="E12"/>
  <c r="E13"/>
  <c r="E14"/>
  <c r="E15"/>
  <c r="E16"/>
  <c r="E17"/>
  <c r="E18"/>
  <c r="E19"/>
  <c r="E20"/>
  <c r="E21"/>
  <c r="E22"/>
  <c r="E23"/>
  <c r="E24"/>
  <c r="E25"/>
  <c r="E26"/>
  <c r="E27"/>
  <c r="E28"/>
  <c r="E29"/>
  <c r="E30"/>
  <c r="E31"/>
  <c r="E32"/>
  <c r="E33"/>
  <c r="E34"/>
  <c r="E35"/>
  <c r="E36"/>
  <c r="E37"/>
  <c r="E38"/>
  <c r="E39"/>
  <c r="E40"/>
  <c r="E41"/>
  <c r="E42"/>
  <c r="E43"/>
  <c r="E44"/>
  <c r="E45"/>
  <c r="E46"/>
  <c r="E47"/>
  <c r="E48"/>
  <c r="E49"/>
  <c r="E50"/>
  <c r="E51"/>
  <c r="E52"/>
  <c r="E53"/>
  <c r="E54"/>
  <c r="E55"/>
  <c r="E56"/>
  <c r="E57"/>
  <c r="E58"/>
  <c r="E59"/>
  <c r="E60"/>
  <c r="E61"/>
  <c r="E62"/>
  <c r="E63"/>
  <c r="E64"/>
  <c r="E65"/>
  <c r="E66"/>
  <c r="E67"/>
  <c r="E68"/>
  <c r="E69"/>
  <c r="E70"/>
  <c r="E71"/>
  <c r="E72"/>
  <c r="E73"/>
  <c r="E74"/>
  <c r="E75"/>
  <c r="E76"/>
  <c r="E77"/>
  <c r="E78"/>
  <c r="E79"/>
  <c r="E80"/>
  <c r="E81"/>
  <c r="E82"/>
  <c r="E83"/>
  <c r="E84"/>
  <c r="E85"/>
  <c r="E86"/>
  <c r="E87"/>
  <c r="E88"/>
  <c r="E89"/>
  <c r="E90"/>
  <c r="E91"/>
  <c r="E92"/>
  <c r="E93"/>
  <c r="E94"/>
  <c r="E95"/>
  <c r="E96"/>
  <c r="E97"/>
  <c r="E98"/>
  <c r="E99"/>
  <c r="E100"/>
  <c r="E11"/>
  <c r="C12"/>
  <c r="C13" s="1"/>
  <c r="C14" s="1"/>
  <c r="C15" s="1"/>
  <c r="C16" s="1"/>
  <c r="C17" s="1"/>
  <c r="C18" s="1"/>
  <c r="C19" s="1"/>
  <c r="C20" s="1"/>
  <c r="C21" s="1"/>
  <c r="C22" s="1"/>
  <c r="C23" s="1"/>
  <c r="C24" s="1"/>
  <c r="C25" s="1"/>
  <c r="C26" s="1"/>
  <c r="C27" s="1"/>
  <c r="C28" s="1"/>
  <c r="C29" s="1"/>
  <c r="C30" s="1"/>
  <c r="C31" s="1"/>
  <c r="C32" s="1"/>
  <c r="C33" s="1"/>
  <c r="C34" s="1"/>
  <c r="C35" s="1"/>
  <c r="C36" s="1"/>
  <c r="C37" s="1"/>
  <c r="C38" s="1"/>
  <c r="C39" s="1"/>
  <c r="C40" s="1"/>
  <c r="C41" s="1"/>
  <c r="C42" s="1"/>
  <c r="C43" s="1"/>
  <c r="C44" s="1"/>
  <c r="C45" s="1"/>
  <c r="C46" s="1"/>
  <c r="C47" s="1"/>
  <c r="C48" s="1"/>
  <c r="C49" s="1"/>
  <c r="C50" s="1"/>
  <c r="C51" s="1"/>
  <c r="C52" s="1"/>
  <c r="C53" s="1"/>
  <c r="C54" s="1"/>
  <c r="C55" s="1"/>
  <c r="C56" s="1"/>
  <c r="C57" s="1"/>
  <c r="C58" s="1"/>
  <c r="C59" s="1"/>
  <c r="C60" s="1"/>
  <c r="C61" s="1"/>
  <c r="C62" s="1"/>
  <c r="C63" s="1"/>
  <c r="C64" s="1"/>
  <c r="C65" s="1"/>
  <c r="C66" s="1"/>
  <c r="C67" s="1"/>
  <c r="C68" s="1"/>
  <c r="C69" s="1"/>
  <c r="C70" s="1"/>
  <c r="C71" s="1"/>
  <c r="C72" s="1"/>
  <c r="C73" s="1"/>
  <c r="C74" s="1"/>
  <c r="C75" s="1"/>
  <c r="C76" s="1"/>
  <c r="C77" s="1"/>
  <c r="C78" s="1"/>
  <c r="C79" s="1"/>
  <c r="C80" s="1"/>
  <c r="C81" s="1"/>
  <c r="C82" s="1"/>
  <c r="C83" s="1"/>
  <c r="C84" s="1"/>
  <c r="C85" s="1"/>
  <c r="C86" s="1"/>
  <c r="C87" s="1"/>
  <c r="C88" s="1"/>
  <c r="C89" s="1"/>
  <c r="C90" s="1"/>
  <c r="C91" s="1"/>
  <c r="C92" s="1"/>
  <c r="C93" s="1"/>
  <c r="C94" s="1"/>
  <c r="C95" s="1"/>
  <c r="C96" s="1"/>
  <c r="C97" s="1"/>
  <c r="C98" s="1"/>
  <c r="C99" s="1"/>
  <c r="C100" s="1"/>
  <c r="E11" i="3"/>
  <c r="E12"/>
  <c r="E13"/>
  <c r="E14"/>
  <c r="E15"/>
  <c r="E16"/>
  <c r="E17"/>
  <c r="E18"/>
  <c r="E19"/>
  <c r="BB20"/>
  <c r="BA20"/>
  <c r="C12"/>
  <c r="C13" s="1"/>
  <c r="C14" s="1"/>
  <c r="C15" s="1"/>
  <c r="C16" s="1"/>
  <c r="C17" s="1"/>
  <c r="C18" s="1"/>
  <c r="C19" s="1"/>
  <c r="E12" i="1"/>
  <c r="E13"/>
  <c r="E14"/>
  <c r="E15"/>
  <c r="E16"/>
  <c r="E17"/>
  <c r="E18"/>
  <c r="E19"/>
  <c r="E20"/>
  <c r="E11"/>
  <c r="BA21"/>
  <c r="C12"/>
  <c r="C13" s="1"/>
  <c r="C14" s="1"/>
  <c r="C15" s="1"/>
  <c r="C16" s="1"/>
  <c r="C17" s="1"/>
  <c r="C18" s="1"/>
  <c r="C19" s="1"/>
  <c r="C20" s="1"/>
  <c r="E12" i="2"/>
  <c r="E13"/>
  <c r="E14"/>
  <c r="E15"/>
  <c r="E16"/>
  <c r="E17"/>
  <c r="E18"/>
  <c r="E19"/>
  <c r="E20"/>
  <c r="E21"/>
  <c r="E22"/>
  <c r="E23"/>
  <c r="E24"/>
  <c r="E11"/>
  <c r="C12"/>
  <c r="C13" s="1"/>
  <c r="C14" s="1"/>
  <c r="C15" s="1"/>
  <c r="C16" s="1"/>
  <c r="C17" s="1"/>
  <c r="C18" s="1"/>
  <c r="C19" s="1"/>
  <c r="C20" s="1"/>
  <c r="C21" s="1"/>
  <c r="C22" s="1"/>
  <c r="C23" s="1"/>
  <c r="C24" s="1"/>
  <c r="BA25"/>
  <c r="L72" i="12"/>
  <c r="L74"/>
  <c r="X72"/>
  <c r="X74"/>
  <c r="AN72"/>
  <c r="AN74"/>
  <c r="BD18" i="5"/>
  <c r="L17"/>
  <c r="AH1" i="14"/>
  <c r="AL2"/>
  <c r="A3"/>
  <c r="AB3"/>
  <c r="AD3"/>
  <c r="AF3"/>
  <c r="AJ3"/>
  <c r="AR3"/>
  <c r="AT3"/>
  <c r="AV3"/>
  <c r="AX3"/>
  <c r="I4"/>
  <c r="J4"/>
  <c r="AF11"/>
  <c r="AJ11"/>
  <c r="AV11"/>
  <c r="AF12"/>
  <c r="AJ12" s="1"/>
  <c r="AV12"/>
  <c r="AF13"/>
  <c r="AJ13" s="1"/>
  <c r="AV13"/>
  <c r="AF14"/>
  <c r="AJ14" s="1"/>
  <c r="AV14"/>
  <c r="AF16"/>
  <c r="AJ16"/>
  <c r="AV16"/>
  <c r="AF17"/>
  <c r="AJ17" s="1"/>
  <c r="AV17"/>
  <c r="AF18"/>
  <c r="AJ18" s="1"/>
  <c r="AV18"/>
  <c r="X19"/>
  <c r="Z19"/>
  <c r="AB19"/>
  <c r="AD19"/>
  <c r="AG19"/>
  <c r="AH19"/>
  <c r="AL19"/>
  <c r="AN19"/>
  <c r="AO19"/>
  <c r="AP19"/>
  <c r="AR19"/>
  <c r="AT19"/>
  <c r="AV19"/>
  <c r="AX19"/>
  <c r="BA19"/>
  <c r="AH11" i="36"/>
  <c r="AH17"/>
  <c r="AH22"/>
  <c r="AH1"/>
  <c r="AL11"/>
  <c r="AL17"/>
  <c r="AL22"/>
  <c r="AL2"/>
  <c r="A3"/>
  <c r="AB22"/>
  <c r="AB17"/>
  <c r="AB3"/>
  <c r="AD22"/>
  <c r="AD17"/>
  <c r="AD3"/>
  <c r="AF10"/>
  <c r="AF11" s="1"/>
  <c r="AF13"/>
  <c r="AJ13" s="1"/>
  <c r="AF14"/>
  <c r="AF17" s="1"/>
  <c r="AF15"/>
  <c r="AJ15" s="1"/>
  <c r="AN15" s="1"/>
  <c r="BD15" s="1"/>
  <c r="AF16"/>
  <c r="AF20"/>
  <c r="AJ20" s="1"/>
  <c r="AF21"/>
  <c r="AF3"/>
  <c r="AJ16"/>
  <c r="AN16" s="1"/>
  <c r="BD16" s="1"/>
  <c r="AJ3"/>
  <c r="AR11"/>
  <c r="AR17"/>
  <c r="AR22"/>
  <c r="AR3"/>
  <c r="AT11"/>
  <c r="AT17"/>
  <c r="AT22"/>
  <c r="AT3"/>
  <c r="AV10"/>
  <c r="AV11" s="1"/>
  <c r="AV13"/>
  <c r="AV14"/>
  <c r="AV15"/>
  <c r="AV16"/>
  <c r="AV17"/>
  <c r="AV20"/>
  <c r="AV21"/>
  <c r="AV22" s="1"/>
  <c r="AV3"/>
  <c r="AX11"/>
  <c r="AX17"/>
  <c r="AX22"/>
  <c r="AX3"/>
  <c r="BA11"/>
  <c r="BA17"/>
  <c r="BA22"/>
  <c r="I4"/>
  <c r="J4"/>
  <c r="X11"/>
  <c r="X17"/>
  <c r="X22"/>
  <c r="Z11"/>
  <c r="Z17"/>
  <c r="Z22"/>
  <c r="AN22"/>
  <c r="AO11"/>
  <c r="AO17"/>
  <c r="AO22"/>
  <c r="AP11"/>
  <c r="AP17"/>
  <c r="AP22"/>
  <c r="I11"/>
  <c r="J11"/>
  <c r="L11"/>
  <c r="N11"/>
  <c r="V11"/>
  <c r="AB11"/>
  <c r="AD11"/>
  <c r="AG11"/>
  <c r="AG17"/>
  <c r="BD20"/>
  <c r="BD21"/>
  <c r="I22"/>
  <c r="J22"/>
  <c r="K22"/>
  <c r="L22"/>
  <c r="M22"/>
  <c r="N22"/>
  <c r="O22"/>
  <c r="P22"/>
  <c r="Q22"/>
  <c r="R22"/>
  <c r="S22"/>
  <c r="T22"/>
  <c r="U22"/>
  <c r="V22"/>
  <c r="W22"/>
  <c r="Y22"/>
  <c r="AA22"/>
  <c r="AE22"/>
  <c r="AG22"/>
  <c r="AU22"/>
  <c r="BD22"/>
  <c r="AH25"/>
  <c r="AL25"/>
  <c r="AH24" i="34"/>
  <c r="AH1"/>
  <c r="AL24"/>
  <c r="AL2"/>
  <c r="A3"/>
  <c r="AB24"/>
  <c r="AB3"/>
  <c r="AD24"/>
  <c r="AD3"/>
  <c r="AF15"/>
  <c r="AF11"/>
  <c r="AJ11" s="1"/>
  <c r="AF12"/>
  <c r="AF13"/>
  <c r="AJ13" s="1"/>
  <c r="AN13" s="1"/>
  <c r="BD13" s="1"/>
  <c r="AF14"/>
  <c r="AF16"/>
  <c r="AJ16" s="1"/>
  <c r="AN16" s="1"/>
  <c r="BD16" s="1"/>
  <c r="AF17"/>
  <c r="AF18"/>
  <c r="AJ18" s="1"/>
  <c r="AN18" s="1"/>
  <c r="BD18" s="1"/>
  <c r="AF19"/>
  <c r="AF20"/>
  <c r="AJ20" s="1"/>
  <c r="AN20" s="1"/>
  <c r="BD20" s="1"/>
  <c r="AF21"/>
  <c r="AF22"/>
  <c r="AJ22" s="1"/>
  <c r="AN22" s="1"/>
  <c r="BD22" s="1"/>
  <c r="Z23"/>
  <c r="AF23"/>
  <c r="AF3"/>
  <c r="AJ15"/>
  <c r="AJ12"/>
  <c r="AJ14"/>
  <c r="AJ17"/>
  <c r="AJ19"/>
  <c r="AJ21"/>
  <c r="AJ23"/>
  <c r="AJ3"/>
  <c r="AR24"/>
  <c r="AR3"/>
  <c r="AT24"/>
  <c r="AT3"/>
  <c r="AV15"/>
  <c r="AV11"/>
  <c r="AV12"/>
  <c r="AV13"/>
  <c r="AV14"/>
  <c r="AV16"/>
  <c r="AV17"/>
  <c r="AV18"/>
  <c r="AV19"/>
  <c r="AV20"/>
  <c r="AV21"/>
  <c r="AV22"/>
  <c r="AV23"/>
  <c r="AV3"/>
  <c r="AX18"/>
  <c r="AX24"/>
  <c r="AX3"/>
  <c r="BA24"/>
  <c r="X23"/>
  <c r="X24"/>
  <c r="Z24"/>
  <c r="AN15"/>
  <c r="BD15" s="1"/>
  <c r="AN12"/>
  <c r="BD12" s="1"/>
  <c r="AN14"/>
  <c r="BD14" s="1"/>
  <c r="AN17"/>
  <c r="BD17" s="1"/>
  <c r="AN19"/>
  <c r="BD19" s="1"/>
  <c r="AN21"/>
  <c r="BD21" s="1"/>
  <c r="AN23"/>
  <c r="BD23" s="1"/>
  <c r="AO24"/>
  <c r="AP24"/>
  <c r="AG24"/>
  <c r="AH26" i="35"/>
  <c r="AH1"/>
  <c r="AL26"/>
  <c r="AL2"/>
  <c r="A3"/>
  <c r="AB26"/>
  <c r="AB3"/>
  <c r="AD26"/>
  <c r="AD3"/>
  <c r="AF11"/>
  <c r="AF12"/>
  <c r="Z13"/>
  <c r="AF13" s="1"/>
  <c r="AF14"/>
  <c r="AF15"/>
  <c r="AJ15" s="1"/>
  <c r="Z16"/>
  <c r="AF16" s="1"/>
  <c r="AJ16" s="1"/>
  <c r="AF19"/>
  <c r="AF17"/>
  <c r="AF18"/>
  <c r="AF20"/>
  <c r="AF21"/>
  <c r="AF22"/>
  <c r="Z24"/>
  <c r="AF24" s="1"/>
  <c r="AJ24" s="1"/>
  <c r="AF25"/>
  <c r="AF23"/>
  <c r="AJ23" s="1"/>
  <c r="AF3"/>
  <c r="AJ11"/>
  <c r="AJ12"/>
  <c r="AJ14"/>
  <c r="AJ19"/>
  <c r="AJ17"/>
  <c r="AJ18"/>
  <c r="AJ20"/>
  <c r="AJ21"/>
  <c r="AJ22"/>
  <c r="AJ25"/>
  <c r="AJ3"/>
  <c r="AR26"/>
  <c r="AR3"/>
  <c r="AT26"/>
  <c r="AT3"/>
  <c r="AV11"/>
  <c r="AV12"/>
  <c r="AV13"/>
  <c r="AV14"/>
  <c r="AV15"/>
  <c r="AV16"/>
  <c r="AV19"/>
  <c r="AV17"/>
  <c r="AV18"/>
  <c r="AV20"/>
  <c r="AV21"/>
  <c r="AV22"/>
  <c r="AV24"/>
  <c r="AV25"/>
  <c r="AV23"/>
  <c r="AV26"/>
  <c r="AV3"/>
  <c r="AX26"/>
  <c r="AX3"/>
  <c r="BA26"/>
  <c r="X23"/>
  <c r="X26"/>
  <c r="Z26"/>
  <c r="AN11"/>
  <c r="AN18"/>
  <c r="AN23"/>
  <c r="BD23" s="1"/>
  <c r="AO26"/>
  <c r="AO4"/>
  <c r="AP26"/>
  <c r="BD12"/>
  <c r="BD13"/>
  <c r="BD14"/>
  <c r="BD15"/>
  <c r="BD16"/>
  <c r="BD19"/>
  <c r="BD17"/>
  <c r="BD18"/>
  <c r="BD20"/>
  <c r="BD21"/>
  <c r="BD22"/>
  <c r="BD24"/>
  <c r="BD25"/>
  <c r="AG26"/>
  <c r="AH29" i="33"/>
  <c r="AH1"/>
  <c r="AL16"/>
  <c r="AL29" s="1"/>
  <c r="AL2"/>
  <c r="A3"/>
  <c r="AB29"/>
  <c r="AB3"/>
  <c r="AD29"/>
  <c r="AD3"/>
  <c r="AF24"/>
  <c r="AJ24" s="1"/>
  <c r="AN24" s="1"/>
  <c r="BD24" s="1"/>
  <c r="AF25"/>
  <c r="AF13"/>
  <c r="AJ13" s="1"/>
  <c r="AN13" s="1"/>
  <c r="BD13" s="1"/>
  <c r="AF14"/>
  <c r="AF11"/>
  <c r="AF12"/>
  <c r="AF15"/>
  <c r="AJ15" s="1"/>
  <c r="AN15" s="1"/>
  <c r="BD15" s="1"/>
  <c r="AF16"/>
  <c r="AF17"/>
  <c r="AJ17" s="1"/>
  <c r="AF18"/>
  <c r="AF19"/>
  <c r="AJ19" s="1"/>
  <c r="AN19" s="1"/>
  <c r="BD19" s="1"/>
  <c r="AF20"/>
  <c r="AF21"/>
  <c r="AJ21" s="1"/>
  <c r="AF22"/>
  <c r="Z23"/>
  <c r="AF26"/>
  <c r="AF27"/>
  <c r="AJ27" s="1"/>
  <c r="AN27" s="1"/>
  <c r="BD27" s="1"/>
  <c r="AF28"/>
  <c r="AF3"/>
  <c r="AJ25"/>
  <c r="AJ14"/>
  <c r="AN14" s="1"/>
  <c r="BD14" s="1"/>
  <c r="AJ12"/>
  <c r="AN12" s="1"/>
  <c r="AJ16"/>
  <c r="AN16" s="1"/>
  <c r="BD16" s="1"/>
  <c r="AJ18"/>
  <c r="AN18" s="1"/>
  <c r="AJ20"/>
  <c r="AN20" s="1"/>
  <c r="BD20" s="1"/>
  <c r="AJ22"/>
  <c r="AN22" s="1"/>
  <c r="AJ26"/>
  <c r="AN26" s="1"/>
  <c r="BD26" s="1"/>
  <c r="AJ28"/>
  <c r="AN28" s="1"/>
  <c r="BD28" s="1"/>
  <c r="AJ3"/>
  <c r="AR29"/>
  <c r="AR3"/>
  <c r="AT29"/>
  <c r="AT3"/>
  <c r="AV24"/>
  <c r="AV25"/>
  <c r="AV13"/>
  <c r="AV14"/>
  <c r="AV11"/>
  <c r="AV12"/>
  <c r="AV15"/>
  <c r="AV16"/>
  <c r="AV17"/>
  <c r="AV18"/>
  <c r="AV19"/>
  <c r="AV20"/>
  <c r="AV21"/>
  <c r="AV22"/>
  <c r="AV23"/>
  <c r="AV26"/>
  <c r="AV27"/>
  <c r="AV28"/>
  <c r="AV3"/>
  <c r="AX29"/>
  <c r="AX3"/>
  <c r="BA29"/>
  <c r="I4"/>
  <c r="J4"/>
  <c r="X29"/>
  <c r="AN25"/>
  <c r="AN17"/>
  <c r="BD17" s="1"/>
  <c r="AN21"/>
  <c r="BD21" s="1"/>
  <c r="AO29"/>
  <c r="AP29"/>
  <c r="BD25"/>
  <c r="BD12"/>
  <c r="BD18"/>
  <c r="BD22"/>
  <c r="AG29"/>
  <c r="AH41" i="17"/>
  <c r="AH1"/>
  <c r="AL41"/>
  <c r="AL2"/>
  <c r="A3"/>
  <c r="AB41"/>
  <c r="AB3"/>
  <c r="AD41"/>
  <c r="AD3"/>
  <c r="AF11"/>
  <c r="AF17"/>
  <c r="AF19"/>
  <c r="AF22"/>
  <c r="AF24"/>
  <c r="AF18"/>
  <c r="AF21"/>
  <c r="AF12"/>
  <c r="AF13"/>
  <c r="AF14"/>
  <c r="AF15"/>
  <c r="AF16"/>
  <c r="AF25"/>
  <c r="AF26"/>
  <c r="AF39"/>
  <c r="AF28"/>
  <c r="AF29"/>
  <c r="AF30"/>
  <c r="AF31"/>
  <c r="AF34"/>
  <c r="AF35"/>
  <c r="AF32"/>
  <c r="AF36"/>
  <c r="AF37"/>
  <c r="AF38"/>
  <c r="AF40"/>
  <c r="AF41"/>
  <c r="AF3"/>
  <c r="AJ11"/>
  <c r="AJ17"/>
  <c r="AJ19"/>
  <c r="AJ22"/>
  <c r="AJ24"/>
  <c r="AJ18"/>
  <c r="AJ21"/>
  <c r="AJ12"/>
  <c r="AJ13"/>
  <c r="AJ14"/>
  <c r="AJ15"/>
  <c r="AJ16"/>
  <c r="AJ25"/>
  <c r="AJ26"/>
  <c r="AJ39"/>
  <c r="AN39" s="1"/>
  <c r="BD39" s="1"/>
  <c r="AJ28"/>
  <c r="AJ29"/>
  <c r="AJ30"/>
  <c r="AJ31"/>
  <c r="AN31" s="1"/>
  <c r="AJ34"/>
  <c r="AJ35"/>
  <c r="AN35" s="1"/>
  <c r="BD35" s="1"/>
  <c r="AJ32"/>
  <c r="AJ36"/>
  <c r="AJ37"/>
  <c r="AJ38"/>
  <c r="AN38" s="1"/>
  <c r="AJ40"/>
  <c r="AJ41"/>
  <c r="AJ3"/>
  <c r="AR41"/>
  <c r="AR3"/>
  <c r="AT41"/>
  <c r="AT3"/>
  <c r="AV11"/>
  <c r="AV17"/>
  <c r="AV19"/>
  <c r="AV22"/>
  <c r="AV24"/>
  <c r="AV18"/>
  <c r="AV21"/>
  <c r="AV12"/>
  <c r="AV13"/>
  <c r="AV14"/>
  <c r="AV15"/>
  <c r="AV16"/>
  <c r="AV25"/>
  <c r="AV26"/>
  <c r="AV39"/>
  <c r="AV28"/>
  <c r="AV29"/>
  <c r="AV30"/>
  <c r="AV31"/>
  <c r="AV33"/>
  <c r="AV34"/>
  <c r="AV35"/>
  <c r="AV32"/>
  <c r="AV36"/>
  <c r="AV37"/>
  <c r="AV38"/>
  <c r="AV40"/>
  <c r="AV3"/>
  <c r="AX41"/>
  <c r="AX3"/>
  <c r="BA41"/>
  <c r="I4"/>
  <c r="J4"/>
  <c r="X17"/>
  <c r="X41" s="1"/>
  <c r="Z41"/>
  <c r="AN12"/>
  <c r="AN16"/>
  <c r="BD16" s="1"/>
  <c r="AN34"/>
  <c r="AO41"/>
  <c r="AP41"/>
  <c r="BD11"/>
  <c r="BD17"/>
  <c r="BD19"/>
  <c r="BD22"/>
  <c r="BD24"/>
  <c r="BD18"/>
  <c r="BD21"/>
  <c r="BD12"/>
  <c r="BD13"/>
  <c r="BD14"/>
  <c r="BD15"/>
  <c r="BD25"/>
  <c r="BD26"/>
  <c r="BD28"/>
  <c r="BD29"/>
  <c r="BD30"/>
  <c r="BD33"/>
  <c r="BD34"/>
  <c r="BD32"/>
  <c r="BD36"/>
  <c r="BD37"/>
  <c r="BD38"/>
  <c r="BD40"/>
  <c r="AG41"/>
  <c r="AH56" i="18"/>
  <c r="AH1"/>
  <c r="AL56"/>
  <c r="AL2"/>
  <c r="A3"/>
  <c r="AB56"/>
  <c r="AB3"/>
  <c r="AD56"/>
  <c r="AD3"/>
  <c r="AF11"/>
  <c r="AJ11" s="1"/>
  <c r="AF13"/>
  <c r="AF15"/>
  <c r="AJ15" s="1"/>
  <c r="AF16"/>
  <c r="AF17"/>
  <c r="AJ17" s="1"/>
  <c r="AF26"/>
  <c r="AF27"/>
  <c r="AJ27" s="1"/>
  <c r="AF28"/>
  <c r="AF33"/>
  <c r="AJ33" s="1"/>
  <c r="AF37"/>
  <c r="AF41"/>
  <c r="AJ41" s="1"/>
  <c r="AN41" s="1"/>
  <c r="BD41" s="1"/>
  <c r="AF45"/>
  <c r="AF46"/>
  <c r="AJ46" s="1"/>
  <c r="AF49"/>
  <c r="AF52"/>
  <c r="AJ52" s="1"/>
  <c r="AF55"/>
  <c r="AF3"/>
  <c r="AJ13"/>
  <c r="AJ16"/>
  <c r="AJ26"/>
  <c r="AJ28"/>
  <c r="AJ37"/>
  <c r="AJ45"/>
  <c r="AJ49"/>
  <c r="AJ55"/>
  <c r="AJ3"/>
  <c r="AR56"/>
  <c r="AR3"/>
  <c r="AT56"/>
  <c r="AT3"/>
  <c r="AV11"/>
  <c r="AV56" s="1"/>
  <c r="AV13"/>
  <c r="AV15"/>
  <c r="AV16"/>
  <c r="AV17"/>
  <c r="AV18"/>
  <c r="AV20"/>
  <c r="AV21"/>
  <c r="AV22"/>
  <c r="AV23"/>
  <c r="AV24"/>
  <c r="AV25"/>
  <c r="AV26"/>
  <c r="AV27"/>
  <c r="AV28"/>
  <c r="AV29"/>
  <c r="AV30"/>
  <c r="AV33"/>
  <c r="AV34"/>
  <c r="AV35"/>
  <c r="AV37"/>
  <c r="AV41"/>
  <c r="AV44"/>
  <c r="AV45"/>
  <c r="AV46"/>
  <c r="AV48"/>
  <c r="AV49"/>
  <c r="AV50"/>
  <c r="AV51"/>
  <c r="AV52"/>
  <c r="AV53"/>
  <c r="AV54"/>
  <c r="AV55"/>
  <c r="AV3"/>
  <c r="AX36"/>
  <c r="AX50"/>
  <c r="AX56" s="1"/>
  <c r="AX3"/>
  <c r="BA56"/>
  <c r="I4"/>
  <c r="J4"/>
  <c r="X56"/>
  <c r="Z56"/>
  <c r="AN55"/>
  <c r="AO56"/>
  <c r="AP56"/>
  <c r="BD11"/>
  <c r="BD13"/>
  <c r="BD15"/>
  <c r="BD16"/>
  <c r="BD17"/>
  <c r="BD18"/>
  <c r="BD20"/>
  <c r="BD21"/>
  <c r="BD22"/>
  <c r="BD23"/>
  <c r="BD24"/>
  <c r="BD25"/>
  <c r="BD26"/>
  <c r="BD27"/>
  <c r="BD28"/>
  <c r="BD29"/>
  <c r="BD30"/>
  <c r="BD31"/>
  <c r="BD32"/>
  <c r="BD33"/>
  <c r="BD34"/>
  <c r="BD35"/>
  <c r="BD37"/>
  <c r="BD45"/>
  <c r="BD46"/>
  <c r="BD49"/>
  <c r="BD50"/>
  <c r="BD51"/>
  <c r="BD52"/>
  <c r="BD53"/>
  <c r="BD54"/>
  <c r="BD55"/>
  <c r="AG56"/>
  <c r="AH26" i="19"/>
  <c r="AH1"/>
  <c r="AL26"/>
  <c r="AL2"/>
  <c r="A3"/>
  <c r="AB26"/>
  <c r="AB3"/>
  <c r="AD26"/>
  <c r="AD3"/>
  <c r="AF11"/>
  <c r="AF12"/>
  <c r="AF14"/>
  <c r="AF15"/>
  <c r="AF16"/>
  <c r="AF17"/>
  <c r="AF18"/>
  <c r="AF19"/>
  <c r="AF20"/>
  <c r="AF21"/>
  <c r="AF22"/>
  <c r="AF23"/>
  <c r="AF24"/>
  <c r="AF25"/>
  <c r="AF26"/>
  <c r="AF3"/>
  <c r="AJ11"/>
  <c r="AN11" s="1"/>
  <c r="AJ12"/>
  <c r="AJ14"/>
  <c r="AN14" s="1"/>
  <c r="BD14" s="1"/>
  <c r="AJ15"/>
  <c r="AJ16"/>
  <c r="AN16" s="1"/>
  <c r="BD16" s="1"/>
  <c r="AJ17"/>
  <c r="AJ18"/>
  <c r="AN18" s="1"/>
  <c r="BD18" s="1"/>
  <c r="AJ19"/>
  <c r="AJ20"/>
  <c r="AN20" s="1"/>
  <c r="BD20" s="1"/>
  <c r="AJ21"/>
  <c r="AJ22"/>
  <c r="AN22" s="1"/>
  <c r="BD22" s="1"/>
  <c r="AJ23"/>
  <c r="AJ24"/>
  <c r="AN24" s="1"/>
  <c r="BD24" s="1"/>
  <c r="AJ25"/>
  <c r="AJ26"/>
  <c r="AJ3"/>
  <c r="AR26"/>
  <c r="AR3"/>
  <c r="AT26"/>
  <c r="AT3"/>
  <c r="AV11"/>
  <c r="AV12"/>
  <c r="AV13"/>
  <c r="AV14"/>
  <c r="AV15"/>
  <c r="AV16"/>
  <c r="AV17"/>
  <c r="AV18"/>
  <c r="AV19"/>
  <c r="AV20"/>
  <c r="AV21"/>
  <c r="AV22"/>
  <c r="AV23"/>
  <c r="AV24"/>
  <c r="AV25"/>
  <c r="AV3"/>
  <c r="AX26"/>
  <c r="AX3"/>
  <c r="BA26"/>
  <c r="X26"/>
  <c r="Z26"/>
  <c r="AN12"/>
  <c r="AN15"/>
  <c r="BD15" s="1"/>
  <c r="AN17"/>
  <c r="AN19"/>
  <c r="BD19" s="1"/>
  <c r="AN21"/>
  <c r="AN23"/>
  <c r="BD23" s="1"/>
  <c r="AN25"/>
  <c r="AO26"/>
  <c r="AP26"/>
  <c r="BD12"/>
  <c r="BD17"/>
  <c r="BD21"/>
  <c r="BD25"/>
  <c r="AG26"/>
  <c r="AH23" i="20"/>
  <c r="AH1"/>
  <c r="AL23"/>
  <c r="AL2"/>
  <c r="A3"/>
  <c r="AB23"/>
  <c r="AB3"/>
  <c r="AD23"/>
  <c r="AD3"/>
  <c r="AF11"/>
  <c r="AF12"/>
  <c r="AF23" s="1"/>
  <c r="AF13"/>
  <c r="AF14"/>
  <c r="AF15"/>
  <c r="AF16"/>
  <c r="AF18"/>
  <c r="AF19"/>
  <c r="AF20"/>
  <c r="AF21"/>
  <c r="AF3"/>
  <c r="AJ11"/>
  <c r="AN11" s="1"/>
  <c r="AJ12"/>
  <c r="AJ23" s="1"/>
  <c r="AJ13"/>
  <c r="AN13" s="1"/>
  <c r="BD13" s="1"/>
  <c r="AJ14"/>
  <c r="AN14" s="1"/>
  <c r="BD14" s="1"/>
  <c r="AJ15"/>
  <c r="AN15" s="1"/>
  <c r="BD15" s="1"/>
  <c r="AJ16"/>
  <c r="AJ18"/>
  <c r="AN18" s="1"/>
  <c r="BD18" s="1"/>
  <c r="AJ19"/>
  <c r="AN19" s="1"/>
  <c r="BD19" s="1"/>
  <c r="AJ20"/>
  <c r="AN20" s="1"/>
  <c r="BD20" s="1"/>
  <c r="AJ21"/>
  <c r="AJ3"/>
  <c r="AR23"/>
  <c r="AR3"/>
  <c r="AT23"/>
  <c r="AT3"/>
  <c r="AV11"/>
  <c r="AV12"/>
  <c r="AV13"/>
  <c r="AV14"/>
  <c r="AV15"/>
  <c r="AV16"/>
  <c r="AV18"/>
  <c r="AV19"/>
  <c r="AV20"/>
  <c r="AV21"/>
  <c r="AV22"/>
  <c r="AV3"/>
  <c r="AX23"/>
  <c r="AX3"/>
  <c r="BA23"/>
  <c r="X23"/>
  <c r="Z23"/>
  <c r="AN12"/>
  <c r="BD12" s="1"/>
  <c r="AN16"/>
  <c r="BD16" s="1"/>
  <c r="AN21"/>
  <c r="BD21" s="1"/>
  <c r="AO23"/>
  <c r="AP23"/>
  <c r="AG23"/>
  <c r="AH28" i="21"/>
  <c r="AH31"/>
  <c r="AH1"/>
  <c r="AL14"/>
  <c r="AL24"/>
  <c r="AL26"/>
  <c r="AL2"/>
  <c r="A3"/>
  <c r="AB31"/>
  <c r="AB3"/>
  <c r="AD31"/>
  <c r="AD3"/>
  <c r="AF27"/>
  <c r="AJ27" s="1"/>
  <c r="AN27" s="1"/>
  <c r="AF28"/>
  <c r="AJ28" s="1"/>
  <c r="AN28" s="1"/>
  <c r="BD28" s="1"/>
  <c r="AF30"/>
  <c r="AJ30" s="1"/>
  <c r="AN30" s="1"/>
  <c r="AF20"/>
  <c r="AF21"/>
  <c r="AF19"/>
  <c r="AJ19" s="1"/>
  <c r="AN19" s="1"/>
  <c r="BD19" s="1"/>
  <c r="AF22"/>
  <c r="AJ22" s="1"/>
  <c r="AN22" s="1"/>
  <c r="AF23"/>
  <c r="AF24"/>
  <c r="AJ24" s="1"/>
  <c r="AN24" s="1"/>
  <c r="AF25"/>
  <c r="AJ25" s="1"/>
  <c r="AN25" s="1"/>
  <c r="BD25" s="1"/>
  <c r="AF26"/>
  <c r="AJ26" s="1"/>
  <c r="AF3"/>
  <c r="AJ20"/>
  <c r="AJ23"/>
  <c r="AJ3"/>
  <c r="AR31"/>
  <c r="AR3"/>
  <c r="AT31"/>
  <c r="AT3"/>
  <c r="AV11"/>
  <c r="AV12"/>
  <c r="AV13"/>
  <c r="AV14"/>
  <c r="AV15"/>
  <c r="AV16"/>
  <c r="AV17"/>
  <c r="AV27"/>
  <c r="AV28"/>
  <c r="AV30"/>
  <c r="AV20"/>
  <c r="AV21"/>
  <c r="AV31" s="1"/>
  <c r="AV19"/>
  <c r="AV22"/>
  <c r="AV23"/>
  <c r="AV24"/>
  <c r="AV25"/>
  <c r="AV26"/>
  <c r="AV3"/>
  <c r="AX31"/>
  <c r="AX3"/>
  <c r="Z31"/>
  <c r="AN20"/>
  <c r="BD20" s="1"/>
  <c r="AN23"/>
  <c r="BD23" s="1"/>
  <c r="AO31"/>
  <c r="BD11"/>
  <c r="BD12"/>
  <c r="BD15"/>
  <c r="BD16"/>
  <c r="BD27"/>
  <c r="BD30"/>
  <c r="BD22"/>
  <c r="BD24"/>
  <c r="AG31"/>
  <c r="AH28" i="22"/>
  <c r="AH1"/>
  <c r="AL28"/>
  <c r="AL2"/>
  <c r="A3"/>
  <c r="AB28"/>
  <c r="AB3"/>
  <c r="AD28"/>
  <c r="AD3"/>
  <c r="AF11"/>
  <c r="AF12"/>
  <c r="AF14"/>
  <c r="AJ14" s="1"/>
  <c r="AN14" s="1"/>
  <c r="AF16"/>
  <c r="AF17"/>
  <c r="AJ17" s="1"/>
  <c r="AN17" s="1"/>
  <c r="AF18"/>
  <c r="AF20"/>
  <c r="AJ20" s="1"/>
  <c r="AN20" s="1"/>
  <c r="AF21"/>
  <c r="AF22"/>
  <c r="AJ22" s="1"/>
  <c r="AN22" s="1"/>
  <c r="AF23"/>
  <c r="AF15"/>
  <c r="AJ15" s="1"/>
  <c r="AN15" s="1"/>
  <c r="Z24"/>
  <c r="AF24"/>
  <c r="AF25"/>
  <c r="AF19"/>
  <c r="AF26"/>
  <c r="AF27"/>
  <c r="AF3"/>
  <c r="AJ12"/>
  <c r="AJ16"/>
  <c r="AJ18"/>
  <c r="AJ21"/>
  <c r="AJ23"/>
  <c r="AJ24"/>
  <c r="AJ25"/>
  <c r="AJ19"/>
  <c r="AJ26"/>
  <c r="AJ27"/>
  <c r="AJ3"/>
  <c r="AR28"/>
  <c r="AR3"/>
  <c r="AT28"/>
  <c r="AT3"/>
  <c r="AV11"/>
  <c r="AV12"/>
  <c r="AV14"/>
  <c r="AV16"/>
  <c r="AV17"/>
  <c r="AV18"/>
  <c r="AV20"/>
  <c r="AV21"/>
  <c r="AV22"/>
  <c r="AV23"/>
  <c r="AV15"/>
  <c r="AV24"/>
  <c r="AV25"/>
  <c r="AV19"/>
  <c r="AV26"/>
  <c r="AV27"/>
  <c r="AV3"/>
  <c r="AX13"/>
  <c r="AX28"/>
  <c r="AX3"/>
  <c r="BA28"/>
  <c r="X28"/>
  <c r="Z28"/>
  <c r="AN12"/>
  <c r="BD12" s="1"/>
  <c r="AN16"/>
  <c r="BD16" s="1"/>
  <c r="AN18"/>
  <c r="BD18" s="1"/>
  <c r="AN21"/>
  <c r="BD21" s="1"/>
  <c r="AN23"/>
  <c r="BD23" s="1"/>
  <c r="AN24"/>
  <c r="BD24" s="1"/>
  <c r="AN25"/>
  <c r="AN19"/>
  <c r="BD19" s="1"/>
  <c r="AN26"/>
  <c r="AN27"/>
  <c r="BD27" s="1"/>
  <c r="AO28"/>
  <c r="AP28"/>
  <c r="BD14"/>
  <c r="BD17"/>
  <c r="BD20"/>
  <c r="BD22"/>
  <c r="BD15"/>
  <c r="BD25"/>
  <c r="BD26"/>
  <c r="AG28"/>
  <c r="AH16" i="23"/>
  <c r="AH1"/>
  <c r="AL32"/>
  <c r="AL2"/>
  <c r="A3"/>
  <c r="AB32"/>
  <c r="AB3"/>
  <c r="AD32"/>
  <c r="AD3"/>
  <c r="AF11"/>
  <c r="AF13"/>
  <c r="AF14"/>
  <c r="AF12"/>
  <c r="AF15"/>
  <c r="AF16"/>
  <c r="AF17"/>
  <c r="AF18"/>
  <c r="AF19"/>
  <c r="AF20"/>
  <c r="AF21"/>
  <c r="AF22"/>
  <c r="AF24"/>
  <c r="AF25"/>
  <c r="AF26"/>
  <c r="AF27"/>
  <c r="AF28"/>
  <c r="AF29"/>
  <c r="AF30"/>
  <c r="AF31"/>
  <c r="AF32"/>
  <c r="AF3"/>
  <c r="AJ11"/>
  <c r="AN11" s="1"/>
  <c r="AJ13"/>
  <c r="AJ14"/>
  <c r="AN14" s="1"/>
  <c r="AJ12"/>
  <c r="AJ15"/>
  <c r="AN15" s="1"/>
  <c r="AJ17"/>
  <c r="AN17" s="1"/>
  <c r="AJ18"/>
  <c r="AJ19"/>
  <c r="AN19" s="1"/>
  <c r="BD19" s="1"/>
  <c r="AJ20"/>
  <c r="AJ21"/>
  <c r="AN21" s="1"/>
  <c r="AJ22"/>
  <c r="AJ24"/>
  <c r="AN24" s="1"/>
  <c r="BD24" s="1"/>
  <c r="AJ25"/>
  <c r="AJ26"/>
  <c r="AN26" s="1"/>
  <c r="AJ27"/>
  <c r="AJ28"/>
  <c r="AN28" s="1"/>
  <c r="BD28" s="1"/>
  <c r="AJ29"/>
  <c r="AJ30"/>
  <c r="AN30" s="1"/>
  <c r="AJ31"/>
  <c r="AJ3"/>
  <c r="AR32"/>
  <c r="AR3"/>
  <c r="AT32"/>
  <c r="AT3"/>
  <c r="AV11"/>
  <c r="AV13"/>
  <c r="AV14"/>
  <c r="AV12"/>
  <c r="AV15"/>
  <c r="AV16"/>
  <c r="AV17"/>
  <c r="AV18"/>
  <c r="AV19"/>
  <c r="AV20"/>
  <c r="AV21"/>
  <c r="AV22"/>
  <c r="AV24"/>
  <c r="AV25"/>
  <c r="AV26"/>
  <c r="AV27"/>
  <c r="AV28"/>
  <c r="AV29"/>
  <c r="AV30"/>
  <c r="AV31"/>
  <c r="AV32"/>
  <c r="AV3"/>
  <c r="AX32"/>
  <c r="AX3"/>
  <c r="BA32"/>
  <c r="I4"/>
  <c r="J4"/>
  <c r="X32"/>
  <c r="Z32"/>
  <c r="AN13"/>
  <c r="BD13" s="1"/>
  <c r="AN12"/>
  <c r="BD12" s="1"/>
  <c r="AN18"/>
  <c r="BD18" s="1"/>
  <c r="AN20"/>
  <c r="BD20" s="1"/>
  <c r="AN22"/>
  <c r="BD22" s="1"/>
  <c r="AN25"/>
  <c r="BD25" s="1"/>
  <c r="AN27"/>
  <c r="BD27" s="1"/>
  <c r="AN29"/>
  <c r="BD29" s="1"/>
  <c r="AN31"/>
  <c r="BD31" s="1"/>
  <c r="AO32"/>
  <c r="AP32"/>
  <c r="BD11"/>
  <c r="BD14"/>
  <c r="BD15"/>
  <c r="BD17"/>
  <c r="BD21"/>
  <c r="BD26"/>
  <c r="BD30"/>
  <c r="AG32"/>
  <c r="AH103" i="24"/>
  <c r="AH1"/>
  <c r="AL103"/>
  <c r="AL2"/>
  <c r="A3"/>
  <c r="AB103"/>
  <c r="AB3"/>
  <c r="AD103"/>
  <c r="AD3"/>
  <c r="AF11"/>
  <c r="AF13"/>
  <c r="AJ13" s="1"/>
  <c r="AF14"/>
  <c r="AF15"/>
  <c r="AJ15" s="1"/>
  <c r="AF16"/>
  <c r="AF17"/>
  <c r="AJ17" s="1"/>
  <c r="AF18"/>
  <c r="AF19"/>
  <c r="AJ19" s="1"/>
  <c r="AF20"/>
  <c r="AF21"/>
  <c r="AJ21" s="1"/>
  <c r="AF22"/>
  <c r="AF23"/>
  <c r="AJ23" s="1"/>
  <c r="AF25"/>
  <c r="AF24"/>
  <c r="AJ24" s="1"/>
  <c r="AF26"/>
  <c r="AF27"/>
  <c r="AJ27" s="1"/>
  <c r="AN27" s="1"/>
  <c r="AF28"/>
  <c r="AF29"/>
  <c r="AJ29" s="1"/>
  <c r="AF30"/>
  <c r="AF31"/>
  <c r="AJ31" s="1"/>
  <c r="AF32"/>
  <c r="AF33"/>
  <c r="AJ33" s="1"/>
  <c r="AF34"/>
  <c r="AF35"/>
  <c r="AJ35" s="1"/>
  <c r="AF36"/>
  <c r="AF37"/>
  <c r="AJ37" s="1"/>
  <c r="AF39"/>
  <c r="AF40"/>
  <c r="AJ40" s="1"/>
  <c r="AF41"/>
  <c r="AF42"/>
  <c r="AJ42" s="1"/>
  <c r="AF43"/>
  <c r="AF44"/>
  <c r="AJ44" s="1"/>
  <c r="AF45"/>
  <c r="AF46"/>
  <c r="AJ46" s="1"/>
  <c r="AF47"/>
  <c r="AF48"/>
  <c r="AJ48" s="1"/>
  <c r="AF49"/>
  <c r="AF50"/>
  <c r="AJ50" s="1"/>
  <c r="AF51"/>
  <c r="AF52"/>
  <c r="AJ52" s="1"/>
  <c r="AF53"/>
  <c r="AF54"/>
  <c r="AJ54" s="1"/>
  <c r="AF55"/>
  <c r="AF56"/>
  <c r="AJ56" s="1"/>
  <c r="AF57"/>
  <c r="AF58"/>
  <c r="AJ58" s="1"/>
  <c r="AF59"/>
  <c r="AF60"/>
  <c r="AJ60" s="1"/>
  <c r="AF61"/>
  <c r="AF62"/>
  <c r="AJ62" s="1"/>
  <c r="AF63"/>
  <c r="AF64"/>
  <c r="AJ64" s="1"/>
  <c r="AF65"/>
  <c r="AF66"/>
  <c r="AJ66" s="1"/>
  <c r="AF67"/>
  <c r="AF69"/>
  <c r="AJ69" s="1"/>
  <c r="AF70"/>
  <c r="AF71"/>
  <c r="AJ71" s="1"/>
  <c r="AF72"/>
  <c r="AF73"/>
  <c r="AJ73" s="1"/>
  <c r="AF74"/>
  <c r="AF75"/>
  <c r="AJ75" s="1"/>
  <c r="AF76"/>
  <c r="AF77"/>
  <c r="AJ77" s="1"/>
  <c r="AF78"/>
  <c r="AF79"/>
  <c r="AJ79" s="1"/>
  <c r="AF80"/>
  <c r="AF81"/>
  <c r="AJ81" s="1"/>
  <c r="AF82"/>
  <c r="AF83"/>
  <c r="AJ83" s="1"/>
  <c r="AF84"/>
  <c r="AF86"/>
  <c r="AJ86" s="1"/>
  <c r="AF87"/>
  <c r="AF88"/>
  <c r="AJ88" s="1"/>
  <c r="AF89"/>
  <c r="AF90"/>
  <c r="AJ90" s="1"/>
  <c r="AF91"/>
  <c r="AF92"/>
  <c r="AJ92" s="1"/>
  <c r="AF93"/>
  <c r="AF94"/>
  <c r="AJ94" s="1"/>
  <c r="AF95"/>
  <c r="AF96"/>
  <c r="AJ96" s="1"/>
  <c r="AF97"/>
  <c r="AF98"/>
  <c r="AJ98" s="1"/>
  <c r="AF99"/>
  <c r="AF100"/>
  <c r="AJ100" s="1"/>
  <c r="AF101"/>
  <c r="AF102"/>
  <c r="AJ102" s="1"/>
  <c r="AF3"/>
  <c r="AJ11"/>
  <c r="AJ14"/>
  <c r="AJ16"/>
  <c r="AJ18"/>
  <c r="AJ20"/>
  <c r="AJ22"/>
  <c r="AJ25"/>
  <c r="AJ26"/>
  <c r="AJ28"/>
  <c r="AJ30"/>
  <c r="AJ32"/>
  <c r="AJ34"/>
  <c r="AJ36"/>
  <c r="AJ39"/>
  <c r="AJ41"/>
  <c r="AJ43"/>
  <c r="AJ45"/>
  <c r="AJ47"/>
  <c r="AJ49"/>
  <c r="AJ51"/>
  <c r="AJ53"/>
  <c r="AJ55"/>
  <c r="AJ57"/>
  <c r="AJ59"/>
  <c r="AJ61"/>
  <c r="AJ63"/>
  <c r="AJ65"/>
  <c r="AJ67"/>
  <c r="AJ70"/>
  <c r="AJ72"/>
  <c r="AJ74"/>
  <c r="AJ76"/>
  <c r="AJ78"/>
  <c r="AJ80"/>
  <c r="AJ82"/>
  <c r="AJ84"/>
  <c r="AJ87"/>
  <c r="AJ89"/>
  <c r="AJ91"/>
  <c r="AJ93"/>
  <c r="AJ95"/>
  <c r="AJ97"/>
  <c r="AJ99"/>
  <c r="AJ101"/>
  <c r="AJ3"/>
  <c r="AR103"/>
  <c r="AR3"/>
  <c r="AT103"/>
  <c r="AT3"/>
  <c r="AV11"/>
  <c r="AV13"/>
  <c r="AV14"/>
  <c r="AV15"/>
  <c r="AV16"/>
  <c r="AV17"/>
  <c r="AV18"/>
  <c r="AV19"/>
  <c r="AV20"/>
  <c r="AV21"/>
  <c r="AV22"/>
  <c r="AV23"/>
  <c r="AV25"/>
  <c r="AV24"/>
  <c r="AV26"/>
  <c r="AV27"/>
  <c r="AV28"/>
  <c r="AV29"/>
  <c r="AV30"/>
  <c r="AV31"/>
  <c r="AV32"/>
  <c r="AV33"/>
  <c r="AV34"/>
  <c r="AV35"/>
  <c r="AV36"/>
  <c r="AV37"/>
  <c r="AV39"/>
  <c r="AV40"/>
  <c r="AV41"/>
  <c r="AV42"/>
  <c r="AV43"/>
  <c r="AV44"/>
  <c r="AV45"/>
  <c r="AV46"/>
  <c r="AV47"/>
  <c r="AV48"/>
  <c r="AV49"/>
  <c r="AV50"/>
  <c r="AV51"/>
  <c r="AV52"/>
  <c r="AV53"/>
  <c r="AV54"/>
  <c r="AV55"/>
  <c r="AV56"/>
  <c r="AV57"/>
  <c r="AV58"/>
  <c r="AV59"/>
  <c r="AV60"/>
  <c r="AV61"/>
  <c r="AV62"/>
  <c r="AV63"/>
  <c r="AV64"/>
  <c r="AV65"/>
  <c r="AV66"/>
  <c r="AV67"/>
  <c r="AV69"/>
  <c r="AV70"/>
  <c r="AV71"/>
  <c r="AV72"/>
  <c r="AV73"/>
  <c r="AV74"/>
  <c r="AV75"/>
  <c r="AV76"/>
  <c r="AV77"/>
  <c r="AV78"/>
  <c r="AV79"/>
  <c r="AV80"/>
  <c r="AV81"/>
  <c r="AV82"/>
  <c r="AV83"/>
  <c r="AV84"/>
  <c r="AV86"/>
  <c r="AV87"/>
  <c r="AV88"/>
  <c r="AV89"/>
  <c r="AV90"/>
  <c r="AV91"/>
  <c r="AV92"/>
  <c r="AV93"/>
  <c r="AV94"/>
  <c r="AV95"/>
  <c r="AV96"/>
  <c r="AV97"/>
  <c r="AV98"/>
  <c r="AV99"/>
  <c r="AV100"/>
  <c r="AV101"/>
  <c r="AV102"/>
  <c r="AV3"/>
  <c r="AX103"/>
  <c r="AX3"/>
  <c r="BA103"/>
  <c r="X13"/>
  <c r="X18"/>
  <c r="X19"/>
  <c r="X61"/>
  <c r="X69"/>
  <c r="X70"/>
  <c r="X83"/>
  <c r="X90"/>
  <c r="X99"/>
  <c r="Z103"/>
  <c r="AN14"/>
  <c r="AN39"/>
  <c r="BD39" s="1"/>
  <c r="AN69"/>
  <c r="BD69" s="1"/>
  <c r="AO103"/>
  <c r="AP103"/>
  <c r="BD11"/>
  <c r="BD13"/>
  <c r="BD14"/>
  <c r="BD15"/>
  <c r="BD16"/>
  <c r="BD17"/>
  <c r="BD18"/>
  <c r="BD19"/>
  <c r="BD20"/>
  <c r="BD21"/>
  <c r="BD22"/>
  <c r="BD23"/>
  <c r="BD25"/>
  <c r="BD24"/>
  <c r="BD26"/>
  <c r="BD28"/>
  <c r="BD29"/>
  <c r="BD30"/>
  <c r="BD31"/>
  <c r="BD32"/>
  <c r="BD33"/>
  <c r="BD34"/>
  <c r="BD35"/>
  <c r="BD36"/>
  <c r="BD37"/>
  <c r="BD40"/>
  <c r="BD41"/>
  <c r="BD42"/>
  <c r="BD43"/>
  <c r="BD44"/>
  <c r="BD45"/>
  <c r="BD46"/>
  <c r="BD47"/>
  <c r="BD48"/>
  <c r="BD49"/>
  <c r="BD50"/>
  <c r="BD51"/>
  <c r="BD52"/>
  <c r="BD53"/>
  <c r="BD54"/>
  <c r="BD55"/>
  <c r="BD56"/>
  <c r="BD57"/>
  <c r="BD58"/>
  <c r="BD59"/>
  <c r="BD60"/>
  <c r="BD61"/>
  <c r="BD62"/>
  <c r="BD63"/>
  <c r="BD64"/>
  <c r="BD65"/>
  <c r="BD66"/>
  <c r="BD67"/>
  <c r="BD70"/>
  <c r="BD71"/>
  <c r="BD72"/>
  <c r="BD73"/>
  <c r="BD74"/>
  <c r="BD75"/>
  <c r="BD76"/>
  <c r="BD77"/>
  <c r="BD78"/>
  <c r="BD79"/>
  <c r="BD80"/>
  <c r="BD81"/>
  <c r="BD82"/>
  <c r="BD83"/>
  <c r="BD84"/>
  <c r="BD86"/>
  <c r="BD87"/>
  <c r="BD88"/>
  <c r="BD89"/>
  <c r="BD90"/>
  <c r="BD91"/>
  <c r="BD92"/>
  <c r="BD93"/>
  <c r="BD94"/>
  <c r="BD95"/>
  <c r="BD96"/>
  <c r="BD97"/>
  <c r="BD98"/>
  <c r="BD99"/>
  <c r="BD100"/>
  <c r="BD101"/>
  <c r="BD102"/>
  <c r="AG103"/>
  <c r="AH34" i="25"/>
  <c r="AH1"/>
  <c r="AL34"/>
  <c r="AL2"/>
  <c r="A3"/>
  <c r="AB34"/>
  <c r="AB3"/>
  <c r="AD34"/>
  <c r="AD3"/>
  <c r="AF11"/>
  <c r="AJ11" s="1"/>
  <c r="AN11" s="1"/>
  <c r="BD11" s="1"/>
  <c r="AF12"/>
  <c r="AJ12" s="1"/>
  <c r="AF14"/>
  <c r="AF15"/>
  <c r="AJ15" s="1"/>
  <c r="AN15" s="1"/>
  <c r="BD15" s="1"/>
  <c r="AF16"/>
  <c r="AJ16" s="1"/>
  <c r="AN16" s="1"/>
  <c r="BD16" s="1"/>
  <c r="AF17"/>
  <c r="AJ17" s="1"/>
  <c r="AN17" s="1"/>
  <c r="BD17" s="1"/>
  <c r="AF18"/>
  <c r="AF19"/>
  <c r="AJ19" s="1"/>
  <c r="AN19" s="1"/>
  <c r="BD19" s="1"/>
  <c r="AF20"/>
  <c r="AJ20" s="1"/>
  <c r="AN20" s="1"/>
  <c r="BD20" s="1"/>
  <c r="AF23"/>
  <c r="AJ23" s="1"/>
  <c r="AN23" s="1"/>
  <c r="BD23" s="1"/>
  <c r="AF24"/>
  <c r="AF25"/>
  <c r="AJ25" s="1"/>
  <c r="AN25" s="1"/>
  <c r="BD25" s="1"/>
  <c r="AF26"/>
  <c r="AJ26" s="1"/>
  <c r="AN26" s="1"/>
  <c r="BD26" s="1"/>
  <c r="AF27"/>
  <c r="AJ27" s="1"/>
  <c r="AN27" s="1"/>
  <c r="BD27" s="1"/>
  <c r="AF28"/>
  <c r="AF29"/>
  <c r="AJ29" s="1"/>
  <c r="AN29" s="1"/>
  <c r="BD29" s="1"/>
  <c r="AF30"/>
  <c r="AJ30" s="1"/>
  <c r="AN30" s="1"/>
  <c r="BD30" s="1"/>
  <c r="AF31"/>
  <c r="AJ31" s="1"/>
  <c r="AN31" s="1"/>
  <c r="BD31" s="1"/>
  <c r="AF32"/>
  <c r="AF33"/>
  <c r="AJ33" s="1"/>
  <c r="AF3"/>
  <c r="AJ14"/>
  <c r="AJ18"/>
  <c r="AJ24"/>
  <c r="AJ28"/>
  <c r="AJ32"/>
  <c r="AJ3"/>
  <c r="AR34"/>
  <c r="AR3"/>
  <c r="AT34"/>
  <c r="AT3"/>
  <c r="AV11"/>
  <c r="AV12"/>
  <c r="AV14"/>
  <c r="AV15"/>
  <c r="AV16"/>
  <c r="AV17"/>
  <c r="AV18"/>
  <c r="AV19"/>
  <c r="AV20"/>
  <c r="AV23"/>
  <c r="AV24"/>
  <c r="AV25"/>
  <c r="AV26"/>
  <c r="AV27"/>
  <c r="AV28"/>
  <c r="AV29"/>
  <c r="AV30"/>
  <c r="AV31"/>
  <c r="AV32"/>
  <c r="AV33"/>
  <c r="AV3"/>
  <c r="AX34"/>
  <c r="AX3"/>
  <c r="BA34"/>
  <c r="I4"/>
  <c r="J4"/>
  <c r="X12"/>
  <c r="X21"/>
  <c r="X29"/>
  <c r="Z34"/>
  <c r="AN14"/>
  <c r="AN18"/>
  <c r="AN24"/>
  <c r="AN28"/>
  <c r="AN32"/>
  <c r="AO34"/>
  <c r="AP34"/>
  <c r="BD14"/>
  <c r="BD18"/>
  <c r="BD21"/>
  <c r="BD22"/>
  <c r="BD24"/>
  <c r="BD28"/>
  <c r="BD32"/>
  <c r="BD33"/>
  <c r="AC34"/>
  <c r="AE34"/>
  <c r="AG34"/>
  <c r="AS34"/>
  <c r="AU34"/>
  <c r="AH18" i="26"/>
  <c r="AH1"/>
  <c r="AL18"/>
  <c r="AL2"/>
  <c r="A3"/>
  <c r="AB18"/>
  <c r="AB3"/>
  <c r="AD18"/>
  <c r="AD3"/>
  <c r="AF11"/>
  <c r="AF12"/>
  <c r="AJ12" s="1"/>
  <c r="AN12" s="1"/>
  <c r="BD12" s="1"/>
  <c r="AF13"/>
  <c r="AJ13" s="1"/>
  <c r="AN13" s="1"/>
  <c r="BD13" s="1"/>
  <c r="AF14"/>
  <c r="AF15"/>
  <c r="AJ15" s="1"/>
  <c r="AF16"/>
  <c r="AJ16" s="1"/>
  <c r="AN16" s="1"/>
  <c r="BD16" s="1"/>
  <c r="AF17"/>
  <c r="AJ17" s="1"/>
  <c r="AN17" s="1"/>
  <c r="BD17" s="1"/>
  <c r="AF3"/>
  <c r="AJ14"/>
  <c r="AN14" s="1"/>
  <c r="BD14" s="1"/>
  <c r="AJ3"/>
  <c r="AR18"/>
  <c r="AR3"/>
  <c r="AT18"/>
  <c r="AT3"/>
  <c r="AV11"/>
  <c r="AV12"/>
  <c r="AV13"/>
  <c r="AV14"/>
  <c r="AV15"/>
  <c r="AV16"/>
  <c r="AV17"/>
  <c r="AV3"/>
  <c r="AX18"/>
  <c r="AX3"/>
  <c r="BA18"/>
  <c r="I4"/>
  <c r="J4"/>
  <c r="X18"/>
  <c r="Z18"/>
  <c r="AN15"/>
  <c r="AO18"/>
  <c r="AP18"/>
  <c r="BD15"/>
  <c r="AG18"/>
  <c r="AH30" i="27"/>
  <c r="AH1"/>
  <c r="AL30"/>
  <c r="AL2"/>
  <c r="A3"/>
  <c r="AB30"/>
  <c r="AB3"/>
  <c r="AD30"/>
  <c r="AD3"/>
  <c r="AF11"/>
  <c r="AF12"/>
  <c r="AF13"/>
  <c r="AF14"/>
  <c r="AF15"/>
  <c r="Z16"/>
  <c r="AF16" s="1"/>
  <c r="AJ16" s="1"/>
  <c r="AF17"/>
  <c r="AF18"/>
  <c r="AJ18" s="1"/>
  <c r="AF19"/>
  <c r="AF20"/>
  <c r="AJ20" s="1"/>
  <c r="AF21"/>
  <c r="AF22"/>
  <c r="AJ22" s="1"/>
  <c r="AF23"/>
  <c r="AF24"/>
  <c r="AJ24" s="1"/>
  <c r="AF25"/>
  <c r="Z26"/>
  <c r="AF26" s="1"/>
  <c r="AJ26" s="1"/>
  <c r="AF27"/>
  <c r="AF28"/>
  <c r="Z29"/>
  <c r="AF29" s="1"/>
  <c r="AJ29" s="1"/>
  <c r="AF3"/>
  <c r="AJ11"/>
  <c r="AJ12"/>
  <c r="AJ13"/>
  <c r="AJ14"/>
  <c r="AJ15"/>
  <c r="AJ17"/>
  <c r="AN17" s="1"/>
  <c r="BD17" s="1"/>
  <c r="AJ19"/>
  <c r="AJ21"/>
  <c r="AJ23"/>
  <c r="AJ25"/>
  <c r="AN25" s="1"/>
  <c r="BD25" s="1"/>
  <c r="AJ28"/>
  <c r="AJ3"/>
  <c r="AR30"/>
  <c r="AR3"/>
  <c r="AT30"/>
  <c r="AT3"/>
  <c r="AV11"/>
  <c r="AV12"/>
  <c r="AV13"/>
  <c r="AV14"/>
  <c r="AV15"/>
  <c r="AV16"/>
  <c r="AV17"/>
  <c r="AV18"/>
  <c r="AV19"/>
  <c r="AV30" s="1"/>
  <c r="AV20"/>
  <c r="AV21"/>
  <c r="AV22"/>
  <c r="AV23"/>
  <c r="AV24"/>
  <c r="AV25"/>
  <c r="AV26"/>
  <c r="AV27"/>
  <c r="AV28"/>
  <c r="AV29"/>
  <c r="AV3"/>
  <c r="AX30"/>
  <c r="AX3"/>
  <c r="BA30"/>
  <c r="I4"/>
  <c r="J4"/>
  <c r="X30"/>
  <c r="Z30"/>
  <c r="AN11"/>
  <c r="AN13"/>
  <c r="BD13" s="1"/>
  <c r="AN28"/>
  <c r="AO30"/>
  <c r="AP30"/>
  <c r="BD11"/>
  <c r="BD12"/>
  <c r="BD14"/>
  <c r="BD15"/>
  <c r="BD16"/>
  <c r="BD18"/>
  <c r="BD19"/>
  <c r="BD20"/>
  <c r="BD21"/>
  <c r="BD22"/>
  <c r="BD23"/>
  <c r="BD24"/>
  <c r="BD26"/>
  <c r="BD27"/>
  <c r="BD28"/>
  <c r="BD29"/>
  <c r="AG30"/>
  <c r="AH35" i="28"/>
  <c r="AH1"/>
  <c r="AL35"/>
  <c r="AL2"/>
  <c r="A3"/>
  <c r="AB35"/>
  <c r="AB3"/>
  <c r="AD35"/>
  <c r="AD3"/>
  <c r="AF11"/>
  <c r="AF12"/>
  <c r="AF13"/>
  <c r="AF14"/>
  <c r="AF15"/>
  <c r="AF16"/>
  <c r="AF17"/>
  <c r="AF18"/>
  <c r="AF19"/>
  <c r="AF20"/>
  <c r="AF21"/>
  <c r="AF23"/>
  <c r="AF24"/>
  <c r="AF25"/>
  <c r="AF26"/>
  <c r="AF27"/>
  <c r="AF28"/>
  <c r="AF29"/>
  <c r="AF30"/>
  <c r="AF31"/>
  <c r="AF32"/>
  <c r="AF33"/>
  <c r="AF3"/>
  <c r="AJ11"/>
  <c r="AJ12"/>
  <c r="AJ13"/>
  <c r="AJ14"/>
  <c r="AJ15"/>
  <c r="AJ16"/>
  <c r="AJ17"/>
  <c r="AJ18"/>
  <c r="AJ19"/>
  <c r="AJ20"/>
  <c r="AJ21"/>
  <c r="AJ23"/>
  <c r="AJ24"/>
  <c r="AJ25"/>
  <c r="AJ26"/>
  <c r="AJ27"/>
  <c r="AJ28"/>
  <c r="AJ29"/>
  <c r="AJ30"/>
  <c r="AJ31"/>
  <c r="AJ32"/>
  <c r="AJ33"/>
  <c r="AJ3"/>
  <c r="AR35"/>
  <c r="AR3"/>
  <c r="AT35"/>
  <c r="AT3"/>
  <c r="AV11"/>
  <c r="AV12"/>
  <c r="AV13"/>
  <c r="AV14"/>
  <c r="AV15"/>
  <c r="AV16"/>
  <c r="AV17"/>
  <c r="AV18"/>
  <c r="AV19"/>
  <c r="AV20"/>
  <c r="AV21"/>
  <c r="AV23"/>
  <c r="AV24"/>
  <c r="AV25"/>
  <c r="AV26"/>
  <c r="AV27"/>
  <c r="AV28"/>
  <c r="AV29"/>
  <c r="AV30"/>
  <c r="AV31"/>
  <c r="AV32"/>
  <c r="AV33"/>
  <c r="AV3"/>
  <c r="AX35"/>
  <c r="AX3"/>
  <c r="BA35"/>
  <c r="I4"/>
  <c r="J4"/>
  <c r="Z35"/>
  <c r="AN11"/>
  <c r="AN12"/>
  <c r="BD12" s="1"/>
  <c r="AN13"/>
  <c r="AN14"/>
  <c r="BD14" s="1"/>
  <c r="AN15"/>
  <c r="AN16"/>
  <c r="BD16" s="1"/>
  <c r="AN17"/>
  <c r="AN18"/>
  <c r="BD18" s="1"/>
  <c r="AN19"/>
  <c r="AN20"/>
  <c r="BD20" s="1"/>
  <c r="AN21"/>
  <c r="AN23"/>
  <c r="BD23" s="1"/>
  <c r="AN24"/>
  <c r="AN25"/>
  <c r="BD25" s="1"/>
  <c r="AN26"/>
  <c r="AN27"/>
  <c r="BD27" s="1"/>
  <c r="AN28"/>
  <c r="AN29"/>
  <c r="BD29" s="1"/>
  <c r="AN30"/>
  <c r="AN31"/>
  <c r="BD31" s="1"/>
  <c r="AN32"/>
  <c r="AN33"/>
  <c r="BD33" s="1"/>
  <c r="AO35"/>
  <c r="BD11"/>
  <c r="BD13"/>
  <c r="BD15"/>
  <c r="BD17"/>
  <c r="BD19"/>
  <c r="BD21"/>
  <c r="BD24"/>
  <c r="BD26"/>
  <c r="BD28"/>
  <c r="BD30"/>
  <c r="BD32"/>
  <c r="AG35"/>
  <c r="AH21" i="29"/>
  <c r="AH1"/>
  <c r="AL21"/>
  <c r="AL2"/>
  <c r="A3"/>
  <c r="AB21"/>
  <c r="AB3"/>
  <c r="AD21"/>
  <c r="AD3"/>
  <c r="AF11"/>
  <c r="AF12"/>
  <c r="AF13"/>
  <c r="AJ13" s="1"/>
  <c r="AF14"/>
  <c r="AF15"/>
  <c r="AJ15" s="1"/>
  <c r="AF17"/>
  <c r="AF18"/>
  <c r="AJ18" s="1"/>
  <c r="AF19"/>
  <c r="AF20"/>
  <c r="AJ20" s="1"/>
  <c r="AF3"/>
  <c r="AJ12"/>
  <c r="AN12" s="1"/>
  <c r="BD12" s="1"/>
  <c r="AJ14"/>
  <c r="AN14" s="1"/>
  <c r="BD14" s="1"/>
  <c r="AJ17"/>
  <c r="AN17" s="1"/>
  <c r="BD17" s="1"/>
  <c r="AJ19"/>
  <c r="AN19" s="1"/>
  <c r="BD19" s="1"/>
  <c r="AJ3"/>
  <c r="AR21"/>
  <c r="AR3"/>
  <c r="AT21"/>
  <c r="AT3"/>
  <c r="AV11"/>
  <c r="AV12"/>
  <c r="AV13"/>
  <c r="AV14"/>
  <c r="AV15"/>
  <c r="AV17"/>
  <c r="AV18"/>
  <c r="AV19"/>
  <c r="AV20"/>
  <c r="AV3"/>
  <c r="AX21"/>
  <c r="AX3"/>
  <c r="BA21"/>
  <c r="X11"/>
  <c r="X12"/>
  <c r="X21" s="1"/>
  <c r="X13"/>
  <c r="X19"/>
  <c r="Z21"/>
  <c r="AN13"/>
  <c r="AN15"/>
  <c r="BD15" s="1"/>
  <c r="AN18"/>
  <c r="AN20"/>
  <c r="BD20" s="1"/>
  <c r="AO21"/>
  <c r="AP21"/>
  <c r="BD13"/>
  <c r="BD18"/>
  <c r="AG21"/>
  <c r="AH21" i="30"/>
  <c r="AH1"/>
  <c r="AL21"/>
  <c r="AL2"/>
  <c r="A3"/>
  <c r="AB21"/>
  <c r="AB3"/>
  <c r="AD21"/>
  <c r="AD3"/>
  <c r="AF11"/>
  <c r="AF12"/>
  <c r="AF21" s="1"/>
  <c r="AF13"/>
  <c r="AF14"/>
  <c r="AF15"/>
  <c r="AF16"/>
  <c r="AJ16" s="1"/>
  <c r="AN16" s="1"/>
  <c r="BD16" s="1"/>
  <c r="AF17"/>
  <c r="AJ17" s="1"/>
  <c r="AF18"/>
  <c r="AF19"/>
  <c r="AJ19" s="1"/>
  <c r="AF20"/>
  <c r="AJ20" s="1"/>
  <c r="AN20" s="1"/>
  <c r="BD20" s="1"/>
  <c r="AF3"/>
  <c r="AJ11"/>
  <c r="AJ12"/>
  <c r="AJ13"/>
  <c r="AN13" s="1"/>
  <c r="BD13" s="1"/>
  <c r="AJ14"/>
  <c r="AJ18"/>
  <c r="AN18" s="1"/>
  <c r="BD18" s="1"/>
  <c r="AJ3"/>
  <c r="AR15"/>
  <c r="AR21"/>
  <c r="AR3"/>
  <c r="AT21"/>
  <c r="AT3"/>
  <c r="AV11"/>
  <c r="AV12"/>
  <c r="AV13"/>
  <c r="AV14"/>
  <c r="AV15"/>
  <c r="AV16"/>
  <c r="AV17"/>
  <c r="AV18"/>
  <c r="AV19"/>
  <c r="AV20"/>
  <c r="AV21"/>
  <c r="AV3"/>
  <c r="AX21"/>
  <c r="AX3"/>
  <c r="BA21"/>
  <c r="I4"/>
  <c r="J4"/>
  <c r="X14"/>
  <c r="X18"/>
  <c r="X21" s="1"/>
  <c r="Z21"/>
  <c r="AN12"/>
  <c r="BD12" s="1"/>
  <c r="AN14"/>
  <c r="AN17"/>
  <c r="BD17" s="1"/>
  <c r="AN19"/>
  <c r="AO21"/>
  <c r="AP21"/>
  <c r="BD14"/>
  <c r="BD19"/>
  <c r="AG21"/>
  <c r="AH33" i="31"/>
  <c r="AH1"/>
  <c r="AL33"/>
  <c r="AL2"/>
  <c r="A3"/>
  <c r="AB33"/>
  <c r="AB3"/>
  <c r="AD33"/>
  <c r="AD3"/>
  <c r="AF11"/>
  <c r="AF12"/>
  <c r="AJ12" s="1"/>
  <c r="AN12" s="1"/>
  <c r="BD12" s="1"/>
  <c r="AF13"/>
  <c r="AF14"/>
  <c r="AJ14" s="1"/>
  <c r="AN14" s="1"/>
  <c r="BD14" s="1"/>
  <c r="AF15"/>
  <c r="AF16"/>
  <c r="AJ16" s="1"/>
  <c r="AN16" s="1"/>
  <c r="BD16" s="1"/>
  <c r="AF17"/>
  <c r="AF19"/>
  <c r="AJ19" s="1"/>
  <c r="AN19" s="1"/>
  <c r="BD19" s="1"/>
  <c r="AF20"/>
  <c r="AF21"/>
  <c r="AJ21" s="1"/>
  <c r="AN21" s="1"/>
  <c r="BD21" s="1"/>
  <c r="AF22"/>
  <c r="AF23"/>
  <c r="AJ23" s="1"/>
  <c r="AN23" s="1"/>
  <c r="BD23" s="1"/>
  <c r="AF24"/>
  <c r="AF25"/>
  <c r="AJ25" s="1"/>
  <c r="AN25" s="1"/>
  <c r="BD25" s="1"/>
  <c r="AF26"/>
  <c r="AF27"/>
  <c r="AJ27" s="1"/>
  <c r="AN27" s="1"/>
  <c r="BD27" s="1"/>
  <c r="AF28"/>
  <c r="AF29"/>
  <c r="AJ29" s="1"/>
  <c r="AN29" s="1"/>
  <c r="BD29" s="1"/>
  <c r="AF30"/>
  <c r="AF31"/>
  <c r="AJ31" s="1"/>
  <c r="AN31" s="1"/>
  <c r="BD31" s="1"/>
  <c r="AF32"/>
  <c r="AF33"/>
  <c r="AF3"/>
  <c r="AJ11"/>
  <c r="AN11" s="1"/>
  <c r="AJ13"/>
  <c r="AJ15"/>
  <c r="AN15" s="1"/>
  <c r="BD15" s="1"/>
  <c r="AJ17"/>
  <c r="AJ20"/>
  <c r="AN20" s="1"/>
  <c r="BD20" s="1"/>
  <c r="AJ22"/>
  <c r="AJ24"/>
  <c r="AN24" s="1"/>
  <c r="BD24" s="1"/>
  <c r="AJ26"/>
  <c r="AJ28"/>
  <c r="AN28" s="1"/>
  <c r="BD28" s="1"/>
  <c r="AJ30"/>
  <c r="AJ32"/>
  <c r="AN32" s="1"/>
  <c r="BD32" s="1"/>
  <c r="AJ3"/>
  <c r="AR33"/>
  <c r="AR3"/>
  <c r="AT33"/>
  <c r="AT3"/>
  <c r="AV11"/>
  <c r="AV33" s="1"/>
  <c r="AV12"/>
  <c r="AV13"/>
  <c r="AV14"/>
  <c r="AV15"/>
  <c r="AV16"/>
  <c r="AV17"/>
  <c r="AV19"/>
  <c r="AV20"/>
  <c r="AV21"/>
  <c r="AV22"/>
  <c r="AV23"/>
  <c r="AV24"/>
  <c r="AV25"/>
  <c r="AV26"/>
  <c r="AV27"/>
  <c r="AV28"/>
  <c r="AV29"/>
  <c r="AV30"/>
  <c r="AV31"/>
  <c r="AV32"/>
  <c r="AV3"/>
  <c r="AX33"/>
  <c r="AX3"/>
  <c r="BA33"/>
  <c r="I4"/>
  <c r="J4"/>
  <c r="X30"/>
  <c r="X33" s="1"/>
  <c r="Z33"/>
  <c r="AN13"/>
  <c r="BD13" s="1"/>
  <c r="AN17"/>
  <c r="BD17" s="1"/>
  <c r="AN22"/>
  <c r="BD22" s="1"/>
  <c r="AN26"/>
  <c r="BD26" s="1"/>
  <c r="AN30"/>
  <c r="BD30" s="1"/>
  <c r="AO33"/>
  <c r="AP33"/>
  <c r="AG33"/>
  <c r="AH51" i="32"/>
  <c r="AH1"/>
  <c r="AL45"/>
  <c r="AL47"/>
  <c r="AL51" s="1"/>
  <c r="AL2"/>
  <c r="A3"/>
  <c r="AB51"/>
  <c r="AB3"/>
  <c r="AD51"/>
  <c r="AD3"/>
  <c r="AF11"/>
  <c r="AF12"/>
  <c r="AF13"/>
  <c r="AF14"/>
  <c r="AF15"/>
  <c r="AF16"/>
  <c r="AF17"/>
  <c r="AF18"/>
  <c r="AF19"/>
  <c r="AF20"/>
  <c r="AF21"/>
  <c r="AF22"/>
  <c r="AF25"/>
  <c r="AF26"/>
  <c r="AF27"/>
  <c r="AF28"/>
  <c r="AF29"/>
  <c r="AF30"/>
  <c r="AF31"/>
  <c r="AF32"/>
  <c r="AF33"/>
  <c r="AF34"/>
  <c r="AF35"/>
  <c r="AF36"/>
  <c r="Z38"/>
  <c r="AF38" s="1"/>
  <c r="AF39"/>
  <c r="AJ39" s="1"/>
  <c r="AF40"/>
  <c r="Z43"/>
  <c r="AF43" s="1"/>
  <c r="AJ43" s="1"/>
  <c r="AN43" s="1"/>
  <c r="BD43" s="1"/>
  <c r="AF37"/>
  <c r="AF44"/>
  <c r="AF46"/>
  <c r="AF48"/>
  <c r="AF49"/>
  <c r="AF50"/>
  <c r="AF42"/>
  <c r="AF45"/>
  <c r="Z47"/>
  <c r="AF47" s="1"/>
  <c r="AF51"/>
  <c r="AF3"/>
  <c r="AJ11"/>
  <c r="AJ12"/>
  <c r="AJ13"/>
  <c r="AN13" s="1"/>
  <c r="AJ14"/>
  <c r="AJ15"/>
  <c r="AN15" s="1"/>
  <c r="AJ16"/>
  <c r="AJ17"/>
  <c r="AN17" s="1"/>
  <c r="AJ18"/>
  <c r="AJ19"/>
  <c r="AN19" s="1"/>
  <c r="AJ20"/>
  <c r="AJ21"/>
  <c r="AN21" s="1"/>
  <c r="AJ22"/>
  <c r="AJ25"/>
  <c r="AN25" s="1"/>
  <c r="AJ26"/>
  <c r="AJ27"/>
  <c r="AN27" s="1"/>
  <c r="AJ28"/>
  <c r="AJ29"/>
  <c r="AN29" s="1"/>
  <c r="AJ30"/>
  <c r="AJ31"/>
  <c r="AN31" s="1"/>
  <c r="AJ32"/>
  <c r="AJ33"/>
  <c r="AN33" s="1"/>
  <c r="AJ34"/>
  <c r="AJ35"/>
  <c r="AN35" s="1"/>
  <c r="AJ36"/>
  <c r="AJ38"/>
  <c r="AN38" s="1"/>
  <c r="AJ40"/>
  <c r="AN40" s="1"/>
  <c r="AJ37"/>
  <c r="AN37" s="1"/>
  <c r="AJ44"/>
  <c r="AJ46"/>
  <c r="AN46" s="1"/>
  <c r="AJ48"/>
  <c r="AJ49"/>
  <c r="AN49" s="1"/>
  <c r="BD49" s="1"/>
  <c r="AJ50"/>
  <c r="AJ42"/>
  <c r="AN42" s="1"/>
  <c r="BD42" s="1"/>
  <c r="AJ45"/>
  <c r="AJ47"/>
  <c r="AJ3"/>
  <c r="AR51"/>
  <c r="AR3"/>
  <c r="AT51"/>
  <c r="AT3"/>
  <c r="AV11"/>
  <c r="AV12"/>
  <c r="AV13"/>
  <c r="AV14"/>
  <c r="AV15"/>
  <c r="AV16"/>
  <c r="AV17"/>
  <c r="AV18"/>
  <c r="AV19"/>
  <c r="AV20"/>
  <c r="AV21"/>
  <c r="AV22"/>
  <c r="AV25"/>
  <c r="AV26"/>
  <c r="AV27"/>
  <c r="AV28"/>
  <c r="AV29"/>
  <c r="AV30"/>
  <c r="AV31"/>
  <c r="AV32"/>
  <c r="AV33"/>
  <c r="AV34"/>
  <c r="AV35"/>
  <c r="AV36"/>
  <c r="AV38"/>
  <c r="AV39"/>
  <c r="AV40"/>
  <c r="AV43"/>
  <c r="AV37"/>
  <c r="AV44"/>
  <c r="AV46"/>
  <c r="AV48"/>
  <c r="AV41"/>
  <c r="AV49"/>
  <c r="AV50"/>
  <c r="AV42"/>
  <c r="AV45"/>
  <c r="AV47"/>
  <c r="AV3"/>
  <c r="AX51"/>
  <c r="AX3"/>
  <c r="BA51"/>
  <c r="I4"/>
  <c r="J4"/>
  <c r="X43"/>
  <c r="X51" s="1"/>
  <c r="AN12"/>
  <c r="BD12" s="1"/>
  <c r="AN14"/>
  <c r="AN16"/>
  <c r="BD16" s="1"/>
  <c r="AN18"/>
  <c r="BD18" s="1"/>
  <c r="AN20"/>
  <c r="BD20" s="1"/>
  <c r="AN22"/>
  <c r="AN26"/>
  <c r="BD26" s="1"/>
  <c r="AN28"/>
  <c r="BD28" s="1"/>
  <c r="AN30"/>
  <c r="BD30" s="1"/>
  <c r="AN32"/>
  <c r="AN34"/>
  <c r="BD34" s="1"/>
  <c r="AN36"/>
  <c r="BD36" s="1"/>
  <c r="AN39"/>
  <c r="BD39" s="1"/>
  <c r="AN44"/>
  <c r="BD44" s="1"/>
  <c r="AN48"/>
  <c r="AN50"/>
  <c r="AN45"/>
  <c r="AN47"/>
  <c r="BD47" s="1"/>
  <c r="AO51"/>
  <c r="AP51"/>
  <c r="BD13"/>
  <c r="BD14"/>
  <c r="BD15"/>
  <c r="BD17"/>
  <c r="BD19"/>
  <c r="BD21"/>
  <c r="BD22"/>
  <c r="BD25"/>
  <c r="BD27"/>
  <c r="BD29"/>
  <c r="BD31"/>
  <c r="BD32"/>
  <c r="BD33"/>
  <c r="BD35"/>
  <c r="BD38"/>
  <c r="BD40"/>
  <c r="BD37"/>
  <c r="BD46"/>
  <c r="BD48"/>
  <c r="BD41"/>
  <c r="BD50"/>
  <c r="BD45"/>
  <c r="AG51"/>
  <c r="AH93" i="9"/>
  <c r="AH94"/>
  <c r="AH96" s="1"/>
  <c r="AH1"/>
  <c r="AL70"/>
  <c r="AL96" s="1"/>
  <c r="AL2"/>
  <c r="A3"/>
  <c r="AB96"/>
  <c r="AB3"/>
  <c r="AD96"/>
  <c r="AD3"/>
  <c r="Z12"/>
  <c r="AF12" s="1"/>
  <c r="AJ12" s="1"/>
  <c r="Z21"/>
  <c r="AF21" s="1"/>
  <c r="AJ21" s="1"/>
  <c r="AN21" s="1"/>
  <c r="BD21" s="1"/>
  <c r="Z23"/>
  <c r="AF23" s="1"/>
  <c r="AJ23" s="1"/>
  <c r="AN23" s="1"/>
  <c r="BD23" s="1"/>
  <c r="AF11"/>
  <c r="AJ11" s="1"/>
  <c r="AN11" s="1"/>
  <c r="BD11" s="1"/>
  <c r="AF13"/>
  <c r="AF14"/>
  <c r="AJ14" s="1"/>
  <c r="AF15"/>
  <c r="AF16"/>
  <c r="AJ16" s="1"/>
  <c r="AF17"/>
  <c r="AF18"/>
  <c r="AJ18" s="1"/>
  <c r="AF19"/>
  <c r="AF20"/>
  <c r="AJ20" s="1"/>
  <c r="AF22"/>
  <c r="AF24"/>
  <c r="AJ24" s="1"/>
  <c r="AF26"/>
  <c r="AF27"/>
  <c r="AJ27" s="1"/>
  <c r="AF28"/>
  <c r="AF29"/>
  <c r="AJ29" s="1"/>
  <c r="AF30"/>
  <c r="AF31"/>
  <c r="AJ31" s="1"/>
  <c r="AN31" s="1"/>
  <c r="BD31" s="1"/>
  <c r="AF32"/>
  <c r="AF33"/>
  <c r="AJ33" s="1"/>
  <c r="AF34"/>
  <c r="AF35"/>
  <c r="AJ35" s="1"/>
  <c r="AF36"/>
  <c r="AF37"/>
  <c r="AJ37" s="1"/>
  <c r="AN37" s="1"/>
  <c r="BD37" s="1"/>
  <c r="AF38"/>
  <c r="AF39"/>
  <c r="AF40"/>
  <c r="AF41"/>
  <c r="AF42"/>
  <c r="AF43"/>
  <c r="AF44"/>
  <c r="AF45"/>
  <c r="AF46"/>
  <c r="AF47"/>
  <c r="AF48"/>
  <c r="AF49"/>
  <c r="AF50"/>
  <c r="AF51"/>
  <c r="AF52"/>
  <c r="AF53"/>
  <c r="AF54"/>
  <c r="AF55"/>
  <c r="AF56"/>
  <c r="AF58"/>
  <c r="AF59"/>
  <c r="AF60"/>
  <c r="AF61"/>
  <c r="AF62"/>
  <c r="AF63"/>
  <c r="AF64"/>
  <c r="AF66"/>
  <c r="AF67"/>
  <c r="AF68"/>
  <c r="AF69"/>
  <c r="AF70"/>
  <c r="AF71"/>
  <c r="AF72"/>
  <c r="AF73"/>
  <c r="AF74"/>
  <c r="AF76"/>
  <c r="AF77"/>
  <c r="AF78"/>
  <c r="AF79"/>
  <c r="AF80"/>
  <c r="AF81"/>
  <c r="AF82"/>
  <c r="AF83"/>
  <c r="AF84"/>
  <c r="AF85"/>
  <c r="AF86"/>
  <c r="AF87"/>
  <c r="AF88"/>
  <c r="AF89"/>
  <c r="AF90"/>
  <c r="AF91"/>
  <c r="AF92"/>
  <c r="AF93"/>
  <c r="AF94"/>
  <c r="AF95"/>
  <c r="AF96"/>
  <c r="AF3"/>
  <c r="AJ13"/>
  <c r="AJ15"/>
  <c r="AJ17"/>
  <c r="AJ19"/>
  <c r="AJ22"/>
  <c r="AJ26"/>
  <c r="AJ28"/>
  <c r="AJ30"/>
  <c r="AJ32"/>
  <c r="AJ34"/>
  <c r="AN34" s="1"/>
  <c r="BD34" s="1"/>
  <c r="AJ36"/>
  <c r="AJ38"/>
  <c r="AG39"/>
  <c r="AJ39" s="1"/>
  <c r="AJ40"/>
  <c r="AJ41"/>
  <c r="AJ42"/>
  <c r="AJ43"/>
  <c r="AJ44"/>
  <c r="AJ45"/>
  <c r="AJ46"/>
  <c r="AJ47"/>
  <c r="AJ48"/>
  <c r="AJ49"/>
  <c r="AN49" s="1"/>
  <c r="BD49" s="1"/>
  <c r="AJ50"/>
  <c r="AJ51"/>
  <c r="AN51" s="1"/>
  <c r="BD51" s="1"/>
  <c r="AJ52"/>
  <c r="AJ53"/>
  <c r="AN53" s="1"/>
  <c r="BD53" s="1"/>
  <c r="AJ54"/>
  <c r="AJ55"/>
  <c r="AN55" s="1"/>
  <c r="BD55" s="1"/>
  <c r="AJ56"/>
  <c r="AJ58"/>
  <c r="AJ59"/>
  <c r="AJ60"/>
  <c r="AJ61"/>
  <c r="AJ62"/>
  <c r="AJ63"/>
  <c r="AJ64"/>
  <c r="AJ66"/>
  <c r="AJ67"/>
  <c r="AJ68"/>
  <c r="AJ69"/>
  <c r="AJ70"/>
  <c r="AJ71"/>
  <c r="AJ72"/>
  <c r="AJ73"/>
  <c r="AJ74"/>
  <c r="AJ76"/>
  <c r="AJ77"/>
  <c r="AJ78"/>
  <c r="AN78" s="1"/>
  <c r="BD78" s="1"/>
  <c r="AJ79"/>
  <c r="AJ80"/>
  <c r="AN80" s="1"/>
  <c r="BD80" s="1"/>
  <c r="AJ81"/>
  <c r="AJ82"/>
  <c r="AJ83"/>
  <c r="AJ84"/>
  <c r="AJ85"/>
  <c r="AJ86"/>
  <c r="AJ87"/>
  <c r="AJ88"/>
  <c r="AJ89"/>
  <c r="AJ90"/>
  <c r="AJ91"/>
  <c r="AJ92"/>
  <c r="AJ94"/>
  <c r="AJ95"/>
  <c r="AJ3"/>
  <c r="AR47"/>
  <c r="AV47" s="1"/>
  <c r="AR70"/>
  <c r="AR96" s="1"/>
  <c r="AR3"/>
  <c r="AT96"/>
  <c r="AT3"/>
  <c r="AV26"/>
  <c r="AV27"/>
  <c r="AV28"/>
  <c r="AV29"/>
  <c r="AV30"/>
  <c r="AV31"/>
  <c r="AV32"/>
  <c r="AV33"/>
  <c r="AV34"/>
  <c r="AV35"/>
  <c r="AV36"/>
  <c r="AV37"/>
  <c r="AV38"/>
  <c r="AV39"/>
  <c r="AV40"/>
  <c r="AV41"/>
  <c r="AV42"/>
  <c r="AV43"/>
  <c r="AV44"/>
  <c r="AV45"/>
  <c r="AV46"/>
  <c r="AV48"/>
  <c r="AV49"/>
  <c r="AV50"/>
  <c r="AV51"/>
  <c r="AV52"/>
  <c r="AV53"/>
  <c r="AV54"/>
  <c r="AV55"/>
  <c r="AV56"/>
  <c r="AV57"/>
  <c r="AV58"/>
  <c r="AV59"/>
  <c r="AV60"/>
  <c r="AV61"/>
  <c r="AV62"/>
  <c r="AV63"/>
  <c r="AV64"/>
  <c r="AV66"/>
  <c r="AV67"/>
  <c r="AV68"/>
  <c r="AV69"/>
  <c r="AV70"/>
  <c r="AV71"/>
  <c r="AV72"/>
  <c r="AV73"/>
  <c r="AV74"/>
  <c r="AV76"/>
  <c r="AV77"/>
  <c r="AV78"/>
  <c r="AV79"/>
  <c r="AV80"/>
  <c r="AV81"/>
  <c r="AV82"/>
  <c r="AV83"/>
  <c r="AV84"/>
  <c r="AV85"/>
  <c r="AV86"/>
  <c r="AV87"/>
  <c r="AV88"/>
  <c r="AV89"/>
  <c r="AV90"/>
  <c r="AV91"/>
  <c r="AV92"/>
  <c r="AV93"/>
  <c r="AV94"/>
  <c r="AV95"/>
  <c r="AV11"/>
  <c r="AV12"/>
  <c r="AV13"/>
  <c r="AV14"/>
  <c r="AV15"/>
  <c r="AV16"/>
  <c r="AV17"/>
  <c r="AV18"/>
  <c r="AV19"/>
  <c r="AV20"/>
  <c r="AV21"/>
  <c r="AV22"/>
  <c r="AV23"/>
  <c r="AV24"/>
  <c r="AV3"/>
  <c r="AX96"/>
  <c r="AX3"/>
  <c r="BA96"/>
  <c r="BA11"/>
  <c r="BA12"/>
  <c r="BA13"/>
  <c r="BA14"/>
  <c r="BA15"/>
  <c r="BA16"/>
  <c r="BA17"/>
  <c r="BA18"/>
  <c r="BA19"/>
  <c r="BA20"/>
  <c r="BA21"/>
  <c r="BA22"/>
  <c r="BA23"/>
  <c r="BA24"/>
  <c r="I4"/>
  <c r="J4"/>
  <c r="X33"/>
  <c r="X56"/>
  <c r="X76"/>
  <c r="X81"/>
  <c r="Z96"/>
  <c r="AN28"/>
  <c r="AN32"/>
  <c r="AN35"/>
  <c r="BD35" s="1"/>
  <c r="AN38"/>
  <c r="AN44"/>
  <c r="AN48"/>
  <c r="AN50"/>
  <c r="AN52"/>
  <c r="AN54"/>
  <c r="AN59"/>
  <c r="AN63"/>
  <c r="AN68"/>
  <c r="AN79"/>
  <c r="AN81"/>
  <c r="AN85"/>
  <c r="AN90"/>
  <c r="BD90" s="1"/>
  <c r="AN91"/>
  <c r="AN95"/>
  <c r="AO96"/>
  <c r="AP96"/>
  <c r="BD12"/>
  <c r="BD13"/>
  <c r="BD14"/>
  <c r="BD15"/>
  <c r="BD16"/>
  <c r="BD17"/>
  <c r="BD18"/>
  <c r="BD19"/>
  <c r="BD20"/>
  <c r="BD22"/>
  <c r="BD24"/>
  <c r="BD26"/>
  <c r="BD27"/>
  <c r="BD28"/>
  <c r="BD29"/>
  <c r="BD30"/>
  <c r="BD32"/>
  <c r="BD33"/>
  <c r="BD36"/>
  <c r="BD38"/>
  <c r="BD39"/>
  <c r="BD40"/>
  <c r="BD41"/>
  <c r="BD42"/>
  <c r="BD43"/>
  <c r="BD44"/>
  <c r="BD45"/>
  <c r="BD46"/>
  <c r="BD47"/>
  <c r="BD48"/>
  <c r="BD50"/>
  <c r="BD52"/>
  <c r="BD54"/>
  <c r="BD56"/>
  <c r="BD58"/>
  <c r="BD59"/>
  <c r="BD60"/>
  <c r="BD61"/>
  <c r="BD62"/>
  <c r="BD63"/>
  <c r="BD64"/>
  <c r="BD66"/>
  <c r="BD67"/>
  <c r="BD68"/>
  <c r="BD69"/>
  <c r="BD70"/>
  <c r="BD71"/>
  <c r="BD72"/>
  <c r="BD73"/>
  <c r="BD74"/>
  <c r="BD76"/>
  <c r="BD77"/>
  <c r="BD79"/>
  <c r="BD81"/>
  <c r="BD82"/>
  <c r="BD83"/>
  <c r="BD84"/>
  <c r="BD85"/>
  <c r="BD86"/>
  <c r="BD87"/>
  <c r="BD88"/>
  <c r="BD89"/>
  <c r="BD91"/>
  <c r="BD92"/>
  <c r="BD93"/>
  <c r="BD94"/>
  <c r="BD95"/>
  <c r="AG96"/>
  <c r="AH65" i="10"/>
  <c r="AH1"/>
  <c r="AL65"/>
  <c r="AL2"/>
  <c r="A3"/>
  <c r="AB65"/>
  <c r="AB3"/>
  <c r="AD65"/>
  <c r="AD3"/>
  <c r="AF11"/>
  <c r="AF12"/>
  <c r="AF13"/>
  <c r="AF14"/>
  <c r="AF15"/>
  <c r="AF16"/>
  <c r="AF17"/>
  <c r="AF18"/>
  <c r="AF19"/>
  <c r="AF20"/>
  <c r="AF21"/>
  <c r="AF22"/>
  <c r="AF24"/>
  <c r="AF25"/>
  <c r="AF26"/>
  <c r="AF27"/>
  <c r="AF65" s="1"/>
  <c r="AF28"/>
  <c r="AF29"/>
  <c r="AF30"/>
  <c r="AF31"/>
  <c r="AF32"/>
  <c r="AF33"/>
  <c r="AF34"/>
  <c r="AF35"/>
  <c r="AF36"/>
  <c r="AF37"/>
  <c r="AF38"/>
  <c r="AF39"/>
  <c r="AF40"/>
  <c r="AF41"/>
  <c r="AF42"/>
  <c r="AF43"/>
  <c r="AF44"/>
  <c r="AF45"/>
  <c r="AF46"/>
  <c r="AF47"/>
  <c r="AF48"/>
  <c r="AF49"/>
  <c r="AF50"/>
  <c r="AF51"/>
  <c r="AF52"/>
  <c r="AF53"/>
  <c r="AF54"/>
  <c r="AF56"/>
  <c r="AF57"/>
  <c r="AF58"/>
  <c r="AF59"/>
  <c r="AF60"/>
  <c r="AF61"/>
  <c r="AF62"/>
  <c r="AF63"/>
  <c r="AF64"/>
  <c r="AF3"/>
  <c r="AJ11"/>
  <c r="AJ12"/>
  <c r="AJ13"/>
  <c r="AJ14"/>
  <c r="AJ15"/>
  <c r="AJ16"/>
  <c r="AJ17"/>
  <c r="AJ18"/>
  <c r="AJ19"/>
  <c r="AJ20"/>
  <c r="AJ21"/>
  <c r="AJ22"/>
  <c r="AJ24"/>
  <c r="AJ25"/>
  <c r="AJ26"/>
  <c r="AJ27"/>
  <c r="AJ28"/>
  <c r="AJ29"/>
  <c r="AJ30"/>
  <c r="AJ31"/>
  <c r="AJ32"/>
  <c r="AJ33"/>
  <c r="AJ34"/>
  <c r="AJ35"/>
  <c r="AJ36"/>
  <c r="AJ37"/>
  <c r="AJ38"/>
  <c r="AJ39"/>
  <c r="AJ40"/>
  <c r="AJ41"/>
  <c r="AJ65" s="1"/>
  <c r="AJ42"/>
  <c r="AJ43"/>
  <c r="AJ44"/>
  <c r="AJ45"/>
  <c r="AJ46"/>
  <c r="AJ47"/>
  <c r="AJ48"/>
  <c r="AJ49"/>
  <c r="AJ50"/>
  <c r="AJ51"/>
  <c r="AJ52"/>
  <c r="AJ53"/>
  <c r="AJ54"/>
  <c r="AJ56"/>
  <c r="AJ57"/>
  <c r="AJ58"/>
  <c r="AJ59"/>
  <c r="AJ60"/>
  <c r="AJ61"/>
  <c r="AJ62"/>
  <c r="AJ63"/>
  <c r="AJ64"/>
  <c r="AJ3"/>
  <c r="AR65"/>
  <c r="AR3"/>
  <c r="AT65"/>
  <c r="AT3"/>
  <c r="AV11"/>
  <c r="AV12"/>
  <c r="AV13"/>
  <c r="AV14"/>
  <c r="AV15"/>
  <c r="AV16"/>
  <c r="AV17"/>
  <c r="AV18"/>
  <c r="AV19"/>
  <c r="AV20"/>
  <c r="AV21"/>
  <c r="AV22"/>
  <c r="AV24"/>
  <c r="AV25"/>
  <c r="AV26"/>
  <c r="AV27"/>
  <c r="AV28"/>
  <c r="AV29"/>
  <c r="AV30"/>
  <c r="AV31"/>
  <c r="AV32"/>
  <c r="AV33"/>
  <c r="AV34"/>
  <c r="AV35"/>
  <c r="AV36"/>
  <c r="AV37"/>
  <c r="AV38"/>
  <c r="AV39"/>
  <c r="AV40"/>
  <c r="AV41"/>
  <c r="AV42"/>
  <c r="AV43"/>
  <c r="AV44"/>
  <c r="AV45"/>
  <c r="AV46"/>
  <c r="AV47"/>
  <c r="AV48"/>
  <c r="AV49"/>
  <c r="AV50"/>
  <c r="AV51"/>
  <c r="AV52"/>
  <c r="AV53"/>
  <c r="AV54"/>
  <c r="AV56"/>
  <c r="AV57"/>
  <c r="AV58"/>
  <c r="AV59"/>
  <c r="AV60"/>
  <c r="AV61"/>
  <c r="AV62"/>
  <c r="AV63"/>
  <c r="AV64"/>
  <c r="AV65"/>
  <c r="AV3"/>
  <c r="AX65"/>
  <c r="AX3"/>
  <c r="BA65"/>
  <c r="I4"/>
  <c r="J4"/>
  <c r="X24"/>
  <c r="X34"/>
  <c r="X40"/>
  <c r="X51"/>
  <c r="X63"/>
  <c r="X65"/>
  <c r="Z65"/>
  <c r="AN17"/>
  <c r="BD17" s="1"/>
  <c r="AN18"/>
  <c r="AN20"/>
  <c r="BD20" s="1"/>
  <c r="AN33"/>
  <c r="AN48"/>
  <c r="BD48" s="1"/>
  <c r="AN49"/>
  <c r="AN65"/>
  <c r="AO65"/>
  <c r="AP65"/>
  <c r="BD11"/>
  <c r="BD12"/>
  <c r="BD13"/>
  <c r="BD14"/>
  <c r="BD15"/>
  <c r="BD16"/>
  <c r="BD18"/>
  <c r="BD19"/>
  <c r="BD21"/>
  <c r="BD22"/>
  <c r="BD24"/>
  <c r="BD25"/>
  <c r="BD26"/>
  <c r="BD27"/>
  <c r="BD28"/>
  <c r="BD29"/>
  <c r="BD30"/>
  <c r="BD31"/>
  <c r="BD32"/>
  <c r="BD33"/>
  <c r="BD34"/>
  <c r="BD35"/>
  <c r="BD36"/>
  <c r="BD37"/>
  <c r="BD38"/>
  <c r="BD39"/>
  <c r="BD40"/>
  <c r="BD41"/>
  <c r="BD42"/>
  <c r="BD43"/>
  <c r="BD44"/>
  <c r="BD45"/>
  <c r="BD46"/>
  <c r="BD47"/>
  <c r="BD49"/>
  <c r="BD50"/>
  <c r="BD51"/>
  <c r="BD52"/>
  <c r="BD53"/>
  <c r="BD54"/>
  <c r="BD56"/>
  <c r="BD57"/>
  <c r="BD58"/>
  <c r="BD59"/>
  <c r="BD60"/>
  <c r="BD61"/>
  <c r="BD62"/>
  <c r="BD63"/>
  <c r="BD64"/>
  <c r="AG65"/>
  <c r="BD65"/>
  <c r="AH31" i="11"/>
  <c r="AH1"/>
  <c r="AL24"/>
  <c r="AL31"/>
  <c r="AL2"/>
  <c r="A3"/>
  <c r="AB31"/>
  <c r="AB3"/>
  <c r="AD31"/>
  <c r="AD3"/>
  <c r="AF11"/>
  <c r="AF12"/>
  <c r="AF13"/>
  <c r="AF14"/>
  <c r="AJ14" s="1"/>
  <c r="AF15"/>
  <c r="AF16"/>
  <c r="AJ16" s="1"/>
  <c r="AF17"/>
  <c r="AF18"/>
  <c r="AJ18" s="1"/>
  <c r="AN18" s="1"/>
  <c r="BD18" s="1"/>
  <c r="AF19"/>
  <c r="AF20"/>
  <c r="AJ20" s="1"/>
  <c r="AF21"/>
  <c r="AF22"/>
  <c r="AJ22" s="1"/>
  <c r="AF23"/>
  <c r="AF24"/>
  <c r="AJ24" s="1"/>
  <c r="AF25"/>
  <c r="AF27"/>
  <c r="AJ27" s="1"/>
  <c r="AF26"/>
  <c r="AF28"/>
  <c r="AJ28" s="1"/>
  <c r="AF29"/>
  <c r="AF30"/>
  <c r="AJ30" s="1"/>
  <c r="AN30" s="1"/>
  <c r="BD30" s="1"/>
  <c r="AF3"/>
  <c r="AJ11"/>
  <c r="AJ13"/>
  <c r="AJ15"/>
  <c r="AJ17"/>
  <c r="AN17" s="1"/>
  <c r="BD17" s="1"/>
  <c r="AJ19"/>
  <c r="AJ21"/>
  <c r="AJ23"/>
  <c r="AJ25"/>
  <c r="AN25" s="1"/>
  <c r="BD25" s="1"/>
  <c r="AJ26"/>
  <c r="AJ29"/>
  <c r="AJ3"/>
  <c r="AR31"/>
  <c r="AR3"/>
  <c r="AT31"/>
  <c r="AT3"/>
  <c r="AV11"/>
  <c r="AV12"/>
  <c r="AV13"/>
  <c r="AV14"/>
  <c r="AV15"/>
  <c r="AV16"/>
  <c r="AV17"/>
  <c r="AV18"/>
  <c r="AV19"/>
  <c r="AV20"/>
  <c r="AV21"/>
  <c r="AV22"/>
  <c r="AV23"/>
  <c r="AV24"/>
  <c r="AV25"/>
  <c r="AV27"/>
  <c r="AV26"/>
  <c r="AV28"/>
  <c r="AV29"/>
  <c r="AV30"/>
  <c r="AV3"/>
  <c r="AX31"/>
  <c r="AX3"/>
  <c r="BA31"/>
  <c r="X31"/>
  <c r="Z31"/>
  <c r="AN13"/>
  <c r="AN23"/>
  <c r="BD23" s="1"/>
  <c r="AO31"/>
  <c r="AP31"/>
  <c r="BD11"/>
  <c r="BD13"/>
  <c r="BD14"/>
  <c r="BD15"/>
  <c r="BD16"/>
  <c r="BD19"/>
  <c r="BD20"/>
  <c r="BD21"/>
  <c r="BD22"/>
  <c r="BD24"/>
  <c r="BD27"/>
  <c r="BD26"/>
  <c r="BD28"/>
  <c r="BD29"/>
  <c r="AG31"/>
  <c r="AH132" i="12"/>
  <c r="AH1"/>
  <c r="AL33"/>
  <c r="AL39"/>
  <c r="AL40"/>
  <c r="AL42"/>
  <c r="AL52"/>
  <c r="AL56"/>
  <c r="AL99"/>
  <c r="AL105"/>
  <c r="AL110"/>
  <c r="AL2"/>
  <c r="A3"/>
  <c r="AB43"/>
  <c r="AF43" s="1"/>
  <c r="AJ43" s="1"/>
  <c r="AB52"/>
  <c r="AB132"/>
  <c r="AB3"/>
  <c r="AD33"/>
  <c r="AD132" s="1"/>
  <c r="AD3"/>
  <c r="AF11"/>
  <c r="AF12"/>
  <c r="AF13"/>
  <c r="AF14"/>
  <c r="AF15"/>
  <c r="AF16"/>
  <c r="AF17"/>
  <c r="AF18"/>
  <c r="AF19"/>
  <c r="AF20"/>
  <c r="AF21"/>
  <c r="AF22"/>
  <c r="AF23"/>
  <c r="AF24"/>
  <c r="AF25"/>
  <c r="AF26"/>
  <c r="AF27"/>
  <c r="AF28"/>
  <c r="AF29"/>
  <c r="AF30"/>
  <c r="AF31"/>
  <c r="AF32"/>
  <c r="AF34"/>
  <c r="AF35"/>
  <c r="AF36"/>
  <c r="AF37"/>
  <c r="AF38"/>
  <c r="AF39"/>
  <c r="AF40"/>
  <c r="AF41"/>
  <c r="AF42"/>
  <c r="AF44"/>
  <c r="AF45"/>
  <c r="AF46"/>
  <c r="AF49"/>
  <c r="AF51"/>
  <c r="AF47"/>
  <c r="AF48"/>
  <c r="AF50"/>
  <c r="AF52"/>
  <c r="AF53"/>
  <c r="AF54"/>
  <c r="AF55"/>
  <c r="AF56"/>
  <c r="AF57"/>
  <c r="AF58"/>
  <c r="AF59"/>
  <c r="AF60"/>
  <c r="AF61"/>
  <c r="AF62"/>
  <c r="AF63"/>
  <c r="AF64"/>
  <c r="AF65"/>
  <c r="AF66"/>
  <c r="AF67"/>
  <c r="AF68"/>
  <c r="AF69"/>
  <c r="AF71"/>
  <c r="AF70"/>
  <c r="AF72"/>
  <c r="Z74"/>
  <c r="AF74" s="1"/>
  <c r="AJ74" s="1"/>
  <c r="AF76"/>
  <c r="AF77"/>
  <c r="AJ77" s="1"/>
  <c r="AN77" s="1"/>
  <c r="BD77" s="1"/>
  <c r="AF78"/>
  <c r="AF79"/>
  <c r="AJ79" s="1"/>
  <c r="AF80"/>
  <c r="AF81"/>
  <c r="AJ81" s="1"/>
  <c r="AN81" s="1"/>
  <c r="BD81" s="1"/>
  <c r="AF82"/>
  <c r="AF83"/>
  <c r="AJ83" s="1"/>
  <c r="AF84"/>
  <c r="AF85"/>
  <c r="AJ85" s="1"/>
  <c r="AN85" s="1"/>
  <c r="BD85" s="1"/>
  <c r="AF86"/>
  <c r="AF87"/>
  <c r="AJ87" s="1"/>
  <c r="AN87" s="1"/>
  <c r="BD87" s="1"/>
  <c r="AF88"/>
  <c r="AF90"/>
  <c r="AF91"/>
  <c r="AF92"/>
  <c r="AF93"/>
  <c r="AF94"/>
  <c r="AF95"/>
  <c r="AF96"/>
  <c r="AF97"/>
  <c r="AF98"/>
  <c r="AF99"/>
  <c r="AF100"/>
  <c r="AF101"/>
  <c r="AF102"/>
  <c r="AF103"/>
  <c r="AF104"/>
  <c r="AF105"/>
  <c r="AF106"/>
  <c r="AF107"/>
  <c r="AF108"/>
  <c r="AF109"/>
  <c r="AF110"/>
  <c r="AF111"/>
  <c r="AF112"/>
  <c r="AJ112" s="1"/>
  <c r="AF113"/>
  <c r="AF114"/>
  <c r="AJ114" s="1"/>
  <c r="AN114" s="1"/>
  <c r="BD114" s="1"/>
  <c r="AF115"/>
  <c r="AF116"/>
  <c r="AJ116" s="1"/>
  <c r="AN116" s="1"/>
  <c r="BD116" s="1"/>
  <c r="AF117"/>
  <c r="AF118"/>
  <c r="AJ118" s="1"/>
  <c r="AF119"/>
  <c r="AF120"/>
  <c r="AJ120" s="1"/>
  <c r="AN120" s="1"/>
  <c r="BD120" s="1"/>
  <c r="AF121"/>
  <c r="Z122"/>
  <c r="AF122" s="1"/>
  <c r="AJ122" s="1"/>
  <c r="AF123"/>
  <c r="AF124"/>
  <c r="AF125"/>
  <c r="AF126"/>
  <c r="AF127"/>
  <c r="AF128"/>
  <c r="AF129"/>
  <c r="AF130"/>
  <c r="AF131"/>
  <c r="AF3"/>
  <c r="AJ11"/>
  <c r="AJ12"/>
  <c r="AJ13"/>
  <c r="AJ14"/>
  <c r="AJ15"/>
  <c r="AJ16"/>
  <c r="AJ17"/>
  <c r="AJ18"/>
  <c r="AJ19"/>
  <c r="AJ20"/>
  <c r="AJ21"/>
  <c r="AJ22"/>
  <c r="AJ23"/>
  <c r="AJ24"/>
  <c r="AJ25"/>
  <c r="AJ26"/>
  <c r="AJ27"/>
  <c r="AJ28"/>
  <c r="AJ29"/>
  <c r="AJ30"/>
  <c r="AJ31"/>
  <c r="AJ32"/>
  <c r="AJ34"/>
  <c r="AJ35"/>
  <c r="AJ36"/>
  <c r="AJ37"/>
  <c r="AJ38"/>
  <c r="AJ39"/>
  <c r="AJ40"/>
  <c r="AJ41"/>
  <c r="AJ42"/>
  <c r="AJ44"/>
  <c r="AJ45"/>
  <c r="AJ46"/>
  <c r="AJ49"/>
  <c r="AJ51"/>
  <c r="AJ47"/>
  <c r="AJ48"/>
  <c r="AJ50"/>
  <c r="AJ52"/>
  <c r="AN52" s="1"/>
  <c r="BD52" s="1"/>
  <c r="AJ53"/>
  <c r="AJ54"/>
  <c r="AN54" s="1"/>
  <c r="BD54" s="1"/>
  <c r="AJ55"/>
  <c r="AJ56"/>
  <c r="AJ57"/>
  <c r="AJ58"/>
  <c r="AJ59"/>
  <c r="AJ60"/>
  <c r="AJ61"/>
  <c r="AJ62"/>
  <c r="AJ63"/>
  <c r="AJ64"/>
  <c r="AJ65"/>
  <c r="AJ66"/>
  <c r="AJ67"/>
  <c r="AJ68"/>
  <c r="AJ69"/>
  <c r="AJ71"/>
  <c r="AJ70"/>
  <c r="AJ72"/>
  <c r="AJ76"/>
  <c r="AJ78"/>
  <c r="AJ80"/>
  <c r="AJ82"/>
  <c r="AN82" s="1"/>
  <c r="BD82" s="1"/>
  <c r="AJ84"/>
  <c r="AJ86"/>
  <c r="AJ88"/>
  <c r="AJ89"/>
  <c r="AJ90"/>
  <c r="AJ91"/>
  <c r="AJ92"/>
  <c r="AJ93"/>
  <c r="AJ94"/>
  <c r="AJ95"/>
  <c r="AJ96"/>
  <c r="AJ97"/>
  <c r="AJ98"/>
  <c r="AJ99"/>
  <c r="AJ100"/>
  <c r="AJ101"/>
  <c r="AJ102"/>
  <c r="AJ103"/>
  <c r="AJ104"/>
  <c r="AJ105"/>
  <c r="AJ106"/>
  <c r="AJ107"/>
  <c r="AJ108"/>
  <c r="AN108" s="1"/>
  <c r="BD108" s="1"/>
  <c r="AJ109"/>
  <c r="AJ110"/>
  <c r="AJ113"/>
  <c r="AJ115"/>
  <c r="AJ117"/>
  <c r="AJ119"/>
  <c r="AJ121"/>
  <c r="AJ123"/>
  <c r="AJ124"/>
  <c r="AJ125"/>
  <c r="AJ126"/>
  <c r="AJ127"/>
  <c r="AJ128"/>
  <c r="AJ129"/>
  <c r="AJ130"/>
  <c r="AJ131"/>
  <c r="AJ3"/>
  <c r="AR132"/>
  <c r="AR3"/>
  <c r="AT132"/>
  <c r="AT3"/>
  <c r="AV11"/>
  <c r="AV12"/>
  <c r="AV13"/>
  <c r="AV14"/>
  <c r="AV15"/>
  <c r="AV16"/>
  <c r="AV17"/>
  <c r="AV18"/>
  <c r="AV19"/>
  <c r="AV20"/>
  <c r="AV21"/>
  <c r="AV22"/>
  <c r="AV23"/>
  <c r="AV24"/>
  <c r="AV25"/>
  <c r="AV26"/>
  <c r="AV27"/>
  <c r="AV28"/>
  <c r="AV29"/>
  <c r="AV30"/>
  <c r="AV31"/>
  <c r="AV32"/>
  <c r="AV33"/>
  <c r="AV34"/>
  <c r="AV35"/>
  <c r="AV36"/>
  <c r="AV37"/>
  <c r="AV38"/>
  <c r="AV39"/>
  <c r="AV40"/>
  <c r="AV41"/>
  <c r="AV42"/>
  <c r="AV43"/>
  <c r="AV44"/>
  <c r="AV45"/>
  <c r="AV46"/>
  <c r="AV49"/>
  <c r="AV51"/>
  <c r="AV47"/>
  <c r="AV48"/>
  <c r="AV50"/>
  <c r="AV52"/>
  <c r="AV53"/>
  <c r="AV54"/>
  <c r="AV55"/>
  <c r="AV56"/>
  <c r="AV57"/>
  <c r="AV58"/>
  <c r="AV59"/>
  <c r="AV60"/>
  <c r="AV61"/>
  <c r="AV62"/>
  <c r="AV63"/>
  <c r="AV64"/>
  <c r="AV65"/>
  <c r="AV66"/>
  <c r="AV67"/>
  <c r="AV68"/>
  <c r="AV69"/>
  <c r="AV71"/>
  <c r="AV70"/>
  <c r="AV72"/>
  <c r="AV74"/>
  <c r="AV76"/>
  <c r="AV77"/>
  <c r="AV78"/>
  <c r="AV79"/>
  <c r="AV80"/>
  <c r="AV81"/>
  <c r="AV82"/>
  <c r="AV83"/>
  <c r="AV84"/>
  <c r="AV85"/>
  <c r="AV86"/>
  <c r="AV87"/>
  <c r="AV88"/>
  <c r="AV89"/>
  <c r="AV90"/>
  <c r="AV91"/>
  <c r="AV92"/>
  <c r="AV93"/>
  <c r="AV94"/>
  <c r="AV95"/>
  <c r="AV96"/>
  <c r="AV97"/>
  <c r="AV98"/>
  <c r="AV99"/>
  <c r="AV100"/>
  <c r="AV101"/>
  <c r="AV102"/>
  <c r="AV103"/>
  <c r="AV104"/>
  <c r="AV105"/>
  <c r="AV106"/>
  <c r="AV107"/>
  <c r="AV108"/>
  <c r="AV109"/>
  <c r="AV132" s="1"/>
  <c r="AV110"/>
  <c r="AV111"/>
  <c r="AV112"/>
  <c r="AV113"/>
  <c r="AV114"/>
  <c r="AV115"/>
  <c r="AV116"/>
  <c r="AV117"/>
  <c r="AV118"/>
  <c r="AV119"/>
  <c r="AV120"/>
  <c r="AV121"/>
  <c r="AV122"/>
  <c r="AV123"/>
  <c r="AV124"/>
  <c r="AV125"/>
  <c r="AV126"/>
  <c r="AV127"/>
  <c r="AV128"/>
  <c r="AV129"/>
  <c r="AV130"/>
  <c r="AV131"/>
  <c r="AV3"/>
  <c r="AX43"/>
  <c r="AX99"/>
  <c r="AX132" s="1"/>
  <c r="AX105"/>
  <c r="AX106"/>
  <c r="AX3"/>
  <c r="BA132"/>
  <c r="I4"/>
  <c r="J4"/>
  <c r="X132"/>
  <c r="Z132"/>
  <c r="AN19"/>
  <c r="AN26"/>
  <c r="AN27"/>
  <c r="AN36"/>
  <c r="BD36" s="1"/>
  <c r="AN45"/>
  <c r="AN51"/>
  <c r="BD51" s="1"/>
  <c r="AN53"/>
  <c r="AN56"/>
  <c r="BD56" s="1"/>
  <c r="AN57"/>
  <c r="AN58"/>
  <c r="BD58" s="1"/>
  <c r="AN59"/>
  <c r="AN60"/>
  <c r="BD60" s="1"/>
  <c r="AN69"/>
  <c r="AN71"/>
  <c r="BD71" s="1"/>
  <c r="AN84"/>
  <c r="BD84" s="1"/>
  <c r="AN86"/>
  <c r="BD86" s="1"/>
  <c r="AN89"/>
  <c r="AN91"/>
  <c r="AN98"/>
  <c r="BD98" s="1"/>
  <c r="AN110"/>
  <c r="BD110" s="1"/>
  <c r="AN128"/>
  <c r="BD128" s="1"/>
  <c r="AO132"/>
  <c r="AP132"/>
  <c r="BD11"/>
  <c r="BD12"/>
  <c r="BD13"/>
  <c r="BD14"/>
  <c r="BD15"/>
  <c r="BD16"/>
  <c r="BD17"/>
  <c r="BD18"/>
  <c r="BD19"/>
  <c r="BD20"/>
  <c r="BD21"/>
  <c r="BD22"/>
  <c r="BD23"/>
  <c r="BD24"/>
  <c r="BD25"/>
  <c r="BD27"/>
  <c r="BD28"/>
  <c r="BD29"/>
  <c r="BD30"/>
  <c r="BD31"/>
  <c r="BD32"/>
  <c r="BD33"/>
  <c r="BD34"/>
  <c r="BD35"/>
  <c r="BD37"/>
  <c r="BD38"/>
  <c r="BD39"/>
  <c r="BD40"/>
  <c r="BD41"/>
  <c r="BD42"/>
  <c r="BD43"/>
  <c r="BD44"/>
  <c r="BD45"/>
  <c r="BD46"/>
  <c r="BD49"/>
  <c r="BD47"/>
  <c r="BD48"/>
  <c r="BD50"/>
  <c r="BD53"/>
  <c r="BD55"/>
  <c r="BD57"/>
  <c r="BD59"/>
  <c r="BD61"/>
  <c r="BD62"/>
  <c r="BD63"/>
  <c r="BD64"/>
  <c r="BD65"/>
  <c r="BD66"/>
  <c r="BD67"/>
  <c r="BD68"/>
  <c r="BD69"/>
  <c r="BD70"/>
  <c r="BD72"/>
  <c r="BD74"/>
  <c r="BD76"/>
  <c r="BD78"/>
  <c r="BD79"/>
  <c r="BD80"/>
  <c r="BD83"/>
  <c r="BD88"/>
  <c r="BD89"/>
  <c r="BD90"/>
  <c r="BD91"/>
  <c r="BD92"/>
  <c r="BD93"/>
  <c r="BD94"/>
  <c r="BD95"/>
  <c r="BD96"/>
  <c r="BD97"/>
  <c r="BD99"/>
  <c r="BD100"/>
  <c r="BD101"/>
  <c r="BD102"/>
  <c r="BD103"/>
  <c r="BD104"/>
  <c r="BD105"/>
  <c r="BD106"/>
  <c r="BD107"/>
  <c r="BD109"/>
  <c r="BD111"/>
  <c r="BD112"/>
  <c r="BD113"/>
  <c r="BD115"/>
  <c r="BD117"/>
  <c r="BD118"/>
  <c r="BD119"/>
  <c r="BD121"/>
  <c r="BD122"/>
  <c r="BD123"/>
  <c r="BD124"/>
  <c r="BD125"/>
  <c r="BD126"/>
  <c r="BD127"/>
  <c r="BD129"/>
  <c r="BD130"/>
  <c r="BD131"/>
  <c r="AG132"/>
  <c r="AH24" i="13"/>
  <c r="AH1"/>
  <c r="AL24"/>
  <c r="AL2"/>
  <c r="A3"/>
  <c r="AB24"/>
  <c r="AB3"/>
  <c r="AD24"/>
  <c r="AD3"/>
  <c r="AF12"/>
  <c r="AF13"/>
  <c r="AF14"/>
  <c r="AJ14" s="1"/>
  <c r="AF15"/>
  <c r="AF16"/>
  <c r="AJ16" s="1"/>
  <c r="AF17"/>
  <c r="AF18"/>
  <c r="AJ18" s="1"/>
  <c r="AF20"/>
  <c r="AF21"/>
  <c r="AJ21" s="1"/>
  <c r="AF22"/>
  <c r="AF23"/>
  <c r="AJ23" s="1"/>
  <c r="AN23" s="1"/>
  <c r="BD23" s="1"/>
  <c r="AF3"/>
  <c r="AJ13"/>
  <c r="AJ15"/>
  <c r="AJ17"/>
  <c r="AJ20"/>
  <c r="AJ22"/>
  <c r="AN22" s="1"/>
  <c r="BD22" s="1"/>
  <c r="AJ3"/>
  <c r="AR24"/>
  <c r="AR3"/>
  <c r="AT24"/>
  <c r="AT3"/>
  <c r="AV12"/>
  <c r="AV13"/>
  <c r="AV14"/>
  <c r="AV15"/>
  <c r="AV16"/>
  <c r="AV17"/>
  <c r="AV18"/>
  <c r="AV20"/>
  <c r="AV21"/>
  <c r="AV22"/>
  <c r="AV23"/>
  <c r="AV3"/>
  <c r="AX24"/>
  <c r="AX3"/>
  <c r="BA24"/>
  <c r="I4"/>
  <c r="J4"/>
  <c r="X24"/>
  <c r="Z24"/>
  <c r="AN15"/>
  <c r="AO24"/>
  <c r="AP24"/>
  <c r="BD12"/>
  <c r="BD13"/>
  <c r="BD14"/>
  <c r="BD16"/>
  <c r="BD17"/>
  <c r="BD18"/>
  <c r="BD20"/>
  <c r="BD21"/>
  <c r="AG24"/>
  <c r="BD11" i="14"/>
  <c r="BD12"/>
  <c r="BD13"/>
  <c r="BD14"/>
  <c r="BD16"/>
  <c r="BD17"/>
  <c r="BD18"/>
  <c r="BD19"/>
  <c r="AH23" i="15"/>
  <c r="AH1"/>
  <c r="AL21"/>
  <c r="AL23"/>
  <c r="AL2"/>
  <c r="A3"/>
  <c r="AB23"/>
  <c r="AB3"/>
  <c r="AD23"/>
  <c r="AD3"/>
  <c r="AF11"/>
  <c r="AF12"/>
  <c r="AJ12" s="1"/>
  <c r="AF13"/>
  <c r="AF14"/>
  <c r="AJ14" s="1"/>
  <c r="AF15"/>
  <c r="AF16"/>
  <c r="AJ16" s="1"/>
  <c r="AN16" s="1"/>
  <c r="BD16" s="1"/>
  <c r="AF19"/>
  <c r="AF20"/>
  <c r="AJ20" s="1"/>
  <c r="AF21"/>
  <c r="AF22"/>
  <c r="AJ22" s="1"/>
  <c r="AN22" s="1"/>
  <c r="BD22" s="1"/>
  <c r="AF3"/>
  <c r="AJ11"/>
  <c r="AJ13"/>
  <c r="AJ15"/>
  <c r="AN15" s="1"/>
  <c r="AJ19"/>
  <c r="AJ21"/>
  <c r="AJ3"/>
  <c r="AR23"/>
  <c r="AR3"/>
  <c r="AT23"/>
  <c r="AT3"/>
  <c r="AV11"/>
  <c r="AV12"/>
  <c r="AV13"/>
  <c r="AV14"/>
  <c r="AV15"/>
  <c r="AV16"/>
  <c r="AV19"/>
  <c r="AV20"/>
  <c r="AV21"/>
  <c r="AV22"/>
  <c r="AV3"/>
  <c r="AX23"/>
  <c r="AX3"/>
  <c r="I4"/>
  <c r="J4"/>
  <c r="X23"/>
  <c r="Z23"/>
  <c r="AN11"/>
  <c r="BD11" s="1"/>
  <c r="AO23"/>
  <c r="AP23"/>
  <c r="BD12"/>
  <c r="BD13"/>
  <c r="BD14"/>
  <c r="BD19"/>
  <c r="BD20"/>
  <c r="BD21"/>
  <c r="AG23"/>
  <c r="AH43" i="16"/>
  <c r="AH1"/>
  <c r="AL43"/>
  <c r="AL2"/>
  <c r="A3"/>
  <c r="AB43"/>
  <c r="AB3"/>
  <c r="AD43"/>
  <c r="AD3"/>
  <c r="AF11"/>
  <c r="AF12"/>
  <c r="AJ12" s="1"/>
  <c r="AN12" s="1"/>
  <c r="BD12" s="1"/>
  <c r="AF13"/>
  <c r="AF14"/>
  <c r="AJ14" s="1"/>
  <c r="AN14" s="1"/>
  <c r="BD14" s="1"/>
  <c r="AF15"/>
  <c r="AF17"/>
  <c r="AJ17" s="1"/>
  <c r="AF18"/>
  <c r="AF19"/>
  <c r="AJ19" s="1"/>
  <c r="AF20"/>
  <c r="AF21"/>
  <c r="AJ21" s="1"/>
  <c r="AF22"/>
  <c r="AF23"/>
  <c r="AJ23" s="1"/>
  <c r="AF24"/>
  <c r="AF25"/>
  <c r="AJ25" s="1"/>
  <c r="AF26"/>
  <c r="AF27"/>
  <c r="AJ27" s="1"/>
  <c r="AF28"/>
  <c r="AF29"/>
  <c r="AJ29" s="1"/>
  <c r="AF30"/>
  <c r="AF31"/>
  <c r="AJ31" s="1"/>
  <c r="AN31" s="1"/>
  <c r="BD31" s="1"/>
  <c r="AF32"/>
  <c r="AF33"/>
  <c r="AJ33" s="1"/>
  <c r="AN33" s="1"/>
  <c r="BD33" s="1"/>
  <c r="AF34"/>
  <c r="AF35"/>
  <c r="AJ35" s="1"/>
  <c r="AF36"/>
  <c r="AF37"/>
  <c r="AJ37" s="1"/>
  <c r="AN37" s="1"/>
  <c r="BD37" s="1"/>
  <c r="AF38"/>
  <c r="AF39"/>
  <c r="AJ39" s="1"/>
  <c r="AN39" s="1"/>
  <c r="BD39" s="1"/>
  <c r="AF40"/>
  <c r="AF41"/>
  <c r="AJ41" s="1"/>
  <c r="AN41" s="1"/>
  <c r="BD41" s="1"/>
  <c r="AF42"/>
  <c r="AF43"/>
  <c r="AF3"/>
  <c r="AJ11"/>
  <c r="AJ13"/>
  <c r="AN13" s="1"/>
  <c r="BD13" s="1"/>
  <c r="AJ15"/>
  <c r="AJ18"/>
  <c r="AJ20"/>
  <c r="AJ22"/>
  <c r="AJ24"/>
  <c r="AJ26"/>
  <c r="AJ28"/>
  <c r="AJ30"/>
  <c r="AJ32"/>
  <c r="AJ34"/>
  <c r="AJ36"/>
  <c r="AJ38"/>
  <c r="AJ40"/>
  <c r="AJ42"/>
  <c r="AJ3"/>
  <c r="AR43"/>
  <c r="AR3"/>
  <c r="AT43"/>
  <c r="AT3"/>
  <c r="AV11"/>
  <c r="AV12"/>
  <c r="AV13"/>
  <c r="AV14"/>
  <c r="AV15"/>
  <c r="AV17"/>
  <c r="AV18"/>
  <c r="AV19"/>
  <c r="AV20"/>
  <c r="AV21"/>
  <c r="AV22"/>
  <c r="AV23"/>
  <c r="AV24"/>
  <c r="AV25"/>
  <c r="AV26"/>
  <c r="AV27"/>
  <c r="AV28"/>
  <c r="AV29"/>
  <c r="AV30"/>
  <c r="AV31"/>
  <c r="AV32"/>
  <c r="AV33"/>
  <c r="AV34"/>
  <c r="AV35"/>
  <c r="AV36"/>
  <c r="AV37"/>
  <c r="AV38"/>
  <c r="AV39"/>
  <c r="AV40"/>
  <c r="AV41"/>
  <c r="AV42"/>
  <c r="AV43"/>
  <c r="AV3"/>
  <c r="AX25"/>
  <c r="AX43" s="1"/>
  <c r="AX3"/>
  <c r="BA43"/>
  <c r="I4"/>
  <c r="J4"/>
  <c r="X14"/>
  <c r="X43" s="1"/>
  <c r="Z43"/>
  <c r="AN34"/>
  <c r="AN36"/>
  <c r="AN38"/>
  <c r="AN40"/>
  <c r="AN42"/>
  <c r="AO43"/>
  <c r="AP43"/>
  <c r="BD15"/>
  <c r="BD17"/>
  <c r="BD18"/>
  <c r="BD19"/>
  <c r="BD20"/>
  <c r="BD21"/>
  <c r="BD22"/>
  <c r="BD23"/>
  <c r="BD24"/>
  <c r="BD25"/>
  <c r="BD26"/>
  <c r="BD27"/>
  <c r="BD28"/>
  <c r="BD29"/>
  <c r="BD30"/>
  <c r="BD32"/>
  <c r="BD34"/>
  <c r="BD35"/>
  <c r="BD36"/>
  <c r="BD38"/>
  <c r="BD40"/>
  <c r="BD42"/>
  <c r="AG43"/>
  <c r="AH37" i="5"/>
  <c r="AH1"/>
  <c r="AL35"/>
  <c r="AL37"/>
  <c r="AL2"/>
  <c r="A3"/>
  <c r="AB37"/>
  <c r="AB3"/>
  <c r="AD37"/>
  <c r="AD3"/>
  <c r="AF11"/>
  <c r="AF12"/>
  <c r="AJ12" s="1"/>
  <c r="AF13"/>
  <c r="AF14"/>
  <c r="AJ14" s="1"/>
  <c r="AF16"/>
  <c r="AF17"/>
  <c r="AJ17" s="1"/>
  <c r="AF19"/>
  <c r="AF21"/>
  <c r="AJ21" s="1"/>
  <c r="AF23"/>
  <c r="AF22"/>
  <c r="AJ22" s="1"/>
  <c r="AF24"/>
  <c r="AF25"/>
  <c r="AJ25" s="1"/>
  <c r="AF26"/>
  <c r="AF27"/>
  <c r="AJ27" s="1"/>
  <c r="AN27" s="1"/>
  <c r="BD27" s="1"/>
  <c r="AF35"/>
  <c r="AF34"/>
  <c r="AJ34" s="1"/>
  <c r="AN34" s="1"/>
  <c r="BD34" s="1"/>
  <c r="AF28"/>
  <c r="AF30"/>
  <c r="AJ30" s="1"/>
  <c r="AF31"/>
  <c r="AF32"/>
  <c r="AJ32" s="1"/>
  <c r="AF29"/>
  <c r="AF33"/>
  <c r="AJ33" s="1"/>
  <c r="AF3"/>
  <c r="AJ11"/>
  <c r="AJ13"/>
  <c r="AJ16"/>
  <c r="AJ19"/>
  <c r="AJ23"/>
  <c r="AJ24"/>
  <c r="AN24" s="1"/>
  <c r="BD24" s="1"/>
  <c r="AJ26"/>
  <c r="AJ35"/>
  <c r="AJ28"/>
  <c r="AN28" s="1"/>
  <c r="BD28" s="1"/>
  <c r="AJ31"/>
  <c r="AJ29"/>
  <c r="AN29" s="1"/>
  <c r="BD29" s="1"/>
  <c r="AJ3"/>
  <c r="AR37"/>
  <c r="AR3"/>
  <c r="AT37"/>
  <c r="AT3"/>
  <c r="AV11"/>
  <c r="AV12"/>
  <c r="AV13"/>
  <c r="AV14"/>
  <c r="AV16"/>
  <c r="AV17"/>
  <c r="AV19"/>
  <c r="AV21"/>
  <c r="AV23"/>
  <c r="AV22"/>
  <c r="AV24"/>
  <c r="AV25"/>
  <c r="AV26"/>
  <c r="AV27"/>
  <c r="AV35"/>
  <c r="AV36"/>
  <c r="AV34"/>
  <c r="AV28"/>
  <c r="AV30"/>
  <c r="AV31"/>
  <c r="AV32"/>
  <c r="AV29"/>
  <c r="AV33"/>
  <c r="AV37"/>
  <c r="AV3"/>
  <c r="AX37"/>
  <c r="AX3"/>
  <c r="AZ37"/>
  <c r="I4"/>
  <c r="J4"/>
  <c r="X11"/>
  <c r="X27"/>
  <c r="X37" s="1"/>
  <c r="Z37"/>
  <c r="AN19"/>
  <c r="BD19" s="1"/>
  <c r="AN31"/>
  <c r="BD31" s="1"/>
  <c r="AO37"/>
  <c r="AP37"/>
  <c r="BD11"/>
  <c r="BD13"/>
  <c r="BD14"/>
  <c r="BD16"/>
  <c r="BD17"/>
  <c r="BD21"/>
  <c r="BD23"/>
  <c r="BD22"/>
  <c r="BD25"/>
  <c r="BD26"/>
  <c r="BD35"/>
  <c r="BD30"/>
  <c r="BD32"/>
  <c r="BD33"/>
  <c r="AG37"/>
  <c r="AH60" i="6"/>
  <c r="AH1"/>
  <c r="AL60"/>
  <c r="AL2"/>
  <c r="A3"/>
  <c r="AB60"/>
  <c r="AB3"/>
  <c r="AD60"/>
  <c r="AD3"/>
  <c r="AF11"/>
  <c r="AF12"/>
  <c r="AJ12" s="1"/>
  <c r="AF13"/>
  <c r="AF14"/>
  <c r="AJ14" s="1"/>
  <c r="AF15"/>
  <c r="AF16"/>
  <c r="AJ16" s="1"/>
  <c r="AF17"/>
  <c r="AF18"/>
  <c r="AF19"/>
  <c r="AF20"/>
  <c r="AF21"/>
  <c r="AF22"/>
  <c r="AF23"/>
  <c r="AF24"/>
  <c r="AF25"/>
  <c r="AF27"/>
  <c r="AJ27" s="1"/>
  <c r="AF28"/>
  <c r="AF30"/>
  <c r="AJ30" s="1"/>
  <c r="AF31"/>
  <c r="AF32"/>
  <c r="AJ32" s="1"/>
  <c r="AF33"/>
  <c r="AF34"/>
  <c r="AJ34" s="1"/>
  <c r="AF35"/>
  <c r="AF36"/>
  <c r="AJ36" s="1"/>
  <c r="AN36" s="1"/>
  <c r="BD36" s="1"/>
  <c r="AF37"/>
  <c r="AF38"/>
  <c r="AJ38" s="1"/>
  <c r="AF39"/>
  <c r="AF40"/>
  <c r="AJ40" s="1"/>
  <c r="AF41"/>
  <c r="AF42"/>
  <c r="AJ42" s="1"/>
  <c r="AF43"/>
  <c r="AF44"/>
  <c r="AJ44" s="1"/>
  <c r="AF45"/>
  <c r="AF47"/>
  <c r="AJ47" s="1"/>
  <c r="AF48"/>
  <c r="AF49"/>
  <c r="AJ49" s="1"/>
  <c r="AF50"/>
  <c r="AF52"/>
  <c r="AJ52" s="1"/>
  <c r="AF53"/>
  <c r="AF54"/>
  <c r="AJ54" s="1"/>
  <c r="AN54" s="1"/>
  <c r="BD54" s="1"/>
  <c r="AF55"/>
  <c r="AF56"/>
  <c r="AJ56" s="1"/>
  <c r="AF57"/>
  <c r="AF58"/>
  <c r="AJ58" s="1"/>
  <c r="AN58" s="1"/>
  <c r="BD58" s="1"/>
  <c r="AF59"/>
  <c r="AF60"/>
  <c r="AF3"/>
  <c r="AJ11"/>
  <c r="AJ13"/>
  <c r="AJ15"/>
  <c r="AG17"/>
  <c r="AJ17" s="1"/>
  <c r="AJ18"/>
  <c r="AJ19"/>
  <c r="AJ20"/>
  <c r="AJ21"/>
  <c r="AJ22"/>
  <c r="AJ23"/>
  <c r="AJ24"/>
  <c r="AJ25"/>
  <c r="AJ26"/>
  <c r="AJ28"/>
  <c r="AJ29"/>
  <c r="AJ31"/>
  <c r="AJ33"/>
  <c r="AJ35"/>
  <c r="AJ37"/>
  <c r="AN37" s="1"/>
  <c r="BD37" s="1"/>
  <c r="AJ39"/>
  <c r="AJ41"/>
  <c r="AJ43"/>
  <c r="AJ45"/>
  <c r="AJ48"/>
  <c r="AJ50"/>
  <c r="AJ53"/>
  <c r="AJ55"/>
  <c r="AJ57"/>
  <c r="AJ59"/>
  <c r="AN59" s="1"/>
  <c r="BD59" s="1"/>
  <c r="AJ3"/>
  <c r="AR60"/>
  <c r="AR3"/>
  <c r="AT57"/>
  <c r="AT60" s="1"/>
  <c r="AT3"/>
  <c r="AV11"/>
  <c r="AV12"/>
  <c r="AV13"/>
  <c r="AV14"/>
  <c r="AV15"/>
  <c r="AV16"/>
  <c r="AV17"/>
  <c r="AV18"/>
  <c r="AV19"/>
  <c r="AV20"/>
  <c r="AV21"/>
  <c r="AV22"/>
  <c r="AV23"/>
  <c r="AV24"/>
  <c r="AV25"/>
  <c r="AV27"/>
  <c r="AV28"/>
  <c r="AV30"/>
  <c r="AV31"/>
  <c r="AV32"/>
  <c r="AV33"/>
  <c r="AV34"/>
  <c r="AV35"/>
  <c r="AV36"/>
  <c r="AV37"/>
  <c r="AV38"/>
  <c r="AV39"/>
  <c r="AV40"/>
  <c r="AV41"/>
  <c r="AV42"/>
  <c r="AV43"/>
  <c r="AV44"/>
  <c r="AV45"/>
  <c r="AV47"/>
  <c r="AV48"/>
  <c r="AV49"/>
  <c r="AV50"/>
  <c r="AV51"/>
  <c r="AV52"/>
  <c r="AV53"/>
  <c r="AV54"/>
  <c r="AV55"/>
  <c r="AV56"/>
  <c r="AV58"/>
  <c r="AV59"/>
  <c r="AV3"/>
  <c r="AX60"/>
  <c r="AX3"/>
  <c r="AZ60"/>
  <c r="I4"/>
  <c r="J4"/>
  <c r="X11"/>
  <c r="X52"/>
  <c r="X60"/>
  <c r="Z60"/>
  <c r="AN29"/>
  <c r="AN45"/>
  <c r="BD45" s="1"/>
  <c r="AN53"/>
  <c r="AN55"/>
  <c r="AO60"/>
  <c r="AP60"/>
  <c r="BD11"/>
  <c r="BD12"/>
  <c r="BD13"/>
  <c r="BD14"/>
  <c r="BD15"/>
  <c r="BD16"/>
  <c r="BD17"/>
  <c r="BD18"/>
  <c r="BD19"/>
  <c r="BD20"/>
  <c r="BD21"/>
  <c r="BD22"/>
  <c r="BD23"/>
  <c r="BD24"/>
  <c r="BD25"/>
  <c r="BD26"/>
  <c r="BD27"/>
  <c r="BD28"/>
  <c r="BD29"/>
  <c r="BD30"/>
  <c r="BD31"/>
  <c r="BD32"/>
  <c r="BD33"/>
  <c r="BD34"/>
  <c r="BD35"/>
  <c r="BD38"/>
  <c r="BD39"/>
  <c r="BD40"/>
  <c r="BD41"/>
  <c r="BD42"/>
  <c r="BD43"/>
  <c r="BD44"/>
  <c r="BD47"/>
  <c r="BD48"/>
  <c r="BD49"/>
  <c r="BD50"/>
  <c r="BD52"/>
  <c r="BD53"/>
  <c r="BD55"/>
  <c r="BD56"/>
  <c r="BD57"/>
  <c r="AH58" i="7"/>
  <c r="AH61" s="1"/>
  <c r="AH59"/>
  <c r="AH60"/>
  <c r="AH1"/>
  <c r="AL61"/>
  <c r="AL2"/>
  <c r="A3"/>
  <c r="AB61"/>
  <c r="AB3"/>
  <c r="AD61"/>
  <c r="AD3"/>
  <c r="AF11"/>
  <c r="AF12"/>
  <c r="AJ12" s="1"/>
  <c r="AF13"/>
  <c r="AF14"/>
  <c r="AJ14" s="1"/>
  <c r="AN14" s="1"/>
  <c r="AF15"/>
  <c r="AF16"/>
  <c r="AJ16" s="1"/>
  <c r="AF17"/>
  <c r="AF18"/>
  <c r="AJ18" s="1"/>
  <c r="AN18" s="1"/>
  <c r="BD18" s="1"/>
  <c r="AF19"/>
  <c r="AF20"/>
  <c r="AJ20" s="1"/>
  <c r="AF21"/>
  <c r="AF22"/>
  <c r="AJ22" s="1"/>
  <c r="AF23"/>
  <c r="AF24"/>
  <c r="AJ24" s="1"/>
  <c r="AF25"/>
  <c r="AF26"/>
  <c r="AJ26" s="1"/>
  <c r="AF27"/>
  <c r="AF28"/>
  <c r="AJ28" s="1"/>
  <c r="AN28" s="1"/>
  <c r="BD28" s="1"/>
  <c r="AF29"/>
  <c r="AF30"/>
  <c r="AJ30" s="1"/>
  <c r="AF31"/>
  <c r="AF32"/>
  <c r="AJ32" s="1"/>
  <c r="AN32" s="1"/>
  <c r="BD32" s="1"/>
  <c r="AF33"/>
  <c r="AF34"/>
  <c r="AJ34" s="1"/>
  <c r="AF35"/>
  <c r="AF36"/>
  <c r="AJ36" s="1"/>
  <c r="AF37"/>
  <c r="AF38"/>
  <c r="AJ38" s="1"/>
  <c r="AF39"/>
  <c r="AJ39" s="1"/>
  <c r="AF40"/>
  <c r="AJ40" s="1"/>
  <c r="AF41"/>
  <c r="AF42"/>
  <c r="AJ42" s="1"/>
  <c r="AF43"/>
  <c r="AJ43" s="1"/>
  <c r="AF44"/>
  <c r="AJ44" s="1"/>
  <c r="AF45"/>
  <c r="AF46"/>
  <c r="AJ46" s="1"/>
  <c r="AF47"/>
  <c r="AJ47" s="1"/>
  <c r="AF48"/>
  <c r="AJ48" s="1"/>
  <c r="AF49"/>
  <c r="AF50"/>
  <c r="AJ50" s="1"/>
  <c r="AF51"/>
  <c r="AJ51" s="1"/>
  <c r="AF52"/>
  <c r="AJ52" s="1"/>
  <c r="AN52" s="1"/>
  <c r="BD52" s="1"/>
  <c r="AF53"/>
  <c r="AF54"/>
  <c r="AJ54" s="1"/>
  <c r="AF55"/>
  <c r="AJ55" s="1"/>
  <c r="AN55" s="1"/>
  <c r="BD55" s="1"/>
  <c r="AF56"/>
  <c r="AJ56" s="1"/>
  <c r="AF57"/>
  <c r="AF58"/>
  <c r="AJ58" s="1"/>
  <c r="Z59"/>
  <c r="AF59" s="1"/>
  <c r="AJ59" s="1"/>
  <c r="AF60"/>
  <c r="AF3"/>
  <c r="AJ11"/>
  <c r="AJ13"/>
  <c r="AJ15"/>
  <c r="AN15" s="1"/>
  <c r="BD15" s="1"/>
  <c r="AJ17"/>
  <c r="AJ19"/>
  <c r="AJ21"/>
  <c r="AJ23"/>
  <c r="AJ25"/>
  <c r="AN25" s="1"/>
  <c r="BD25" s="1"/>
  <c r="AJ27"/>
  <c r="AJ29"/>
  <c r="AN29" s="1"/>
  <c r="BD29" s="1"/>
  <c r="AJ31"/>
  <c r="AJ33"/>
  <c r="AJ35"/>
  <c r="AJ37"/>
  <c r="AJ41"/>
  <c r="AJ45"/>
  <c r="AJ49"/>
  <c r="AJ53"/>
  <c r="AJ57"/>
  <c r="AJ60"/>
  <c r="AJ3"/>
  <c r="AR61"/>
  <c r="AR3"/>
  <c r="AT61"/>
  <c r="AT3"/>
  <c r="AV11"/>
  <c r="AV12"/>
  <c r="AV13"/>
  <c r="AV14"/>
  <c r="AV15"/>
  <c r="BA15" s="1"/>
  <c r="AV16"/>
  <c r="AV17"/>
  <c r="AV18"/>
  <c r="AV19"/>
  <c r="AV20"/>
  <c r="AV21"/>
  <c r="AV22"/>
  <c r="AV23"/>
  <c r="AV24"/>
  <c r="AV25"/>
  <c r="AV26"/>
  <c r="AV27"/>
  <c r="AV28"/>
  <c r="AV29"/>
  <c r="AV30"/>
  <c r="AV31"/>
  <c r="AV32"/>
  <c r="AV33"/>
  <c r="AV34"/>
  <c r="AV35"/>
  <c r="AV36"/>
  <c r="AV37"/>
  <c r="AV38"/>
  <c r="AV39"/>
  <c r="AV40"/>
  <c r="AV41"/>
  <c r="AV42"/>
  <c r="AV43"/>
  <c r="AV44"/>
  <c r="AV45"/>
  <c r="AV46"/>
  <c r="AV47"/>
  <c r="AV48"/>
  <c r="AV49"/>
  <c r="AV50"/>
  <c r="AV51"/>
  <c r="AV52"/>
  <c r="AV53"/>
  <c r="AV54"/>
  <c r="AV55"/>
  <c r="AV56"/>
  <c r="AV57"/>
  <c r="AV58"/>
  <c r="AV59"/>
  <c r="AV60"/>
  <c r="AV61"/>
  <c r="AV3"/>
  <c r="AX26"/>
  <c r="AX61" s="1"/>
  <c r="AX3"/>
  <c r="BA14"/>
  <c r="BA61" s="1"/>
  <c r="BA18"/>
  <c r="I4"/>
  <c r="J4"/>
  <c r="X19"/>
  <c r="X61" s="1"/>
  <c r="Z61"/>
  <c r="AN17"/>
  <c r="BD17" s="1"/>
  <c r="AN19"/>
  <c r="AO61"/>
  <c r="AP61"/>
  <c r="BD11"/>
  <c r="BD12"/>
  <c r="BD13"/>
  <c r="BD16"/>
  <c r="BD19"/>
  <c r="BD20"/>
  <c r="BD21"/>
  <c r="BD22"/>
  <c r="BD23"/>
  <c r="BD24"/>
  <c r="BD26"/>
  <c r="BD27"/>
  <c r="BD30"/>
  <c r="BD31"/>
  <c r="BD33"/>
  <c r="BD34"/>
  <c r="BD35"/>
  <c r="BD36"/>
  <c r="BD37"/>
  <c r="BD38"/>
  <c r="BD39"/>
  <c r="BD40"/>
  <c r="BD41"/>
  <c r="BD42"/>
  <c r="BD43"/>
  <c r="BD44"/>
  <c r="BD45"/>
  <c r="BD46"/>
  <c r="BD47"/>
  <c r="BD48"/>
  <c r="BD49"/>
  <c r="BD50"/>
  <c r="BD51"/>
  <c r="BD53"/>
  <c r="BD54"/>
  <c r="BD56"/>
  <c r="BD57"/>
  <c r="BD58"/>
  <c r="BD59"/>
  <c r="BD60"/>
  <c r="AG61"/>
  <c r="AH26" i="8"/>
  <c r="AH1"/>
  <c r="AL26"/>
  <c r="AL2"/>
  <c r="A3"/>
  <c r="AB3"/>
  <c r="AD3"/>
  <c r="AF26"/>
  <c r="AF3"/>
  <c r="AJ26"/>
  <c r="AJ3"/>
  <c r="AR26"/>
  <c r="AR3"/>
  <c r="AT26"/>
  <c r="AT3"/>
  <c r="AV12"/>
  <c r="AV13"/>
  <c r="AV14"/>
  <c r="AV15"/>
  <c r="AV16"/>
  <c r="AV17"/>
  <c r="AV18"/>
  <c r="AV19"/>
  <c r="AV20"/>
  <c r="AV21"/>
  <c r="AV22"/>
  <c r="AV23"/>
  <c r="AV24"/>
  <c r="AV25"/>
  <c r="AV3"/>
  <c r="AX13"/>
  <c r="AX21"/>
  <c r="AX3"/>
  <c r="BA26"/>
  <c r="I4"/>
  <c r="J4"/>
  <c r="X26"/>
  <c r="Z26"/>
  <c r="AN26"/>
  <c r="AO26"/>
  <c r="AP26"/>
  <c r="BD12"/>
  <c r="BD13"/>
  <c r="BD14"/>
  <c r="BD15"/>
  <c r="BD16"/>
  <c r="BD17"/>
  <c r="BD18"/>
  <c r="BD19"/>
  <c r="BD20"/>
  <c r="BD21"/>
  <c r="BD22"/>
  <c r="BD23"/>
  <c r="BD24"/>
  <c r="BD25"/>
  <c r="I26"/>
  <c r="J26"/>
  <c r="K26"/>
  <c r="L26"/>
  <c r="M26"/>
  <c r="N26"/>
  <c r="O26"/>
  <c r="P26"/>
  <c r="Q26"/>
  <c r="R26"/>
  <c r="S26"/>
  <c r="T26"/>
  <c r="U26"/>
  <c r="V26"/>
  <c r="W26"/>
  <c r="Y26"/>
  <c r="AA26"/>
  <c r="AB26"/>
  <c r="AC26"/>
  <c r="AD26"/>
  <c r="AE26"/>
  <c r="AG26"/>
  <c r="AI26"/>
  <c r="AK26"/>
  <c r="AM26"/>
  <c r="AS26"/>
  <c r="AU26"/>
  <c r="BD26"/>
  <c r="AH20" i="3"/>
  <c r="AH1"/>
  <c r="AL20"/>
  <c r="AL2"/>
  <c r="A3"/>
  <c r="AB20"/>
  <c r="AB3"/>
  <c r="AD20"/>
  <c r="AD3"/>
  <c r="AF11"/>
  <c r="AF12"/>
  <c r="Z13"/>
  <c r="AF13" s="1"/>
  <c r="AJ13" s="1"/>
  <c r="AF14"/>
  <c r="AF15"/>
  <c r="AJ15" s="1"/>
  <c r="AF16"/>
  <c r="AF17"/>
  <c r="AJ17" s="1"/>
  <c r="AF19"/>
  <c r="AJ19" s="1"/>
  <c r="AN19" s="1"/>
  <c r="AF3"/>
  <c r="AJ12"/>
  <c r="AJ14"/>
  <c r="AJ16"/>
  <c r="AJ18"/>
  <c r="AJ3"/>
  <c r="AR20"/>
  <c r="AR3"/>
  <c r="AT20"/>
  <c r="AT3"/>
  <c r="AV11"/>
  <c r="AV12"/>
  <c r="AV13"/>
  <c r="AV14"/>
  <c r="AV15"/>
  <c r="AV16"/>
  <c r="AV17"/>
  <c r="AV18"/>
  <c r="AV19"/>
  <c r="AV3"/>
  <c r="AX20"/>
  <c r="AX3"/>
  <c r="AZ20"/>
  <c r="I4"/>
  <c r="J4"/>
  <c r="X20"/>
  <c r="AO20"/>
  <c r="AP20"/>
  <c r="BD11"/>
  <c r="BD12"/>
  <c r="BD13"/>
  <c r="BD14"/>
  <c r="BD15"/>
  <c r="BD16"/>
  <c r="V17"/>
  <c r="BD17"/>
  <c r="BD18"/>
  <c r="AG20"/>
  <c r="AH67" i="4"/>
  <c r="AH101" s="1"/>
  <c r="AH1"/>
  <c r="AL101"/>
  <c r="AL2"/>
  <c r="A3"/>
  <c r="AB101"/>
  <c r="AB3"/>
  <c r="AD101"/>
  <c r="AD3"/>
  <c r="AF11"/>
  <c r="AF12"/>
  <c r="AF13"/>
  <c r="AJ13" s="1"/>
  <c r="AF14"/>
  <c r="AF15"/>
  <c r="AJ15" s="1"/>
  <c r="AN15" s="1"/>
  <c r="BD15" s="1"/>
  <c r="AF16"/>
  <c r="AF17"/>
  <c r="AJ17" s="1"/>
  <c r="AF18"/>
  <c r="AF19"/>
  <c r="AJ19" s="1"/>
  <c r="AF20"/>
  <c r="AF21"/>
  <c r="AJ21" s="1"/>
  <c r="AF22"/>
  <c r="AF23"/>
  <c r="AJ23" s="1"/>
  <c r="AF24"/>
  <c r="AF25"/>
  <c r="AJ25" s="1"/>
  <c r="AF26"/>
  <c r="AF27"/>
  <c r="AJ27" s="1"/>
  <c r="AF28"/>
  <c r="AF29"/>
  <c r="AJ29" s="1"/>
  <c r="AF30"/>
  <c r="AF31"/>
  <c r="AJ31" s="1"/>
  <c r="AF32"/>
  <c r="AF33"/>
  <c r="AJ33" s="1"/>
  <c r="AF34"/>
  <c r="AF35"/>
  <c r="AJ35" s="1"/>
  <c r="AF36"/>
  <c r="AF37"/>
  <c r="AJ37" s="1"/>
  <c r="AF39"/>
  <c r="AF40"/>
  <c r="AF41"/>
  <c r="AF42"/>
  <c r="AF43"/>
  <c r="AF44"/>
  <c r="AF45"/>
  <c r="AF46"/>
  <c r="AF47"/>
  <c r="AF48"/>
  <c r="AF50"/>
  <c r="AF51"/>
  <c r="AJ51" s="1"/>
  <c r="AF52"/>
  <c r="AF53"/>
  <c r="AJ53" s="1"/>
  <c r="AF54"/>
  <c r="AF55"/>
  <c r="AJ55" s="1"/>
  <c r="AF56"/>
  <c r="AF57"/>
  <c r="AJ57" s="1"/>
  <c r="AN57" s="1"/>
  <c r="BD57" s="1"/>
  <c r="AF58"/>
  <c r="AF59"/>
  <c r="AJ59" s="1"/>
  <c r="AF60"/>
  <c r="AF61"/>
  <c r="AJ61" s="1"/>
  <c r="AN61" s="1"/>
  <c r="BD61" s="1"/>
  <c r="AF62"/>
  <c r="AF63"/>
  <c r="AJ63" s="1"/>
  <c r="AF64"/>
  <c r="AF65"/>
  <c r="AJ65" s="1"/>
  <c r="AF66"/>
  <c r="AF67"/>
  <c r="AJ67" s="1"/>
  <c r="AF68"/>
  <c r="AF69"/>
  <c r="AJ69" s="1"/>
  <c r="AF70"/>
  <c r="AF71"/>
  <c r="AJ71" s="1"/>
  <c r="AF72"/>
  <c r="AF73"/>
  <c r="AJ73" s="1"/>
  <c r="AF74"/>
  <c r="AF75"/>
  <c r="AJ75" s="1"/>
  <c r="AN75" s="1"/>
  <c r="BD75" s="1"/>
  <c r="AF76"/>
  <c r="AF77"/>
  <c r="AJ77" s="1"/>
  <c r="AF78"/>
  <c r="AF79"/>
  <c r="AJ79" s="1"/>
  <c r="AF80"/>
  <c r="AF81"/>
  <c r="AJ81" s="1"/>
  <c r="AF82"/>
  <c r="AF83"/>
  <c r="AJ83" s="1"/>
  <c r="AF84"/>
  <c r="AF85"/>
  <c r="AJ85" s="1"/>
  <c r="AN85" s="1"/>
  <c r="BD85" s="1"/>
  <c r="AF86"/>
  <c r="AF87"/>
  <c r="AJ87" s="1"/>
  <c r="AF88"/>
  <c r="AF89"/>
  <c r="AJ89" s="1"/>
  <c r="AF90"/>
  <c r="AF91"/>
  <c r="AJ91" s="1"/>
  <c r="AF92"/>
  <c r="AF93"/>
  <c r="AJ93" s="1"/>
  <c r="AF94"/>
  <c r="AF95"/>
  <c r="AJ95" s="1"/>
  <c r="AF96"/>
  <c r="AF97"/>
  <c r="AJ97" s="1"/>
  <c r="AN97" s="1"/>
  <c r="BD97" s="1"/>
  <c r="AF98"/>
  <c r="Z99"/>
  <c r="AF99" s="1"/>
  <c r="AJ99" s="1"/>
  <c r="AF100"/>
  <c r="AF3"/>
  <c r="AJ12"/>
  <c r="AJ14"/>
  <c r="AN14" s="1"/>
  <c r="BD14" s="1"/>
  <c r="AJ16"/>
  <c r="AJ18"/>
  <c r="AJ20"/>
  <c r="AJ22"/>
  <c r="AJ24"/>
  <c r="AJ26"/>
  <c r="AJ28"/>
  <c r="AJ30"/>
  <c r="AJ32"/>
  <c r="AJ34"/>
  <c r="AJ36"/>
  <c r="AJ38"/>
  <c r="AN38" s="1"/>
  <c r="BD38" s="1"/>
  <c r="AJ39"/>
  <c r="AJ40"/>
  <c r="AJ41"/>
  <c r="AJ42"/>
  <c r="AJ43"/>
  <c r="AJ44"/>
  <c r="AJ45"/>
  <c r="AJ46"/>
  <c r="AJ47"/>
  <c r="AJ48"/>
  <c r="AJ49"/>
  <c r="AJ50"/>
  <c r="AJ52"/>
  <c r="AJ54"/>
  <c r="AJ56"/>
  <c r="AJ58"/>
  <c r="AN58" s="1"/>
  <c r="BD58" s="1"/>
  <c r="AJ60"/>
  <c r="AJ62"/>
  <c r="AJ64"/>
  <c r="AJ66"/>
  <c r="AN66" s="1"/>
  <c r="BD66" s="1"/>
  <c r="AJ68"/>
  <c r="AJ70"/>
  <c r="AJ72"/>
  <c r="AJ74"/>
  <c r="AJ76"/>
  <c r="AJ78"/>
  <c r="AJ80"/>
  <c r="AJ82"/>
  <c r="AN82" s="1"/>
  <c r="BD82" s="1"/>
  <c r="AJ84"/>
  <c r="AJ86"/>
  <c r="AJ88"/>
  <c r="AJ90"/>
  <c r="AJ92"/>
  <c r="AN92" s="1"/>
  <c r="BD92" s="1"/>
  <c r="AJ94"/>
  <c r="AJ96"/>
  <c r="AJ98"/>
  <c r="AJ100"/>
  <c r="AN100" s="1"/>
  <c r="BD100" s="1"/>
  <c r="AJ3"/>
  <c r="AR101"/>
  <c r="AR3"/>
  <c r="AT101"/>
  <c r="AT3"/>
  <c r="AV11"/>
  <c r="AV12"/>
  <c r="AV13"/>
  <c r="AV14"/>
  <c r="AV15"/>
  <c r="AV16"/>
  <c r="AV17"/>
  <c r="AV18"/>
  <c r="AV19"/>
  <c r="AV20"/>
  <c r="AV21"/>
  <c r="AV22"/>
  <c r="AV23"/>
  <c r="AV24"/>
  <c r="AV25"/>
  <c r="AV26"/>
  <c r="AV27"/>
  <c r="AV28"/>
  <c r="AV29"/>
  <c r="AV30"/>
  <c r="AV31"/>
  <c r="AV32"/>
  <c r="AV33"/>
  <c r="AV34"/>
  <c r="AV35"/>
  <c r="AV36"/>
  <c r="AV37"/>
  <c r="AV38"/>
  <c r="AV39"/>
  <c r="AV40"/>
  <c r="AV41"/>
  <c r="AV42"/>
  <c r="AV43"/>
  <c r="AV44"/>
  <c r="AV45"/>
  <c r="AV46"/>
  <c r="AV47"/>
  <c r="AV48"/>
  <c r="AV49"/>
  <c r="AV50"/>
  <c r="AV51"/>
  <c r="AV52"/>
  <c r="AV53"/>
  <c r="AV54"/>
  <c r="AV55"/>
  <c r="AV56"/>
  <c r="AV57"/>
  <c r="AV58"/>
  <c r="AV59"/>
  <c r="AV60"/>
  <c r="AV61"/>
  <c r="AV62"/>
  <c r="AV63"/>
  <c r="AV64"/>
  <c r="AV65"/>
  <c r="AV66"/>
  <c r="AV67"/>
  <c r="AV68"/>
  <c r="AV69"/>
  <c r="AV70"/>
  <c r="AV71"/>
  <c r="AV72"/>
  <c r="AV73"/>
  <c r="AV74"/>
  <c r="AV75"/>
  <c r="AV76"/>
  <c r="AV77"/>
  <c r="AV78"/>
  <c r="AV79"/>
  <c r="AV80"/>
  <c r="AV81"/>
  <c r="AV82"/>
  <c r="AV83"/>
  <c r="AV84"/>
  <c r="AV85"/>
  <c r="AV86"/>
  <c r="AV87"/>
  <c r="AV88"/>
  <c r="AV89"/>
  <c r="AV90"/>
  <c r="AV91"/>
  <c r="AV92"/>
  <c r="AV93"/>
  <c r="AV94"/>
  <c r="AV95"/>
  <c r="AV96"/>
  <c r="AV97"/>
  <c r="AV98"/>
  <c r="AV99"/>
  <c r="AV100"/>
  <c r="AV3"/>
  <c r="AX101"/>
  <c r="AX3"/>
  <c r="AZ101"/>
  <c r="I4"/>
  <c r="J4"/>
  <c r="X28"/>
  <c r="X67"/>
  <c r="X101" s="1"/>
  <c r="X70"/>
  <c r="X99"/>
  <c r="AN46"/>
  <c r="AN49"/>
  <c r="AN67"/>
  <c r="BD67" s="1"/>
  <c r="AN68"/>
  <c r="AN98"/>
  <c r="AN99"/>
  <c r="BD99" s="1"/>
  <c r="AO101"/>
  <c r="AP101"/>
  <c r="BD12"/>
  <c r="BD13"/>
  <c r="BD16"/>
  <c r="BD17"/>
  <c r="BD18"/>
  <c r="BD19"/>
  <c r="BD20"/>
  <c r="BD21"/>
  <c r="BD22"/>
  <c r="BD23"/>
  <c r="BD24"/>
  <c r="BD25"/>
  <c r="BD26"/>
  <c r="BD27"/>
  <c r="BD28"/>
  <c r="BD29"/>
  <c r="BD30"/>
  <c r="BD31"/>
  <c r="BD32"/>
  <c r="BD33"/>
  <c r="BD34"/>
  <c r="BD35"/>
  <c r="BD36"/>
  <c r="BD37"/>
  <c r="BD39"/>
  <c r="BD40"/>
  <c r="BD41"/>
  <c r="BD42"/>
  <c r="BD43"/>
  <c r="BD44"/>
  <c r="BD45"/>
  <c r="BD46"/>
  <c r="BD47"/>
  <c r="BD48"/>
  <c r="BD49"/>
  <c r="BD50"/>
  <c r="BD51"/>
  <c r="BD52"/>
  <c r="BD53"/>
  <c r="BD54"/>
  <c r="BD55"/>
  <c r="BD56"/>
  <c r="BD59"/>
  <c r="BD60"/>
  <c r="BD62"/>
  <c r="BD63"/>
  <c r="BD64"/>
  <c r="BD65"/>
  <c r="BD68"/>
  <c r="BD69"/>
  <c r="BD70"/>
  <c r="BD71"/>
  <c r="BD72"/>
  <c r="BD73"/>
  <c r="BD74"/>
  <c r="BD76"/>
  <c r="BD77"/>
  <c r="BD78"/>
  <c r="BD79"/>
  <c r="BD80"/>
  <c r="BD81"/>
  <c r="BD83"/>
  <c r="BD84"/>
  <c r="BD86"/>
  <c r="BD87"/>
  <c r="BD88"/>
  <c r="BD89"/>
  <c r="BD90"/>
  <c r="BD91"/>
  <c r="BD93"/>
  <c r="BD94"/>
  <c r="BD95"/>
  <c r="BD96"/>
  <c r="BD98"/>
  <c r="AG101"/>
  <c r="AH1" i="2"/>
  <c r="AL2"/>
  <c r="A3"/>
  <c r="AB3"/>
  <c r="AD3"/>
  <c r="Z12"/>
  <c r="AF12" s="1"/>
  <c r="AJ12" s="1"/>
  <c r="Z21"/>
  <c r="AF21" s="1"/>
  <c r="AJ21" s="1"/>
  <c r="AN21" s="1"/>
  <c r="BE21" s="1"/>
  <c r="Z23"/>
  <c r="AF23" s="1"/>
  <c r="AJ23" s="1"/>
  <c r="AN23" s="1"/>
  <c r="BE23" s="1"/>
  <c r="AF11"/>
  <c r="AF13"/>
  <c r="AF14"/>
  <c r="AF15"/>
  <c r="AF16"/>
  <c r="AF17"/>
  <c r="AF18"/>
  <c r="AF19"/>
  <c r="AF20"/>
  <c r="AF22"/>
  <c r="AF24"/>
  <c r="AF3"/>
  <c r="AJ11"/>
  <c r="AJ13"/>
  <c r="AJ14"/>
  <c r="AJ15"/>
  <c r="AJ16"/>
  <c r="AJ17"/>
  <c r="AJ18"/>
  <c r="AJ19"/>
  <c r="AJ20"/>
  <c r="AJ22"/>
  <c r="AJ24"/>
  <c r="AJ3"/>
  <c r="AR3"/>
  <c r="AT3"/>
  <c r="AV3"/>
  <c r="AX3"/>
  <c r="I4"/>
  <c r="J4"/>
  <c r="AN11"/>
  <c r="AN25" s="1"/>
  <c r="BE25" s="1"/>
  <c r="AV11"/>
  <c r="AZ11" s="1"/>
  <c r="BE11"/>
  <c r="AV12"/>
  <c r="BE12"/>
  <c r="AV13"/>
  <c r="BE13"/>
  <c r="AV14"/>
  <c r="BE14"/>
  <c r="AV15"/>
  <c r="BE15"/>
  <c r="AV16"/>
  <c r="BE16"/>
  <c r="AV17"/>
  <c r="BE17"/>
  <c r="AV18"/>
  <c r="BE18"/>
  <c r="AV19"/>
  <c r="BE19"/>
  <c r="AV20"/>
  <c r="BE20"/>
  <c r="AV21"/>
  <c r="AZ21"/>
  <c r="AV22"/>
  <c r="BE22"/>
  <c r="AV23"/>
  <c r="AV24"/>
  <c r="BE24"/>
  <c r="X25"/>
  <c r="AB25"/>
  <c r="AD25"/>
  <c r="AG25"/>
  <c r="AH25"/>
  <c r="AL25"/>
  <c r="AO25"/>
  <c r="AP25"/>
  <c r="AR25"/>
  <c r="AT25"/>
  <c r="AV25"/>
  <c r="AX25"/>
  <c r="AH27"/>
  <c r="AL27"/>
  <c r="AH21" i="1"/>
  <c r="AH1"/>
  <c r="AL21"/>
  <c r="AL2"/>
  <c r="A3"/>
  <c r="AB21"/>
  <c r="AB3"/>
  <c r="AD21"/>
  <c r="AD3"/>
  <c r="AF11"/>
  <c r="AF12"/>
  <c r="AF13"/>
  <c r="AF14"/>
  <c r="AJ14" s="1"/>
  <c r="AF15"/>
  <c r="AF16"/>
  <c r="AJ16" s="1"/>
  <c r="AF17"/>
  <c r="AF18"/>
  <c r="AJ18" s="1"/>
  <c r="AF19"/>
  <c r="AF20"/>
  <c r="AJ20" s="1"/>
  <c r="AF3"/>
  <c r="AJ11"/>
  <c r="AJ13"/>
  <c r="AN13" s="1"/>
  <c r="AJ15"/>
  <c r="AJ17"/>
  <c r="AJ19"/>
  <c r="AJ3"/>
  <c r="AR21"/>
  <c r="AR3"/>
  <c r="AT21"/>
  <c r="AT3"/>
  <c r="AV11"/>
  <c r="AV12"/>
  <c r="AV13"/>
  <c r="AV14"/>
  <c r="AV15"/>
  <c r="AV16"/>
  <c r="AV17"/>
  <c r="AV18"/>
  <c r="AV19"/>
  <c r="AV20"/>
  <c r="AV3"/>
  <c r="AX21"/>
  <c r="AX3"/>
  <c r="AZ21"/>
  <c r="I4"/>
  <c r="J4"/>
  <c r="X21"/>
  <c r="Z21"/>
  <c r="AN19"/>
  <c r="BD19" s="1"/>
  <c r="AO21"/>
  <c r="AP21"/>
  <c r="BD11"/>
  <c r="BD12"/>
  <c r="BD14"/>
  <c r="BD15"/>
  <c r="BD16"/>
  <c r="BD17"/>
  <c r="BD18"/>
  <c r="BD20"/>
  <c r="AG21"/>
  <c r="AN23" i="15" l="1"/>
  <c r="BD23" s="1"/>
  <c r="BD15"/>
  <c r="AJ24" i="34"/>
  <c r="AN11"/>
  <c r="BD11" s="1"/>
  <c r="AF61" i="7"/>
  <c r="AJ23" i="15"/>
  <c r="BD13" i="1"/>
  <c r="AN21"/>
  <c r="BD21" s="1"/>
  <c r="AJ37" i="5"/>
  <c r="AV21" i="1"/>
  <c r="AF21"/>
  <c r="AJ25" i="2"/>
  <c r="AF25"/>
  <c r="AJ12" i="1"/>
  <c r="AJ21" s="1"/>
  <c r="AZ25" i="2"/>
  <c r="AV101" i="4"/>
  <c r="AX26" i="8"/>
  <c r="AV57" i="6"/>
  <c r="AV60"/>
  <c r="AV31" i="11"/>
  <c r="AF31"/>
  <c r="AJ93" i="9"/>
  <c r="AN56" i="18"/>
  <c r="BD56" s="1"/>
  <c r="AV24" i="34"/>
  <c r="AJ14" i="36"/>
  <c r="AN14" s="1"/>
  <c r="BD14" s="1"/>
  <c r="AF22"/>
  <c r="AF19" i="14"/>
  <c r="AV20" i="3"/>
  <c r="AV26" i="8"/>
  <c r="AN60" i="6"/>
  <c r="BD60" s="1"/>
  <c r="AF37" i="5"/>
  <c r="AJ43" i="16"/>
  <c r="AV23" i="15"/>
  <c r="AF23"/>
  <c r="AV24" i="13"/>
  <c r="AF24"/>
  <c r="AN132" i="12"/>
  <c r="BD132" s="1"/>
  <c r="AL132"/>
  <c r="AJ12" i="11"/>
  <c r="AN96" i="9"/>
  <c r="BD96" s="1"/>
  <c r="X96"/>
  <c r="AV96"/>
  <c r="AF30" i="27"/>
  <c r="AN26" i="35"/>
  <c r="AN24" i="34"/>
  <c r="BD24" s="1"/>
  <c r="AF24"/>
  <c r="AN20" i="3"/>
  <c r="BD20" s="1"/>
  <c r="BD19"/>
  <c r="AN61" i="7"/>
  <c r="BD61" s="1"/>
  <c r="BD14"/>
  <c r="AN103" i="24"/>
  <c r="BD103" s="1"/>
  <c r="BD27"/>
  <c r="BD11" i="20"/>
  <c r="AN23"/>
  <c r="BD23" s="1"/>
  <c r="AF101" i="4"/>
  <c r="AJ61" i="7"/>
  <c r="AN24" i="13"/>
  <c r="BD24" s="1"/>
  <c r="AJ96" i="9"/>
  <c r="AJ103" i="24"/>
  <c r="AN33" i="31"/>
  <c r="BD33" s="1"/>
  <c r="BD11"/>
  <c r="AJ34" i="25"/>
  <c r="AN12"/>
  <c r="BD11" i="19"/>
  <c r="AN26"/>
  <c r="BD26" s="1"/>
  <c r="BD31" i="17"/>
  <c r="AN41"/>
  <c r="AF20" i="3"/>
  <c r="AJ60" i="6"/>
  <c r="AJ21" i="30"/>
  <c r="AN11"/>
  <c r="AF21" i="29"/>
  <c r="AJ11"/>
  <c r="AF28" i="22"/>
  <c r="AJ11"/>
  <c r="AF31" i="21"/>
  <c r="AJ21"/>
  <c r="Z25" i="2"/>
  <c r="Z101" i="4"/>
  <c r="AJ11"/>
  <c r="Z20" i="3"/>
  <c r="AJ11"/>
  <c r="AJ20" s="1"/>
  <c r="AG60" i="6"/>
  <c r="AN12" i="5"/>
  <c r="AN11" i="16"/>
  <c r="BD15" i="13"/>
  <c r="AJ12"/>
  <c r="AJ24" s="1"/>
  <c r="BD26" i="12"/>
  <c r="AF33"/>
  <c r="AJ33" s="1"/>
  <c r="AJ132" s="1"/>
  <c r="Z51" i="32"/>
  <c r="AV51"/>
  <c r="AV21" i="29"/>
  <c r="AV35" i="28"/>
  <c r="AF35"/>
  <c r="AN30" i="27"/>
  <c r="BD30" s="1"/>
  <c r="AJ27"/>
  <c r="AJ30" s="1"/>
  <c r="AV18" i="26"/>
  <c r="X34" i="25"/>
  <c r="X103" i="24"/>
  <c r="AV28" i="22"/>
  <c r="AN26" i="21"/>
  <c r="BD26" s="1"/>
  <c r="AF56" i="18"/>
  <c r="AV29" i="33"/>
  <c r="AJ51" i="32"/>
  <c r="AN11"/>
  <c r="AF18" i="26"/>
  <c r="AJ11"/>
  <c r="AH32" i="23"/>
  <c r="AJ16"/>
  <c r="AF23" i="33"/>
  <c r="AJ23" s="1"/>
  <c r="AN23" s="1"/>
  <c r="BD23" s="1"/>
  <c r="Z29"/>
  <c r="AF29"/>
  <c r="AJ11"/>
  <c r="AF26" i="35"/>
  <c r="AJ13"/>
  <c r="AJ26" s="1"/>
  <c r="C46" i="6"/>
  <c r="C45"/>
  <c r="C47" s="1"/>
  <c r="C48" s="1"/>
  <c r="C49" s="1"/>
  <c r="C50" s="1"/>
  <c r="C51" s="1"/>
  <c r="C52" s="1"/>
  <c r="C53" s="1"/>
  <c r="C54" s="1"/>
  <c r="C55" s="1"/>
  <c r="C56" s="1"/>
  <c r="C57" s="1"/>
  <c r="C58" s="1"/>
  <c r="C59" s="1"/>
  <c r="C16" i="16"/>
  <c r="C17"/>
  <c r="C18" s="1"/>
  <c r="C19" s="1"/>
  <c r="C20" s="1"/>
  <c r="C21" s="1"/>
  <c r="C22" s="1"/>
  <c r="C23" s="1"/>
  <c r="C24" s="1"/>
  <c r="C25" s="1"/>
  <c r="C26" s="1"/>
  <c r="C27" s="1"/>
  <c r="C28" s="1"/>
  <c r="C29" s="1"/>
  <c r="C30" s="1"/>
  <c r="C31" s="1"/>
  <c r="C32" s="1"/>
  <c r="C33" s="1"/>
  <c r="C34" s="1"/>
  <c r="C35" s="1"/>
  <c r="C36" s="1"/>
  <c r="C37" s="1"/>
  <c r="C38" s="1"/>
  <c r="C39" s="1"/>
  <c r="C40" s="1"/>
  <c r="C41" s="1"/>
  <c r="C42" s="1"/>
  <c r="AJ33" i="31"/>
  <c r="AN34" i="28"/>
  <c r="AJ35"/>
  <c r="AV34" i="25"/>
  <c r="AF34"/>
  <c r="AV103" i="24"/>
  <c r="AF103"/>
  <c r="AL31" i="21"/>
  <c r="AV23" i="20"/>
  <c r="AV26" i="19"/>
  <c r="AJ56" i="18"/>
  <c r="BD41" i="17"/>
  <c r="AV41"/>
  <c r="AJ19" i="14"/>
  <c r="AN13" i="36"/>
  <c r="AJ17"/>
  <c r="C23" i="10"/>
  <c r="C24"/>
  <c r="C25" s="1"/>
  <c r="C26" s="1"/>
  <c r="C27" s="1"/>
  <c r="C28" s="1"/>
  <c r="C29" s="1"/>
  <c r="C30" s="1"/>
  <c r="C31" s="1"/>
  <c r="C32" s="1"/>
  <c r="C33" s="1"/>
  <c r="C34" s="1"/>
  <c r="C35" s="1"/>
  <c r="C36" s="1"/>
  <c r="C37" s="1"/>
  <c r="C38" s="1"/>
  <c r="C39" s="1"/>
  <c r="C40" s="1"/>
  <c r="C41" s="1"/>
  <c r="C42" s="1"/>
  <c r="C43" s="1"/>
  <c r="C44" s="1"/>
  <c r="C45" s="1"/>
  <c r="C46" s="1"/>
  <c r="C47" s="1"/>
  <c r="C48" s="1"/>
  <c r="C49" s="1"/>
  <c r="C50" s="1"/>
  <c r="C51" s="1"/>
  <c r="C52" s="1"/>
  <c r="C53" s="1"/>
  <c r="C54" s="1"/>
  <c r="AN22" i="28"/>
  <c r="AN35" s="1"/>
  <c r="BD35" s="1"/>
  <c r="BD26" i="35"/>
  <c r="AN14" i="21"/>
  <c r="BD14" s="1"/>
  <c r="AJ21" i="36"/>
  <c r="AJ22" s="1"/>
  <c r="AJ10"/>
  <c r="BD11" i="35"/>
  <c r="AJ31" i="11" l="1"/>
  <c r="AN12"/>
  <c r="AN17" i="36"/>
  <c r="BD17" s="1"/>
  <c r="BD13"/>
  <c r="AJ29" i="33"/>
  <c r="AN11"/>
  <c r="AJ32" i="23"/>
  <c r="AN16"/>
  <c r="AN11" i="26"/>
  <c r="AJ18"/>
  <c r="BD11" i="32"/>
  <c r="AN51"/>
  <c r="BD51" s="1"/>
  <c r="BD11" i="16"/>
  <c r="AN43"/>
  <c r="BD43" s="1"/>
  <c r="AN21" i="21"/>
  <c r="BD21" s="1"/>
  <c r="AJ31"/>
  <c r="AJ28" i="22"/>
  <c r="AN11"/>
  <c r="AN11" i="29"/>
  <c r="AJ21"/>
  <c r="BD11" i="30"/>
  <c r="AN21"/>
  <c r="BD21" s="1"/>
  <c r="AN34" i="25"/>
  <c r="BD34" s="1"/>
  <c r="BD12"/>
  <c r="AF132" i="12"/>
  <c r="AJ11" i="36"/>
  <c r="AN10"/>
  <c r="C55" i="10"/>
  <c r="C56"/>
  <c r="C57" s="1"/>
  <c r="C58" s="1"/>
  <c r="C59" s="1"/>
  <c r="C60" s="1"/>
  <c r="C61" s="1"/>
  <c r="C62" s="1"/>
  <c r="C63" s="1"/>
  <c r="C64" s="1"/>
  <c r="AN37" i="5"/>
  <c r="BD37" s="1"/>
  <c r="BD12"/>
  <c r="AJ101" i="4"/>
  <c r="AN11"/>
  <c r="AN18" i="21"/>
  <c r="AN31" s="1"/>
  <c r="BD31" s="1"/>
  <c r="AN31" i="11" l="1"/>
  <c r="BD31" s="1"/>
  <c r="BD12"/>
  <c r="BD11" i="4"/>
  <c r="AN101"/>
  <c r="BD101" s="1"/>
  <c r="AN21" i="29"/>
  <c r="BD21" s="1"/>
  <c r="BD11"/>
  <c r="AN18" i="26"/>
  <c r="BD18" s="1"/>
  <c r="BD11"/>
  <c r="BD10" i="36"/>
  <c r="AN11"/>
  <c r="BD11" s="1"/>
  <c r="AN28" i="22"/>
  <c r="BD28" s="1"/>
  <c r="BD11"/>
  <c r="BD16" i="23"/>
  <c r="AN32"/>
  <c r="BD32" s="1"/>
  <c r="BD11" i="33"/>
  <c r="AN29"/>
  <c r="BD29" s="1"/>
</calcChain>
</file>

<file path=xl/comments1.xml><?xml version="1.0" encoding="utf-8"?>
<comments xmlns="http://schemas.openxmlformats.org/spreadsheetml/2006/main">
  <authors>
    <author>CPSB</author>
  </authors>
  <commentList>
    <comment ref="A3" authorId="0">
      <text>
        <r>
          <rPr>
            <b/>
            <sz val="8"/>
            <color indexed="81"/>
            <rFont val="Tahoma"/>
          </rPr>
          <t>CPSB:</t>
        </r>
        <r>
          <rPr>
            <sz val="8"/>
            <color indexed="81"/>
            <rFont val="Tahoma"/>
          </rPr>
          <t xml:space="preserve">
Remember to change the description from detail to summary when collapsing  worksheet . Also need to affect name change in footer from detail to summary.
</t>
        </r>
      </text>
    </comment>
    <comment ref="G6" authorId="0">
      <text>
        <r>
          <rPr>
            <b/>
            <sz val="8"/>
            <color indexed="81"/>
            <rFont val="Tahoma"/>
          </rPr>
          <t>CPSB:</t>
        </r>
        <r>
          <rPr>
            <sz val="8"/>
            <color indexed="81"/>
            <rFont val="Tahoma"/>
          </rPr>
          <t xml:space="preserve">
Remember to change the description from detail to summary when collapsing  worksheet . Also need to affect name change in footer from detail to summary.
</t>
        </r>
      </text>
    </comment>
    <comment ref="G7" authorId="0">
      <text>
        <r>
          <rPr>
            <b/>
            <sz val="8"/>
            <color indexed="81"/>
            <rFont val="Tahoma"/>
          </rPr>
          <t>CPSB:</t>
        </r>
        <r>
          <rPr>
            <sz val="8"/>
            <color indexed="81"/>
            <rFont val="Tahoma"/>
          </rPr>
          <t xml:space="preserve">
If "1" here, will use if then statement to change heading wording for 3rd line
</t>
        </r>
      </text>
    </comment>
  </commentList>
</comments>
</file>

<file path=xl/comments2.xml><?xml version="1.0" encoding="utf-8"?>
<comments xmlns="http://schemas.openxmlformats.org/spreadsheetml/2006/main">
  <authors>
    <author>CPSB</author>
    <author>Dennis Bent</author>
  </authors>
  <commentList>
    <comment ref="A3" authorId="0">
      <text>
        <r>
          <rPr>
            <b/>
            <sz val="8"/>
            <color indexed="81"/>
            <rFont val="Tahoma"/>
          </rPr>
          <t>CPSB:</t>
        </r>
        <r>
          <rPr>
            <sz val="8"/>
            <color indexed="81"/>
            <rFont val="Tahoma"/>
          </rPr>
          <t xml:space="preserve">
Remember to change the description from detail to summary when collapsing  worksheet . Also need to affect name change in footer from detail to summary.
</t>
        </r>
      </text>
    </comment>
    <comment ref="G6" authorId="0">
      <text>
        <r>
          <rPr>
            <b/>
            <sz val="8"/>
            <color indexed="81"/>
            <rFont val="Tahoma"/>
          </rPr>
          <t>CPSB:</t>
        </r>
        <r>
          <rPr>
            <sz val="8"/>
            <color indexed="81"/>
            <rFont val="Tahoma"/>
          </rPr>
          <t xml:space="preserve">
Remember to change the description from detail to summary when collapsing  worksheet . Also need to affect name change in footer from detail to summary.
</t>
        </r>
      </text>
    </comment>
    <comment ref="G7" authorId="0">
      <text>
        <r>
          <rPr>
            <b/>
            <sz val="8"/>
            <color indexed="81"/>
            <rFont val="Tahoma"/>
          </rPr>
          <t>CPSB:</t>
        </r>
        <r>
          <rPr>
            <sz val="8"/>
            <color indexed="81"/>
            <rFont val="Tahoma"/>
          </rPr>
          <t xml:space="preserve">
If "1" here, will use if then statement to change heading wording for 3rd line
</t>
        </r>
      </text>
    </comment>
    <comment ref="G13" authorId="1">
      <text>
        <r>
          <rPr>
            <b/>
            <sz val="8"/>
            <color indexed="81"/>
            <rFont val="Tahoma"/>
          </rPr>
          <t>Dennis Bent:</t>
        </r>
        <r>
          <rPr>
            <sz val="8"/>
            <color indexed="81"/>
            <rFont val="Tahoma"/>
          </rPr>
          <t xml:space="preserve">
Temps for Melinda</t>
        </r>
      </text>
    </comment>
  </commentList>
</comments>
</file>

<file path=xl/comments3.xml><?xml version="1.0" encoding="utf-8"?>
<comments xmlns="http://schemas.openxmlformats.org/spreadsheetml/2006/main">
  <authors>
    <author>CPSB</author>
    <author>Dennis Bent</author>
  </authors>
  <commentList>
    <comment ref="A3" authorId="0">
      <text>
        <r>
          <rPr>
            <b/>
            <sz val="8"/>
            <color indexed="81"/>
            <rFont val="Tahoma"/>
          </rPr>
          <t>CPSB:</t>
        </r>
        <r>
          <rPr>
            <sz val="8"/>
            <color indexed="81"/>
            <rFont val="Tahoma"/>
          </rPr>
          <t xml:space="preserve">
Remember to change the description from detail to summary when collapsing  worksheet . Also need to affect name change in footer from detail to summary.
</t>
        </r>
      </text>
    </comment>
    <comment ref="G6" authorId="0">
      <text>
        <r>
          <rPr>
            <b/>
            <sz val="8"/>
            <color indexed="81"/>
            <rFont val="Tahoma"/>
          </rPr>
          <t>CPSB:</t>
        </r>
        <r>
          <rPr>
            <sz val="8"/>
            <color indexed="81"/>
            <rFont val="Tahoma"/>
          </rPr>
          <t xml:space="preserve">
Remember to change the description from detail to summary when collapsing  worksheet . Also need to affect name change in footer from detail to summary.
</t>
        </r>
      </text>
    </comment>
    <comment ref="G7" authorId="0">
      <text>
        <r>
          <rPr>
            <b/>
            <sz val="8"/>
            <color indexed="81"/>
            <rFont val="Tahoma"/>
          </rPr>
          <t>CPSB:</t>
        </r>
        <r>
          <rPr>
            <sz val="8"/>
            <color indexed="81"/>
            <rFont val="Tahoma"/>
          </rPr>
          <t xml:space="preserve">
If "1" here, will use if then statement to change heading wording for 3rd line
</t>
        </r>
      </text>
    </comment>
    <comment ref="A11" authorId="1">
      <text>
        <r>
          <rPr>
            <b/>
            <sz val="8"/>
            <color indexed="81"/>
            <rFont val="Tahoma"/>
          </rPr>
          <t>Dennis Bent:</t>
        </r>
        <r>
          <rPr>
            <sz val="8"/>
            <color indexed="81"/>
            <rFont val="Tahoma"/>
          </rPr>
          <t xml:space="preserve">
Changed function to </t>
        </r>
      </text>
    </comment>
    <comment ref="B13" authorId="0">
      <text>
        <r>
          <rPr>
            <b/>
            <sz val="8"/>
            <color indexed="81"/>
            <rFont val="Tahoma"/>
          </rPr>
          <t>CPSB
This is internal audit function per LAUGH</t>
        </r>
      </text>
    </comment>
  </commentList>
</comments>
</file>

<file path=xl/comments4.xml><?xml version="1.0" encoding="utf-8"?>
<comments xmlns="http://schemas.openxmlformats.org/spreadsheetml/2006/main">
  <authors>
    <author>CPSB</author>
    <author>Dennis Bent</author>
  </authors>
  <commentList>
    <comment ref="A3" authorId="0">
      <text>
        <r>
          <rPr>
            <b/>
            <sz val="8"/>
            <color indexed="81"/>
            <rFont val="Tahoma"/>
          </rPr>
          <t>CPSB:</t>
        </r>
        <r>
          <rPr>
            <sz val="8"/>
            <color indexed="81"/>
            <rFont val="Tahoma"/>
          </rPr>
          <t xml:space="preserve">
Remember to change the description from detail to summary when collapsing  worksheet . Also need to affect name change in footer from detail to summary.
</t>
        </r>
      </text>
    </comment>
    <comment ref="G6" authorId="0">
      <text>
        <r>
          <rPr>
            <b/>
            <sz val="8"/>
            <color indexed="81"/>
            <rFont val="Tahoma"/>
          </rPr>
          <t>CPSB:</t>
        </r>
        <r>
          <rPr>
            <sz val="8"/>
            <color indexed="81"/>
            <rFont val="Tahoma"/>
          </rPr>
          <t xml:space="preserve">
Remember to change the description from detail to summary when collapsing  worksheet . Also need to affect name change in footer from detail to summary.
</t>
        </r>
      </text>
    </comment>
    <comment ref="G7" authorId="0">
      <text>
        <r>
          <rPr>
            <b/>
            <sz val="8"/>
            <color indexed="81"/>
            <rFont val="Tahoma"/>
          </rPr>
          <t>CPSB:</t>
        </r>
        <r>
          <rPr>
            <sz val="8"/>
            <color indexed="81"/>
            <rFont val="Tahoma"/>
          </rPr>
          <t xml:space="preserve">
If "1" here, will use if then statement to change heading wording for 3rd line
</t>
        </r>
      </text>
    </comment>
    <comment ref="G11" authorId="1">
      <text>
        <r>
          <rPr>
            <b/>
            <sz val="8"/>
            <color indexed="81"/>
            <rFont val="Tahoma"/>
          </rPr>
          <t>Dennis Bent:</t>
        </r>
        <r>
          <rPr>
            <sz val="8"/>
            <color indexed="81"/>
            <rFont val="Tahoma"/>
          </rPr>
          <t xml:space="preserve">
Kindergarten testing costs come out of this budget as well per Helen M. 
Also, open positions often come out of here.</t>
        </r>
      </text>
    </comment>
    <comment ref="AR11" authorId="0">
      <text>
        <r>
          <rPr>
            <b/>
            <sz val="8"/>
            <color indexed="81"/>
            <rFont val="Tahoma"/>
          </rPr>
          <t>CPSB:</t>
        </r>
        <r>
          <rPr>
            <sz val="8"/>
            <color indexed="81"/>
            <rFont val="Tahoma"/>
          </rPr>
          <t xml:space="preserve">
need to move budget for nursing stipends. Created account in nursing for that.</t>
        </r>
      </text>
    </comment>
    <comment ref="AB15" authorId="0">
      <text>
        <r>
          <rPr>
            <b/>
            <sz val="8"/>
            <color indexed="81"/>
            <rFont val="Tahoma"/>
          </rPr>
          <t>CPSB:</t>
        </r>
        <r>
          <rPr>
            <sz val="8"/>
            <color indexed="81"/>
            <rFont val="Tahoma"/>
          </rPr>
          <t xml:space="preserve">
Online review software with Ed Options for year
</t>
        </r>
      </text>
    </comment>
    <comment ref="AR15" authorId="0">
      <text>
        <r>
          <rPr>
            <b/>
            <sz val="8"/>
            <color indexed="81"/>
            <rFont val="Tahoma"/>
          </rPr>
          <t>CPSB:</t>
        </r>
        <r>
          <rPr>
            <sz val="8"/>
            <color indexed="81"/>
            <rFont val="Tahoma"/>
          </rPr>
          <t xml:space="preserve">
Online review software with Ed Options for year
</t>
        </r>
      </text>
    </comment>
    <comment ref="G20" authorId="0">
      <text>
        <r>
          <rPr>
            <b/>
            <sz val="8"/>
            <color indexed="81"/>
            <rFont val="Tahoma"/>
          </rPr>
          <t>CPSB:</t>
        </r>
        <r>
          <rPr>
            <sz val="8"/>
            <color indexed="81"/>
            <rFont val="Tahoma"/>
          </rPr>
          <t xml:space="preserve">
Southern accreditation but going parishwide. May meld other dept budget to this but for now...
</t>
        </r>
      </text>
    </comment>
    <comment ref="B23" authorId="1">
      <text>
        <r>
          <rPr>
            <b/>
            <sz val="8"/>
            <color indexed="81"/>
            <rFont val="Tahoma"/>
          </rPr>
          <t>Dennis Bent:</t>
        </r>
        <r>
          <rPr>
            <sz val="8"/>
            <color indexed="81"/>
            <rFont val="Tahoma"/>
          </rPr>
          <t xml:space="preserve">
Changed for 2006 as prior year did not match PEP listing.</t>
        </r>
      </text>
    </comment>
    <comment ref="G23" authorId="1">
      <text>
        <r>
          <rPr>
            <b/>
            <sz val="8"/>
            <color indexed="81"/>
            <rFont val="Tahoma"/>
          </rPr>
          <t>Dennis Bent:</t>
        </r>
        <r>
          <rPr>
            <sz val="8"/>
            <color indexed="81"/>
            <rFont val="Tahoma"/>
          </rPr>
          <t xml:space="preserve">
New, to be covered by indirect costs on LA4 grant (indirectly funded through increase in IDC revenue in GF). Title per Patrice</t>
        </r>
      </text>
    </comment>
    <comment ref="G34" authorId="0">
      <text>
        <r>
          <rPr>
            <b/>
            <sz val="8"/>
            <color indexed="81"/>
            <rFont val="Tahoma"/>
          </rPr>
          <t>CPSB:</t>
        </r>
        <r>
          <rPr>
            <sz val="8"/>
            <color indexed="81"/>
            <rFont val="Tahoma"/>
          </rPr>
          <t xml:space="preserve">
These are for workshop attendees whose 'budget' is to come out of the  sub budget per Leo and Wayne. But the coding needs to reflect the activity of the attendees (stipends) not subs so have to add code and move the budget to cover the stipends. As of date of this note includes Medication Inservice, Kindergarten DSC  and August inservice 
</t>
        </r>
      </text>
    </comment>
    <comment ref="AR51" authorId="0">
      <text>
        <r>
          <rPr>
            <b/>
            <sz val="8"/>
            <color indexed="81"/>
            <rFont val="Tahoma"/>
          </rPr>
          <t>CPSB:</t>
        </r>
        <r>
          <rPr>
            <sz val="8"/>
            <color indexed="81"/>
            <rFont val="Tahoma"/>
          </rPr>
          <t xml:space="preserve">
From Accounting. 
</t>
        </r>
      </text>
    </comment>
    <comment ref="B54" authorId="1">
      <text>
        <r>
          <rPr>
            <b/>
            <sz val="8"/>
            <color indexed="81"/>
            <rFont val="Tahoma"/>
          </rPr>
          <t>Dennis Bent:</t>
        </r>
        <r>
          <rPr>
            <sz val="8"/>
            <color indexed="81"/>
            <rFont val="Tahoma"/>
          </rPr>
          <t xml:space="preserve">
S/b 2220!
</t>
        </r>
      </text>
    </comment>
  </commentList>
</comments>
</file>

<file path=xl/comments5.xml><?xml version="1.0" encoding="utf-8"?>
<comments xmlns="http://schemas.openxmlformats.org/spreadsheetml/2006/main">
  <authors>
    <author>CPSB</author>
    <author>Dennis Bent</author>
  </authors>
  <commentList>
    <comment ref="A3" authorId="0">
      <text>
        <r>
          <rPr>
            <b/>
            <sz val="8"/>
            <color indexed="81"/>
            <rFont val="Tahoma"/>
          </rPr>
          <t>CPSB:</t>
        </r>
        <r>
          <rPr>
            <sz val="8"/>
            <color indexed="81"/>
            <rFont val="Tahoma"/>
          </rPr>
          <t xml:space="preserve">
Remember to change the description from detail to summary when collapsing  worksheet . Also need to affect name change in footer from detail to summary.
</t>
        </r>
      </text>
    </comment>
    <comment ref="G6" authorId="0">
      <text>
        <r>
          <rPr>
            <b/>
            <sz val="8"/>
            <color indexed="81"/>
            <rFont val="Tahoma"/>
          </rPr>
          <t>CPSB:</t>
        </r>
        <r>
          <rPr>
            <sz val="8"/>
            <color indexed="81"/>
            <rFont val="Tahoma"/>
          </rPr>
          <t xml:space="preserve">
Remember to change the description from detail to summary when collapsing  worksheet . Also need to affect name change in footer from detail to summary.
</t>
        </r>
      </text>
    </comment>
    <comment ref="G7" authorId="0">
      <text>
        <r>
          <rPr>
            <b/>
            <sz val="8"/>
            <color indexed="81"/>
            <rFont val="Tahoma"/>
          </rPr>
          <t>CPSB:</t>
        </r>
        <r>
          <rPr>
            <sz val="8"/>
            <color indexed="81"/>
            <rFont val="Tahoma"/>
          </rPr>
          <t xml:space="preserve">
If "1" here, will use if then statement to change heading wording for 3rd line
</t>
        </r>
      </text>
    </comment>
    <comment ref="X19" authorId="0">
      <text>
        <r>
          <rPr>
            <b/>
            <sz val="8"/>
            <color indexed="81"/>
            <rFont val="Tahoma"/>
          </rPr>
          <t>CPSB:</t>
        </r>
        <r>
          <rPr>
            <sz val="8"/>
            <color indexed="81"/>
            <rFont val="Tahoma"/>
          </rPr>
          <t xml:space="preserve">
Elementary Alt (new) supplies
</t>
        </r>
      </text>
    </comment>
    <comment ref="AX21" authorId="0">
      <text>
        <r>
          <rPr>
            <b/>
            <sz val="8"/>
            <color indexed="81"/>
            <rFont val="Tahoma"/>
          </rPr>
          <t>CPSB:</t>
        </r>
        <r>
          <rPr>
            <sz val="8"/>
            <color indexed="81"/>
            <rFont val="Tahoma"/>
          </rPr>
          <t xml:space="preserve">
May need to move $300 for band costs that were paid by Pat Deville. Did nto add elem code to high school dept, tho.
</t>
        </r>
      </text>
    </comment>
    <comment ref="F40" authorId="1">
      <text>
        <r>
          <rPr>
            <b/>
            <sz val="8"/>
            <color indexed="81"/>
            <rFont val="Tahoma"/>
          </rPr>
          <t>Dennis Bent:</t>
        </r>
        <r>
          <rPr>
            <sz val="8"/>
            <color indexed="81"/>
            <rFont val="Tahoma"/>
          </rPr>
          <t xml:space="preserve">
This is budget target for a/c 1110·1400·32·000 - 633412</t>
        </r>
      </text>
    </comment>
    <comment ref="F57" authorId="1">
      <text>
        <r>
          <rPr>
            <b/>
            <sz val="8"/>
            <color indexed="81"/>
            <rFont val="Tahoma"/>
          </rPr>
          <t>Dennis Bent:</t>
        </r>
        <r>
          <rPr>
            <sz val="8"/>
            <color indexed="81"/>
            <rFont val="Tahoma"/>
          </rPr>
          <t xml:space="preserve">
for 2005 need to change account code to 661001-the 661101is for the admin director supplies (tho it has a separate function)
Also, have some equipment (desk) charged to account not listed above which</t>
        </r>
      </text>
    </comment>
  </commentList>
</comments>
</file>

<file path=xl/comments6.xml><?xml version="1.0" encoding="utf-8"?>
<comments xmlns="http://schemas.openxmlformats.org/spreadsheetml/2006/main">
  <authors>
    <author>CPSB</author>
    <author>Dennis Bent</author>
  </authors>
  <commentList>
    <comment ref="A3" authorId="0">
      <text>
        <r>
          <rPr>
            <b/>
            <sz val="8"/>
            <color indexed="81"/>
            <rFont val="Tahoma"/>
          </rPr>
          <t>CPSB:</t>
        </r>
        <r>
          <rPr>
            <sz val="8"/>
            <color indexed="81"/>
            <rFont val="Tahoma"/>
          </rPr>
          <t xml:space="preserve">
Remember to change the description from detail to summary when collapsing  worksheet . Also need to affect name change in footer from detail to summary.
</t>
        </r>
      </text>
    </comment>
    <comment ref="G6" authorId="0">
      <text>
        <r>
          <rPr>
            <b/>
            <sz val="8"/>
            <color indexed="81"/>
            <rFont val="Tahoma"/>
          </rPr>
          <t>CPSB:</t>
        </r>
        <r>
          <rPr>
            <sz val="8"/>
            <color indexed="81"/>
            <rFont val="Tahoma"/>
          </rPr>
          <t xml:space="preserve">
Remember to change the description from detail to summary when collapsing  worksheet . Also need to affect name change in footer from detail to summary.
</t>
        </r>
      </text>
    </comment>
    <comment ref="G7" authorId="0">
      <text>
        <r>
          <rPr>
            <b/>
            <sz val="8"/>
            <color indexed="81"/>
            <rFont val="Tahoma"/>
          </rPr>
          <t>CPSB:</t>
        </r>
        <r>
          <rPr>
            <sz val="8"/>
            <color indexed="81"/>
            <rFont val="Tahoma"/>
          </rPr>
          <t xml:space="preserve">
If "1" here, will use if then statement to change heading wording for 3rd line
</t>
        </r>
      </text>
    </comment>
    <comment ref="F18" authorId="1">
      <text>
        <r>
          <rPr>
            <b/>
            <sz val="8"/>
            <color indexed="81"/>
            <rFont val="Tahoma"/>
          </rPr>
          <t>Dennis Bent:</t>
        </r>
        <r>
          <rPr>
            <sz val="8"/>
            <color indexed="81"/>
            <rFont val="Tahoma"/>
          </rPr>
          <t xml:space="preserve">
This is budget target for a/c 1110·1400·32·000 - 633412</t>
        </r>
      </text>
    </comment>
  </commentList>
</comments>
</file>

<file path=xl/comments7.xml><?xml version="1.0" encoding="utf-8"?>
<comments xmlns="http://schemas.openxmlformats.org/spreadsheetml/2006/main">
  <authors>
    <author>CPSB</author>
    <author>Dennis Bent</author>
  </authors>
  <commentList>
    <comment ref="A3" authorId="0">
      <text>
        <r>
          <rPr>
            <b/>
            <sz val="8"/>
            <color indexed="81"/>
            <rFont val="Tahoma"/>
          </rPr>
          <t>CPSB:</t>
        </r>
        <r>
          <rPr>
            <sz val="8"/>
            <color indexed="81"/>
            <rFont val="Tahoma"/>
          </rPr>
          <t xml:space="preserve">
Remember to change the description from detail to summary when collapsing  worksheet . Also need to affect name change in footer from detail to summary.
</t>
        </r>
      </text>
    </comment>
    <comment ref="G6" authorId="0">
      <text>
        <r>
          <rPr>
            <b/>
            <sz val="8"/>
            <color indexed="81"/>
            <rFont val="Tahoma"/>
          </rPr>
          <t>CPSB:</t>
        </r>
        <r>
          <rPr>
            <sz val="8"/>
            <color indexed="81"/>
            <rFont val="Tahoma"/>
          </rPr>
          <t xml:space="preserve">
Remember to change the description from detail to summary when collapsing  worksheet . Also need to affect name change in footer from detail to summary.
</t>
        </r>
      </text>
    </comment>
    <comment ref="G7" authorId="0">
      <text>
        <r>
          <rPr>
            <b/>
            <sz val="8"/>
            <color indexed="81"/>
            <rFont val="Tahoma"/>
          </rPr>
          <t>CPSB:</t>
        </r>
        <r>
          <rPr>
            <sz val="8"/>
            <color indexed="81"/>
            <rFont val="Tahoma"/>
          </rPr>
          <t xml:space="preserve">
If "1" here, will use if then statement to change heading wording for 3rd line
</t>
        </r>
      </text>
    </comment>
    <comment ref="AD35" authorId="0">
      <text>
        <r>
          <rPr>
            <b/>
            <sz val="8"/>
            <color indexed="81"/>
            <rFont val="Tahoma"/>
          </rPr>
          <t>CPSB:</t>
        </r>
        <r>
          <rPr>
            <sz val="8"/>
            <color indexed="81"/>
            <rFont val="Tahoma"/>
          </rPr>
          <t xml:space="preserve">
PO closed incorrectly. To pay off of billhead. Per Andre'
</t>
        </r>
      </text>
    </comment>
    <comment ref="AG35" authorId="0">
      <text>
        <r>
          <rPr>
            <b/>
            <sz val="8"/>
            <color indexed="81"/>
            <rFont val="Tahoma"/>
          </rPr>
          <t>CPSB:</t>
        </r>
        <r>
          <rPr>
            <sz val="8"/>
            <color indexed="81"/>
            <rFont val="Tahoma"/>
          </rPr>
          <t xml:space="preserve">
Conoco Phillips Donation
</t>
        </r>
      </text>
    </comment>
    <comment ref="AL35" authorId="0">
      <text>
        <r>
          <rPr>
            <b/>
            <sz val="8"/>
            <color indexed="81"/>
            <rFont val="Tahoma"/>
          </rPr>
          <t>CPSB:</t>
        </r>
        <r>
          <rPr>
            <sz val="8"/>
            <color indexed="81"/>
            <rFont val="Tahoma"/>
          </rPr>
          <t xml:space="preserve">
To replace printer busted by Dollar Electric. 
</t>
        </r>
      </text>
    </comment>
    <comment ref="AR53" authorId="0">
      <text>
        <r>
          <rPr>
            <b/>
            <sz val="8"/>
            <color indexed="81"/>
            <rFont val="Tahoma"/>
          </rPr>
          <t>CPSB:</t>
        </r>
        <r>
          <rPr>
            <sz val="8"/>
            <color indexed="81"/>
            <rFont val="Tahoma"/>
          </rPr>
          <t xml:space="preserve">
</t>
        </r>
      </text>
    </comment>
    <comment ref="F55" authorId="1">
      <text>
        <r>
          <rPr>
            <b/>
            <sz val="8"/>
            <color indexed="81"/>
            <rFont val="Tahoma"/>
          </rPr>
          <t>Dennis Bent:</t>
        </r>
        <r>
          <rPr>
            <sz val="8"/>
            <color indexed="81"/>
            <rFont val="Tahoma"/>
          </rPr>
          <t xml:space="preserve">
Cheerleader sponsor (A Mandubourg)
</t>
        </r>
      </text>
    </comment>
    <comment ref="A59" authorId="1">
      <text>
        <r>
          <rPr>
            <b/>
            <sz val="8"/>
            <color indexed="81"/>
            <rFont val="Tahoma"/>
          </rPr>
          <t>Dennis Bent:</t>
        </r>
        <r>
          <rPr>
            <sz val="8"/>
            <color indexed="81"/>
            <rFont val="Tahoma"/>
          </rPr>
          <t xml:space="preserve">
ISI Code</t>
        </r>
      </text>
    </comment>
    <comment ref="F61" authorId="1">
      <text>
        <r>
          <rPr>
            <b/>
            <sz val="8"/>
            <color indexed="81"/>
            <rFont val="Tahoma"/>
          </rPr>
          <t>Dennis Bent:</t>
        </r>
        <r>
          <rPr>
            <sz val="8"/>
            <color indexed="81"/>
            <rFont val="Tahoma"/>
          </rPr>
          <t xml:space="preserve">
Ina Delahouseye
</t>
        </r>
      </text>
    </comment>
    <comment ref="G61" authorId="1">
      <text>
        <r>
          <rPr>
            <b/>
            <sz val="8"/>
            <color indexed="81"/>
            <rFont val="Tahoma"/>
          </rPr>
          <t>Dennis Bent:</t>
        </r>
        <r>
          <rPr>
            <sz val="8"/>
            <color indexed="81"/>
            <rFont val="Tahoma"/>
          </rPr>
          <t xml:space="preserve">
Ina</t>
        </r>
      </text>
    </comment>
  </commentList>
</comments>
</file>

<file path=xl/comments8.xml><?xml version="1.0" encoding="utf-8"?>
<comments xmlns="http://schemas.openxmlformats.org/spreadsheetml/2006/main">
  <authors>
    <author>CPSB</author>
    <author>dennis.bent</author>
    <author>Dennis Bent</author>
  </authors>
  <commentList>
    <comment ref="A3" authorId="0">
      <text>
        <r>
          <rPr>
            <b/>
            <sz val="8"/>
            <color indexed="81"/>
            <rFont val="Tahoma"/>
          </rPr>
          <t>CPSB:</t>
        </r>
        <r>
          <rPr>
            <sz val="8"/>
            <color indexed="81"/>
            <rFont val="Tahoma"/>
          </rPr>
          <t xml:space="preserve">
Remember to change the description from detail to summary when collapsing  worksheet . Also need to affect name change in footer from detail to summary.
</t>
        </r>
      </text>
    </comment>
    <comment ref="G6" authorId="0">
      <text>
        <r>
          <rPr>
            <b/>
            <sz val="8"/>
            <color indexed="81"/>
            <rFont val="Tahoma"/>
          </rPr>
          <t>CPSB:</t>
        </r>
        <r>
          <rPr>
            <sz val="8"/>
            <color indexed="81"/>
            <rFont val="Tahoma"/>
          </rPr>
          <t xml:space="preserve">
Remember to change the description from detail to summary when collapsing  worksheet . Also need to affect name change in footer from detail to summary.
</t>
        </r>
      </text>
    </comment>
    <comment ref="G7" authorId="0">
      <text>
        <r>
          <rPr>
            <b/>
            <sz val="8"/>
            <color indexed="81"/>
            <rFont val="Tahoma"/>
          </rPr>
          <t>CPSB:</t>
        </r>
        <r>
          <rPr>
            <sz val="8"/>
            <color indexed="81"/>
            <rFont val="Tahoma"/>
          </rPr>
          <t xml:space="preserve">
If "1" here, will use if then statement to change heading wording for 3rd line
</t>
        </r>
      </text>
    </comment>
    <comment ref="G25" authorId="1">
      <text>
        <r>
          <rPr>
            <b/>
            <sz val="8"/>
            <color indexed="81"/>
            <rFont val="Tahoma"/>
          </rPr>
          <t>dennis.bent:</t>
        </r>
        <r>
          <rPr>
            <sz val="8"/>
            <color indexed="81"/>
            <rFont val="Tahoma"/>
          </rPr>
          <t xml:space="preserve">
Pat has special permission to pay things off of billhead if &gt;$300 due to events occurring near year end and PO's usually closed out prior to this...</t>
        </r>
      </text>
    </comment>
    <comment ref="AB45" authorId="0">
      <text>
        <r>
          <rPr>
            <b/>
            <sz val="8"/>
            <color indexed="81"/>
            <rFont val="Tahoma"/>
          </rPr>
          <t>CPSB:</t>
        </r>
        <r>
          <rPr>
            <sz val="8"/>
            <color indexed="81"/>
            <rFont val="Tahoma"/>
          </rPr>
          <t xml:space="preserve">
Offset with revenue</t>
        </r>
      </text>
    </comment>
    <comment ref="AR45" authorId="0">
      <text>
        <r>
          <rPr>
            <b/>
            <sz val="8"/>
            <color indexed="81"/>
            <rFont val="Tahoma"/>
          </rPr>
          <t>CPSB:</t>
        </r>
        <r>
          <rPr>
            <sz val="8"/>
            <color indexed="81"/>
            <rFont val="Tahoma"/>
          </rPr>
          <t xml:space="preserve">
Offset with revenue</t>
        </r>
      </text>
    </comment>
    <comment ref="AG47" authorId="0">
      <text>
        <r>
          <rPr>
            <b/>
            <sz val="8"/>
            <color indexed="81"/>
            <rFont val="Tahoma"/>
          </rPr>
          <t>CPSB:</t>
        </r>
        <r>
          <rPr>
            <sz val="8"/>
            <color indexed="81"/>
            <rFont val="Tahoma"/>
          </rPr>
          <t xml:space="preserve">
Risers for choir at Lagrange</t>
        </r>
      </text>
    </comment>
    <comment ref="D49" authorId="0">
      <text>
        <r>
          <rPr>
            <b/>
            <sz val="8"/>
            <color indexed="81"/>
            <rFont val="Tahoma"/>
          </rPr>
          <t>CPSB:</t>
        </r>
        <r>
          <rPr>
            <sz val="8"/>
            <color indexed="81"/>
            <rFont val="Tahoma"/>
          </rPr>
          <t xml:space="preserve">
748 is the new LCB Academy location code. Not to use 031 as is not a base school...
</t>
        </r>
      </text>
    </comment>
    <comment ref="AL50" authorId="0">
      <text>
        <r>
          <rPr>
            <b/>
            <sz val="8"/>
            <color indexed="81"/>
            <rFont val="Tahoma"/>
          </rPr>
          <t>CPSB:</t>
        </r>
        <r>
          <rPr>
            <sz val="8"/>
            <color indexed="81"/>
            <rFont val="Tahoma"/>
          </rPr>
          <t xml:space="preserve">
2 po's for 09-10: shhs and sulphur
will be rolled to next year as budget is in 09-10
</t>
        </r>
      </text>
    </comment>
    <comment ref="F72" authorId="0">
      <text>
        <r>
          <rPr>
            <b/>
            <sz val="8"/>
            <color indexed="81"/>
            <rFont val="Tahoma"/>
          </rPr>
          <t>CPSB:</t>
        </r>
        <r>
          <rPr>
            <sz val="8"/>
            <color indexed="81"/>
            <rFont val="Tahoma"/>
          </rPr>
          <t xml:space="preserve">
Includes the occasional 611511 non teacher that performs the sponsor duties
</t>
        </r>
        <r>
          <rPr>
            <b/>
            <sz val="8"/>
            <color indexed="81"/>
            <rFont val="Tahoma"/>
          </rPr>
          <t>CPSB:</t>
        </r>
        <r>
          <rPr>
            <sz val="8"/>
            <color indexed="81"/>
            <rFont val="Tahoma"/>
          </rPr>
          <t xml:space="preserve">
</t>
        </r>
      </text>
    </comment>
    <comment ref="F74" authorId="0">
      <text>
        <r>
          <rPr>
            <b/>
            <sz val="8"/>
            <color indexed="81"/>
            <rFont val="Tahoma"/>
          </rPr>
          <t>CPSB:</t>
        </r>
        <r>
          <rPr>
            <sz val="8"/>
            <color indexed="81"/>
            <rFont val="Tahoma"/>
          </rPr>
          <t xml:space="preserve">
Includes the occasional nonteacher 611511 that performs the coach duties
</t>
        </r>
      </text>
    </comment>
    <comment ref="F81" authorId="0">
      <text>
        <r>
          <rPr>
            <b/>
            <sz val="8"/>
            <color indexed="81"/>
            <rFont val="Tahoma"/>
          </rPr>
          <t>CPSB:</t>
        </r>
        <r>
          <rPr>
            <sz val="8"/>
            <color indexed="81"/>
            <rFont val="Tahoma"/>
          </rPr>
          <t xml:space="preserve">
Note that these amounts are to be remitted to the school accounts at begin of year via high school department rather than verification and reimbursement for each exp. Detail maintained at ROTC school activity account. IA says fine. KB says fine.
</t>
        </r>
      </text>
    </comment>
    <comment ref="F82" authorId="0">
      <text>
        <r>
          <rPr>
            <b/>
            <sz val="8"/>
            <color indexed="81"/>
            <rFont val="Tahoma"/>
          </rPr>
          <t>CPSB:</t>
        </r>
        <r>
          <rPr>
            <sz val="8"/>
            <color indexed="81"/>
            <rFont val="Tahoma"/>
          </rPr>
          <t xml:space="preserve">
Note that these amounts are to be remitted to the school accounts at begin of year via high school department rather than verification and reimbursement for each exp. Detail maintained at ROTC school activity account. IA says fine. KB says fine.
</t>
        </r>
      </text>
    </comment>
    <comment ref="J83" authorId="0">
      <text>
        <r>
          <rPr>
            <b/>
            <sz val="8"/>
            <color indexed="81"/>
            <rFont val="Tahoma"/>
          </rPr>
          <t>CPSB:</t>
        </r>
        <r>
          <rPr>
            <sz val="8"/>
            <color indexed="81"/>
            <rFont val="Tahoma"/>
          </rPr>
          <t xml:space="preserve">
Includes $5 from dept 91 
</t>
        </r>
      </text>
    </comment>
    <comment ref="G84" authorId="2">
      <text>
        <r>
          <rPr>
            <b/>
            <sz val="8"/>
            <color indexed="81"/>
            <rFont val="Tahoma"/>
          </rPr>
          <t>Dennis Bent:</t>
        </r>
        <r>
          <rPr>
            <sz val="8"/>
            <color indexed="81"/>
            <rFont val="Tahoma"/>
          </rPr>
          <t xml:space="preserve">
CODOFIL</t>
        </r>
      </text>
    </comment>
    <comment ref="F100" authorId="2">
      <text>
        <r>
          <rPr>
            <b/>
            <sz val="8"/>
            <color indexed="81"/>
            <rFont val="Tahoma"/>
          </rPr>
          <t>Dennis Bent:</t>
        </r>
        <r>
          <rPr>
            <sz val="8"/>
            <color indexed="81"/>
            <rFont val="Tahoma"/>
          </rPr>
          <t xml:space="preserve">
NOTE CHANGE OF OBJECT TO REFLECT CORRECT OBJECT</t>
        </r>
      </text>
    </comment>
  </commentList>
</comments>
</file>

<file path=xl/comments9.xml><?xml version="1.0" encoding="utf-8"?>
<comments xmlns="http://schemas.openxmlformats.org/spreadsheetml/2006/main">
  <authors>
    <author>CPSB</author>
    <author>Dennis Bent</author>
  </authors>
  <commentList>
    <comment ref="A3" authorId="0">
      <text>
        <r>
          <rPr>
            <b/>
            <sz val="8"/>
            <color indexed="81"/>
            <rFont val="Tahoma"/>
          </rPr>
          <t>CPSB:</t>
        </r>
        <r>
          <rPr>
            <sz val="8"/>
            <color indexed="81"/>
            <rFont val="Tahoma"/>
          </rPr>
          <t xml:space="preserve">
Remember to change the description from detail to summary when collapsing  worksheet . Also need to affect name change in footer from detail to summary.
</t>
        </r>
      </text>
    </comment>
    <comment ref="G6" authorId="0">
      <text>
        <r>
          <rPr>
            <b/>
            <sz val="8"/>
            <color indexed="81"/>
            <rFont val="Tahoma"/>
          </rPr>
          <t>CPSB:</t>
        </r>
        <r>
          <rPr>
            <sz val="8"/>
            <color indexed="81"/>
            <rFont val="Tahoma"/>
          </rPr>
          <t xml:space="preserve">
Remember to change the description from detail to summary when collapsing  worksheet . Also need to affect name change in footer from detail to summary.
</t>
        </r>
      </text>
    </comment>
    <comment ref="G7" authorId="0">
      <text>
        <r>
          <rPr>
            <b/>
            <sz val="8"/>
            <color indexed="81"/>
            <rFont val="Tahoma"/>
          </rPr>
          <t>CPSB:</t>
        </r>
        <r>
          <rPr>
            <sz val="8"/>
            <color indexed="81"/>
            <rFont val="Tahoma"/>
          </rPr>
          <t xml:space="preserve">
If "1" here, will use if then statement to change heading wording for 3rd line
</t>
        </r>
      </text>
    </comment>
    <comment ref="G15" authorId="0">
      <text>
        <r>
          <rPr>
            <b/>
            <sz val="8"/>
            <color indexed="81"/>
            <rFont val="Tahoma"/>
          </rPr>
          <t>CPSB:</t>
        </r>
        <r>
          <rPr>
            <sz val="8"/>
            <color indexed="81"/>
            <rFont val="Tahoma"/>
          </rPr>
          <t xml:space="preserve">
Was Home Ec</t>
        </r>
      </text>
    </comment>
    <comment ref="B24" authorId="0">
      <text>
        <r>
          <rPr>
            <b/>
            <sz val="8"/>
            <color indexed="81"/>
            <rFont val="Tahoma"/>
          </rPr>
          <t>CPSB:</t>
        </r>
        <r>
          <rPr>
            <sz val="8"/>
            <color indexed="81"/>
            <rFont val="Tahoma"/>
          </rPr>
          <t xml:space="preserve">
Note that this is a new function per the State LAUGH guide adopted Oct 2009</t>
        </r>
      </text>
    </comment>
    <comment ref="B26" authorId="0">
      <text>
        <r>
          <rPr>
            <b/>
            <sz val="8"/>
            <color indexed="81"/>
            <rFont val="Tahoma"/>
          </rPr>
          <t>CPSB:</t>
        </r>
        <r>
          <rPr>
            <sz val="8"/>
            <color indexed="81"/>
            <rFont val="Tahoma"/>
          </rPr>
          <t xml:space="preserve">
Note that this is a new function per the State LAUGH guide adopted Oct 2009</t>
        </r>
      </text>
    </comment>
    <comment ref="G34" authorId="1">
      <text>
        <r>
          <rPr>
            <b/>
            <sz val="8"/>
            <color indexed="81"/>
            <rFont val="Tahoma"/>
          </rPr>
          <t>Dennis Bent:</t>
        </r>
        <r>
          <rPr>
            <sz val="8"/>
            <color indexed="81"/>
            <rFont val="Tahoma"/>
          </rPr>
          <t xml:space="preserve">
Lane Haley's Salary is reclassed from this account to Federal Funds up to point of budget. 
GF picks up benefits for Federal funds however as they are inadequately budgeted!</t>
        </r>
      </text>
    </comment>
  </commentList>
</comments>
</file>

<file path=xl/comments10.xml><?xml version="1.0" encoding="utf-8"?>
<comments xmlns="http://schemas.openxmlformats.org/spreadsheetml/2006/main">
  <authors>
    <author>CPSB</author>
    <author>Dennis Bent</author>
  </authors>
  <commentList>
    <comment ref="A3" authorId="0">
      <text>
        <r>
          <rPr>
            <b/>
            <sz val="8"/>
            <color indexed="81"/>
            <rFont val="Tahoma"/>
          </rPr>
          <t>CPSB:</t>
        </r>
        <r>
          <rPr>
            <sz val="8"/>
            <color indexed="81"/>
            <rFont val="Tahoma"/>
          </rPr>
          <t xml:space="preserve">
Remember to change the description from detail to summary when collapsing  worksheet . Also need to affect name change in footer from detail to summary.
</t>
        </r>
      </text>
    </comment>
    <comment ref="G6" authorId="0">
      <text>
        <r>
          <rPr>
            <b/>
            <sz val="8"/>
            <color indexed="81"/>
            <rFont val="Tahoma"/>
          </rPr>
          <t>CPSB:</t>
        </r>
        <r>
          <rPr>
            <sz val="8"/>
            <color indexed="81"/>
            <rFont val="Tahoma"/>
          </rPr>
          <t xml:space="preserve">
Remember to change the description from detail to summary when collapsing  worksheet . Also need to affect name change in footer from detail to summary.
</t>
        </r>
      </text>
    </comment>
    <comment ref="G7" authorId="0">
      <text>
        <r>
          <rPr>
            <b/>
            <sz val="8"/>
            <color indexed="81"/>
            <rFont val="Tahoma"/>
          </rPr>
          <t>CPSB:</t>
        </r>
        <r>
          <rPr>
            <sz val="8"/>
            <color indexed="81"/>
            <rFont val="Tahoma"/>
          </rPr>
          <t xml:space="preserve">
If "1" here, will use if then statement to change heading wording for 3rd line
</t>
        </r>
      </text>
    </comment>
    <comment ref="G16" authorId="1">
      <text>
        <r>
          <rPr>
            <b/>
            <sz val="8"/>
            <color indexed="81"/>
            <rFont val="Tahoma"/>
          </rPr>
          <t>Dennis Bent:</t>
        </r>
        <r>
          <rPr>
            <sz val="8"/>
            <color indexed="81"/>
            <rFont val="Tahoma"/>
          </rPr>
          <t xml:space="preserve">
Actually this is not picked up by the state grant!! This is why we are over every year!!
</t>
        </r>
      </text>
    </comment>
  </commentList>
</comments>
</file>

<file path=xl/comments11.xml><?xml version="1.0" encoding="utf-8"?>
<comments xmlns="http://schemas.openxmlformats.org/spreadsheetml/2006/main">
  <authors>
    <author>CPSB</author>
    <author>Dennis Bent</author>
  </authors>
  <commentList>
    <comment ref="A3" authorId="0">
      <text>
        <r>
          <rPr>
            <b/>
            <sz val="8"/>
            <color indexed="81"/>
            <rFont val="Tahoma"/>
          </rPr>
          <t>CPSB:</t>
        </r>
        <r>
          <rPr>
            <sz val="8"/>
            <color indexed="81"/>
            <rFont val="Tahoma"/>
          </rPr>
          <t xml:space="preserve">
Remember to change the description from detail to summary when collapsing  worksheet . Also need to affect name change in footer from detail to summary.
</t>
        </r>
      </text>
    </comment>
    <comment ref="G6" authorId="0">
      <text>
        <r>
          <rPr>
            <b/>
            <sz val="8"/>
            <color indexed="81"/>
            <rFont val="Tahoma"/>
          </rPr>
          <t>CPSB:</t>
        </r>
        <r>
          <rPr>
            <sz val="8"/>
            <color indexed="81"/>
            <rFont val="Tahoma"/>
          </rPr>
          <t xml:space="preserve">
Remember to change the description from detail to summary when collapsing  worksheet . Also need to affect name change in footer from detail to summary.
</t>
        </r>
      </text>
    </comment>
    <comment ref="G7" authorId="0">
      <text>
        <r>
          <rPr>
            <b/>
            <sz val="8"/>
            <color indexed="81"/>
            <rFont val="Tahoma"/>
          </rPr>
          <t>CPSB:</t>
        </r>
        <r>
          <rPr>
            <sz val="8"/>
            <color indexed="81"/>
            <rFont val="Tahoma"/>
          </rPr>
          <t xml:space="preserve">
If "1" here, will use if then statement to change heading wording for 3rd line
</t>
        </r>
      </text>
    </comment>
    <comment ref="BB11" authorId="1">
      <text>
        <r>
          <rPr>
            <b/>
            <sz val="8"/>
            <color indexed="81"/>
            <rFont val="Tahoma"/>
          </rPr>
          <t>Dennis Bent:</t>
        </r>
        <r>
          <rPr>
            <sz val="8"/>
            <color indexed="81"/>
            <rFont val="Tahoma"/>
          </rPr>
          <t xml:space="preserve">
NO salary should be coded to 1210 function per PEP master</t>
        </r>
      </text>
    </comment>
  </commentList>
</comments>
</file>

<file path=xl/comments12.xml><?xml version="1.0" encoding="utf-8"?>
<comments xmlns="http://schemas.openxmlformats.org/spreadsheetml/2006/main">
  <authors>
    <author>CPSB</author>
    <author>dennis.bent</author>
    <author>Dennis Bent</author>
  </authors>
  <commentList>
    <comment ref="A3" authorId="0">
      <text>
        <r>
          <rPr>
            <b/>
            <sz val="8"/>
            <color indexed="81"/>
            <rFont val="Tahoma"/>
          </rPr>
          <t>CPSB:</t>
        </r>
        <r>
          <rPr>
            <sz val="8"/>
            <color indexed="81"/>
            <rFont val="Tahoma"/>
          </rPr>
          <t xml:space="preserve">
Remember to change the description from detail to summary when collapsing  worksheet . Also need to affect name change in footer from detail to summary.
</t>
        </r>
      </text>
    </comment>
    <comment ref="G6" authorId="0">
      <text>
        <r>
          <rPr>
            <b/>
            <sz val="8"/>
            <color indexed="81"/>
            <rFont val="Tahoma"/>
          </rPr>
          <t>CPSB:</t>
        </r>
        <r>
          <rPr>
            <sz val="8"/>
            <color indexed="81"/>
            <rFont val="Tahoma"/>
          </rPr>
          <t xml:space="preserve">
Remember to change the description from detail to summary when collapsing  worksheet . Also need to affect name change in footer from detail to summary.
</t>
        </r>
      </text>
    </comment>
    <comment ref="G7" authorId="0">
      <text>
        <r>
          <rPr>
            <b/>
            <sz val="8"/>
            <color indexed="81"/>
            <rFont val="Tahoma"/>
          </rPr>
          <t>CPSB:</t>
        </r>
        <r>
          <rPr>
            <sz val="8"/>
            <color indexed="81"/>
            <rFont val="Tahoma"/>
          </rPr>
          <t xml:space="preserve">
If "1" here, will use if then statement to change heading wording for 3rd line
</t>
        </r>
      </text>
    </comment>
    <comment ref="G15" authorId="1">
      <text>
        <r>
          <rPr>
            <b/>
            <sz val="8"/>
            <color indexed="81"/>
            <rFont val="Tahoma"/>
          </rPr>
          <t>dennis.bent:</t>
        </r>
        <r>
          <rPr>
            <sz val="8"/>
            <color indexed="81"/>
            <rFont val="Tahoma"/>
          </rPr>
          <t xml:space="preserve">
This should have 
</t>
        </r>
      </text>
    </comment>
    <comment ref="G21" authorId="1">
      <text>
        <r>
          <rPr>
            <b/>
            <sz val="8"/>
            <color indexed="81"/>
            <rFont val="Tahoma"/>
          </rPr>
          <t>dennis.bent:</t>
        </r>
        <r>
          <rPr>
            <sz val="8"/>
            <color indexed="81"/>
            <rFont val="Tahoma"/>
          </rPr>
          <t xml:space="preserve">
This should have 
</t>
        </r>
      </text>
    </comment>
    <comment ref="G23" authorId="1">
      <text>
        <r>
          <rPr>
            <b/>
            <sz val="8"/>
            <color indexed="81"/>
            <rFont val="Tahoma"/>
          </rPr>
          <t>dennis.bent:</t>
        </r>
        <r>
          <rPr>
            <sz val="8"/>
            <color indexed="81"/>
            <rFont val="Tahoma"/>
          </rPr>
          <t xml:space="preserve">
This should have 
</t>
        </r>
      </text>
    </comment>
    <comment ref="G24" authorId="1">
      <text>
        <r>
          <rPr>
            <b/>
            <sz val="8"/>
            <color indexed="81"/>
            <rFont val="Tahoma"/>
          </rPr>
          <t>dennis.bent:</t>
        </r>
        <r>
          <rPr>
            <sz val="8"/>
            <color indexed="81"/>
            <rFont val="Tahoma"/>
          </rPr>
          <t xml:space="preserve">
This should have 
</t>
        </r>
      </text>
    </comment>
    <comment ref="G33" authorId="0">
      <text>
        <r>
          <rPr>
            <b/>
            <sz val="8"/>
            <color indexed="81"/>
            <rFont val="Tahoma"/>
          </rPr>
          <t>CPSB:</t>
        </r>
        <r>
          <rPr>
            <sz val="8"/>
            <color indexed="81"/>
            <rFont val="Tahoma"/>
          </rPr>
          <t xml:space="preserve">
</t>
        </r>
      </text>
    </comment>
    <comment ref="G42" authorId="0">
      <text>
        <r>
          <rPr>
            <b/>
            <sz val="8"/>
            <color indexed="81"/>
            <rFont val="Tahoma"/>
          </rPr>
          <t>CPSB:</t>
        </r>
        <r>
          <rPr>
            <sz val="8"/>
            <color indexed="81"/>
            <rFont val="Tahoma"/>
          </rPr>
          <t xml:space="preserve">
June Burke position
</t>
        </r>
      </text>
    </comment>
    <comment ref="B52" authorId="2">
      <text>
        <r>
          <rPr>
            <b/>
            <sz val="8"/>
            <color indexed="81"/>
            <rFont val="Tahoma"/>
          </rPr>
          <t>Dennis Bent:</t>
        </r>
        <r>
          <rPr>
            <sz val="8"/>
            <color indexed="81"/>
            <rFont val="Tahoma"/>
          </rPr>
          <t xml:space="preserve">
</t>
        </r>
      </text>
    </comment>
    <comment ref="B53" authorId="2">
      <text>
        <r>
          <rPr>
            <b/>
            <sz val="8"/>
            <color indexed="81"/>
            <rFont val="Tahoma"/>
          </rPr>
          <t>Dennis Bent:</t>
        </r>
        <r>
          <rPr>
            <sz val="8"/>
            <color indexed="81"/>
            <rFont val="Tahoma"/>
          </rPr>
          <t xml:space="preserve">
</t>
        </r>
      </text>
    </comment>
    <comment ref="B54" authorId="2">
      <text>
        <r>
          <rPr>
            <b/>
            <sz val="8"/>
            <color indexed="81"/>
            <rFont val="Tahoma"/>
          </rPr>
          <t>Dennis Bent:</t>
        </r>
        <r>
          <rPr>
            <sz val="8"/>
            <color indexed="81"/>
            <rFont val="Tahoma"/>
          </rPr>
          <t xml:space="preserve">
</t>
        </r>
      </text>
    </comment>
  </commentList>
</comments>
</file>

<file path=xl/comments13.xml><?xml version="1.0" encoding="utf-8"?>
<comments xmlns="http://schemas.openxmlformats.org/spreadsheetml/2006/main">
  <authors>
    <author>CPSB</author>
  </authors>
  <commentList>
    <comment ref="A3" authorId="0">
      <text>
        <r>
          <rPr>
            <b/>
            <sz val="8"/>
            <color indexed="81"/>
            <rFont val="Tahoma"/>
          </rPr>
          <t>CPSB:</t>
        </r>
        <r>
          <rPr>
            <sz val="8"/>
            <color indexed="81"/>
            <rFont val="Tahoma"/>
          </rPr>
          <t xml:space="preserve">
Remember to change the description from detail to summary when collapsing  worksheet . Also need to affect name change in footer from detail to summary.
</t>
        </r>
      </text>
    </comment>
    <comment ref="G6" authorId="0">
      <text>
        <r>
          <rPr>
            <b/>
            <sz val="8"/>
            <color indexed="81"/>
            <rFont val="Tahoma"/>
          </rPr>
          <t>CPSB:</t>
        </r>
        <r>
          <rPr>
            <sz val="8"/>
            <color indexed="81"/>
            <rFont val="Tahoma"/>
          </rPr>
          <t xml:space="preserve">
Remember to change the description from detail to summary when collapsing  worksheet . Also need to affect name change in footer from detail to summary.
</t>
        </r>
      </text>
    </comment>
    <comment ref="G7" authorId="0">
      <text>
        <r>
          <rPr>
            <b/>
            <sz val="8"/>
            <color indexed="81"/>
            <rFont val="Tahoma"/>
          </rPr>
          <t>CPSB:</t>
        </r>
        <r>
          <rPr>
            <sz val="8"/>
            <color indexed="81"/>
            <rFont val="Tahoma"/>
          </rPr>
          <t xml:space="preserve">
If "1" here, will use if then statement to change heading wording for 3rd line
</t>
        </r>
      </text>
    </comment>
  </commentList>
</comments>
</file>

<file path=xl/comments14.xml><?xml version="1.0" encoding="utf-8"?>
<comments xmlns="http://schemas.openxmlformats.org/spreadsheetml/2006/main">
  <authors>
    <author>CPSB</author>
    <author>dennis.bent</author>
    <author>Dennis Bent</author>
  </authors>
  <commentList>
    <comment ref="A3" authorId="0">
      <text>
        <r>
          <rPr>
            <b/>
            <sz val="8"/>
            <color indexed="81"/>
            <rFont val="Tahoma"/>
          </rPr>
          <t>CPSB:</t>
        </r>
        <r>
          <rPr>
            <sz val="8"/>
            <color indexed="81"/>
            <rFont val="Tahoma"/>
          </rPr>
          <t xml:space="preserve">
Remember to change the description from detail to summary when collapsing  worksheet . Also need to affect name change in footer from detail to summary.
</t>
        </r>
      </text>
    </comment>
    <comment ref="G6" authorId="0">
      <text>
        <r>
          <rPr>
            <b/>
            <sz val="8"/>
            <color indexed="81"/>
            <rFont val="Tahoma"/>
          </rPr>
          <t>CPSB:</t>
        </r>
        <r>
          <rPr>
            <sz val="8"/>
            <color indexed="81"/>
            <rFont val="Tahoma"/>
          </rPr>
          <t xml:space="preserve">
Remember to change the description from detail to summary when collapsing  worksheet . Also need to affect name change in footer from detail to summary.
</t>
        </r>
      </text>
    </comment>
    <comment ref="G7" authorId="0">
      <text>
        <r>
          <rPr>
            <b/>
            <sz val="8"/>
            <color indexed="81"/>
            <rFont val="Tahoma"/>
          </rPr>
          <t>CPSB:</t>
        </r>
        <r>
          <rPr>
            <sz val="8"/>
            <color indexed="81"/>
            <rFont val="Tahoma"/>
          </rPr>
          <t xml:space="preserve">
If "1" here, will use if then statement to change heading wording for 3rd line
</t>
        </r>
      </text>
    </comment>
    <comment ref="G15" authorId="1">
      <text>
        <r>
          <rPr>
            <b/>
            <sz val="8"/>
            <color indexed="81"/>
            <rFont val="Tahoma"/>
          </rPr>
          <t>dennis.bent:</t>
        </r>
        <r>
          <rPr>
            <sz val="8"/>
            <color indexed="81"/>
            <rFont val="Tahoma"/>
          </rPr>
          <t xml:space="preserve">
Budget S/B $13,000 per justification sheet DETAIL, tho summary was typed wrong.</t>
        </r>
      </text>
    </comment>
    <comment ref="F25" authorId="2">
      <text>
        <r>
          <rPr>
            <b/>
            <sz val="8"/>
            <color indexed="81"/>
            <rFont val="Tahoma"/>
          </rPr>
          <t>Dennis Bent:</t>
        </r>
        <r>
          <rPr>
            <sz val="8"/>
            <color indexed="81"/>
            <rFont val="Tahoma"/>
          </rPr>
          <t xml:space="preserve">
Special Ed??? For supers per description</t>
        </r>
      </text>
    </comment>
  </commentList>
</comments>
</file>

<file path=xl/comments15.xml><?xml version="1.0" encoding="utf-8"?>
<comments xmlns="http://schemas.openxmlformats.org/spreadsheetml/2006/main">
  <authors>
    <author>CPSB</author>
    <author>dennis.bent</author>
  </authors>
  <commentList>
    <comment ref="A3" authorId="0">
      <text>
        <r>
          <rPr>
            <b/>
            <sz val="8"/>
            <color indexed="81"/>
            <rFont val="Tahoma"/>
          </rPr>
          <t>CPSB:</t>
        </r>
        <r>
          <rPr>
            <sz val="8"/>
            <color indexed="81"/>
            <rFont val="Tahoma"/>
          </rPr>
          <t xml:space="preserve">
Remember to change the description from detail to summary when collapsing  worksheet . Also need to affect name change in footer from detail to summary.
</t>
        </r>
      </text>
    </comment>
    <comment ref="G6" authorId="0">
      <text>
        <r>
          <rPr>
            <b/>
            <sz val="8"/>
            <color indexed="81"/>
            <rFont val="Tahoma"/>
          </rPr>
          <t>CPSB:</t>
        </r>
        <r>
          <rPr>
            <sz val="8"/>
            <color indexed="81"/>
            <rFont val="Tahoma"/>
          </rPr>
          <t xml:space="preserve">
Remember to change the description from detail to summary when collapsing  worksheet . Also need to affect name change in footer from detail to summary.
</t>
        </r>
      </text>
    </comment>
    <comment ref="G7" authorId="0">
      <text>
        <r>
          <rPr>
            <b/>
            <sz val="8"/>
            <color indexed="81"/>
            <rFont val="Tahoma"/>
          </rPr>
          <t>CPSB:</t>
        </r>
        <r>
          <rPr>
            <sz val="8"/>
            <color indexed="81"/>
            <rFont val="Tahoma"/>
          </rPr>
          <t xml:space="preserve">
If "1" here, will use if then statement to change heading wording for 3rd line
</t>
        </r>
      </text>
    </comment>
    <comment ref="G14" authorId="1">
      <text>
        <r>
          <rPr>
            <b/>
            <sz val="8"/>
            <color indexed="81"/>
            <rFont val="Tahoma"/>
          </rPr>
          <t>dennis.bent:</t>
        </r>
        <r>
          <rPr>
            <sz val="8"/>
            <color indexed="81"/>
            <rFont val="Tahoma"/>
          </rPr>
          <t xml:space="preserve">
Rosteet location, will be reimbursed via Police Jury at year end (at 2/7/02). To be sort of truant officer for alternative school (?).</t>
        </r>
      </text>
    </comment>
  </commentList>
</comments>
</file>

<file path=xl/comments16.xml><?xml version="1.0" encoding="utf-8"?>
<comments xmlns="http://schemas.openxmlformats.org/spreadsheetml/2006/main">
  <authors>
    <author>CPSB</author>
  </authors>
  <commentList>
    <comment ref="A3" authorId="0">
      <text>
        <r>
          <rPr>
            <b/>
            <sz val="8"/>
            <color indexed="81"/>
            <rFont val="Tahoma"/>
          </rPr>
          <t>CPSB:</t>
        </r>
        <r>
          <rPr>
            <sz val="8"/>
            <color indexed="81"/>
            <rFont val="Tahoma"/>
          </rPr>
          <t xml:space="preserve">
Remember to change the description from detail to summary when collapsing  worksheet . Also need to affect name change in footer from detail to summary.
</t>
        </r>
      </text>
    </comment>
    <comment ref="G6" authorId="0">
      <text>
        <r>
          <rPr>
            <b/>
            <sz val="8"/>
            <color indexed="81"/>
            <rFont val="Tahoma"/>
          </rPr>
          <t>CPSB:</t>
        </r>
        <r>
          <rPr>
            <sz val="8"/>
            <color indexed="81"/>
            <rFont val="Tahoma"/>
          </rPr>
          <t xml:space="preserve">
Remember to change the description from detail to summary when collapsing  worksheet . Also need to affect name change in footer from detail to summary.
</t>
        </r>
      </text>
    </comment>
    <comment ref="G7" authorId="0">
      <text>
        <r>
          <rPr>
            <b/>
            <sz val="8"/>
            <color indexed="81"/>
            <rFont val="Tahoma"/>
          </rPr>
          <t>CPSB:</t>
        </r>
        <r>
          <rPr>
            <sz val="8"/>
            <color indexed="81"/>
            <rFont val="Tahoma"/>
          </rPr>
          <t xml:space="preserve">
If "1" here, will use if then statement to change heading wording for 3rd line
</t>
        </r>
      </text>
    </comment>
    <comment ref="A10" authorId="0">
      <text>
        <r>
          <rPr>
            <b/>
            <sz val="8"/>
            <color indexed="81"/>
            <rFont val="Tahoma"/>
          </rPr>
          <t>CPSB:</t>
        </r>
        <r>
          <rPr>
            <sz val="8"/>
            <color indexed="81"/>
            <rFont val="Tahoma"/>
          </rPr>
          <t xml:space="preserve">
746 location
</t>
        </r>
      </text>
    </comment>
  </commentList>
</comments>
</file>

<file path=xl/comments17.xml><?xml version="1.0" encoding="utf-8"?>
<comments xmlns="http://schemas.openxmlformats.org/spreadsheetml/2006/main">
  <authors>
    <author>CPSB</author>
  </authors>
  <commentList>
    <comment ref="A3" authorId="0">
      <text>
        <r>
          <rPr>
            <b/>
            <sz val="8"/>
            <color indexed="81"/>
            <rFont val="Tahoma"/>
          </rPr>
          <t>CPSB:</t>
        </r>
        <r>
          <rPr>
            <sz val="8"/>
            <color indexed="81"/>
            <rFont val="Tahoma"/>
          </rPr>
          <t xml:space="preserve">
Remember to change the description from detail to summary when collapsing  worksheet . Also need to affect name change in footer from detail to summary.
</t>
        </r>
      </text>
    </comment>
    <comment ref="G6" authorId="0">
      <text>
        <r>
          <rPr>
            <b/>
            <sz val="8"/>
            <color indexed="81"/>
            <rFont val="Tahoma"/>
          </rPr>
          <t>CPSB:</t>
        </r>
        <r>
          <rPr>
            <sz val="8"/>
            <color indexed="81"/>
            <rFont val="Tahoma"/>
          </rPr>
          <t xml:space="preserve">
Remember to change the description from detail to summary when collapsing  worksheet . Also need to affect name change in footer from detail to summary.
</t>
        </r>
      </text>
    </comment>
    <comment ref="G7" authorId="0">
      <text>
        <r>
          <rPr>
            <b/>
            <sz val="8"/>
            <color indexed="81"/>
            <rFont val="Tahoma"/>
          </rPr>
          <t>CPSB:</t>
        </r>
        <r>
          <rPr>
            <sz val="8"/>
            <color indexed="81"/>
            <rFont val="Tahoma"/>
          </rPr>
          <t xml:space="preserve">
If "1" here, will use if then statement to change heading wording for 3rd line
</t>
        </r>
      </text>
    </comment>
    <comment ref="B11" authorId="0">
      <text>
        <r>
          <rPr>
            <b/>
            <sz val="8"/>
            <color indexed="81"/>
            <rFont val="Tahoma"/>
          </rPr>
          <t>CPSB:</t>
        </r>
        <r>
          <rPr>
            <sz val="8"/>
            <color indexed="81"/>
            <rFont val="Tahoma"/>
          </rPr>
          <t xml:space="preserve">
Need to reclass the function to include in 70% calculation...
</t>
        </r>
      </text>
    </comment>
    <comment ref="AL14" authorId="0">
      <text>
        <r>
          <rPr>
            <b/>
            <sz val="8"/>
            <color indexed="81"/>
            <rFont val="Tahoma"/>
          </rPr>
          <t>CPSB:</t>
        </r>
        <r>
          <rPr>
            <sz val="8"/>
            <color indexed="81"/>
            <rFont val="Tahoma"/>
          </rPr>
          <t xml:space="preserve">
Part to janitorial allocation in D24
</t>
        </r>
      </text>
    </comment>
  </commentList>
</comments>
</file>

<file path=xl/comments18.xml><?xml version="1.0" encoding="utf-8"?>
<comments xmlns="http://schemas.openxmlformats.org/spreadsheetml/2006/main">
  <authors>
    <author>CPSB</author>
    <author>Dennis Bent</author>
    <author>dennis.bent</author>
  </authors>
  <commentList>
    <comment ref="A3" authorId="0">
      <text>
        <r>
          <rPr>
            <b/>
            <sz val="8"/>
            <color indexed="81"/>
            <rFont val="Tahoma"/>
          </rPr>
          <t>CPSB:</t>
        </r>
        <r>
          <rPr>
            <sz val="8"/>
            <color indexed="81"/>
            <rFont val="Tahoma"/>
          </rPr>
          <t xml:space="preserve">
Remember to change the description from detail to summary when collapsing  worksheet . Also need to affect name change in footer from detail to summary.
</t>
        </r>
      </text>
    </comment>
    <comment ref="G6" authorId="0">
      <text>
        <r>
          <rPr>
            <b/>
            <sz val="8"/>
            <color indexed="81"/>
            <rFont val="Tahoma"/>
          </rPr>
          <t>CPSB:</t>
        </r>
        <r>
          <rPr>
            <sz val="8"/>
            <color indexed="81"/>
            <rFont val="Tahoma"/>
          </rPr>
          <t xml:space="preserve">
Remember to change the description from detail to summary when collapsing  worksheet . Also need to affect name change in footer from detail to summary.
</t>
        </r>
      </text>
    </comment>
    <comment ref="G7" authorId="0">
      <text>
        <r>
          <rPr>
            <b/>
            <sz val="8"/>
            <color indexed="81"/>
            <rFont val="Tahoma"/>
          </rPr>
          <t>CPSB:</t>
        </r>
        <r>
          <rPr>
            <sz val="8"/>
            <color indexed="81"/>
            <rFont val="Tahoma"/>
          </rPr>
          <t xml:space="preserve">
If "1" here, will use if then statement to change heading wording for 3rd line
</t>
        </r>
      </text>
    </comment>
    <comment ref="B12" authorId="1">
      <text>
        <r>
          <rPr>
            <b/>
            <sz val="8"/>
            <color indexed="81"/>
            <rFont val="Tahoma"/>
          </rPr>
          <t>Dennis Bent:</t>
        </r>
        <r>
          <rPr>
            <sz val="8"/>
            <color indexed="81"/>
            <rFont val="Tahoma"/>
          </rPr>
          <t xml:space="preserve">
Changed for 06. Somehow was 2252 in past
</t>
        </r>
      </text>
    </comment>
    <comment ref="G12" authorId="2">
      <text>
        <r>
          <rPr>
            <b/>
            <sz val="8"/>
            <color indexed="81"/>
            <rFont val="Tahoma"/>
          </rPr>
          <t>dennis.bent:</t>
        </r>
        <r>
          <rPr>
            <sz val="8"/>
            <color indexed="81"/>
            <rFont val="Tahoma"/>
          </rPr>
          <t xml:space="preserve">
Combined the special education portion with the regular for 2002</t>
        </r>
      </text>
    </comment>
    <comment ref="B26" authorId="1">
      <text>
        <r>
          <rPr>
            <b/>
            <sz val="8"/>
            <color indexed="81"/>
            <rFont val="Tahoma"/>
          </rPr>
          <t>Dennis Bent:</t>
        </r>
        <r>
          <rPr>
            <sz val="8"/>
            <color indexed="81"/>
            <rFont val="Tahoma"/>
          </rPr>
          <t xml:space="preserve">
S/B central service 2540-change for 2004-2005.</t>
        </r>
      </text>
    </comment>
    <comment ref="B28" authorId="1">
      <text>
        <r>
          <rPr>
            <b/>
            <sz val="8"/>
            <color indexed="81"/>
            <rFont val="Tahoma"/>
          </rPr>
          <t>Dennis Bent:</t>
        </r>
        <r>
          <rPr>
            <sz val="8"/>
            <color indexed="81"/>
            <rFont val="Tahoma"/>
          </rPr>
          <t xml:space="preserve">
S/B central service 2540-change for 2004-2005.</t>
        </r>
      </text>
    </comment>
    <comment ref="B29" authorId="1">
      <text>
        <r>
          <rPr>
            <b/>
            <sz val="8"/>
            <color indexed="81"/>
            <rFont val="Tahoma"/>
          </rPr>
          <t>Dennis Bent:</t>
        </r>
        <r>
          <rPr>
            <sz val="8"/>
            <color indexed="81"/>
            <rFont val="Tahoma"/>
          </rPr>
          <t xml:space="preserve">
S/B central service 2540-change for 2004-2005.</t>
        </r>
      </text>
    </comment>
    <comment ref="B30" authorId="1">
      <text>
        <r>
          <rPr>
            <b/>
            <sz val="8"/>
            <color indexed="81"/>
            <rFont val="Tahoma"/>
          </rPr>
          <t>Dennis Bent:</t>
        </r>
        <r>
          <rPr>
            <sz val="8"/>
            <color indexed="81"/>
            <rFont val="Tahoma"/>
          </rPr>
          <t xml:space="preserve">
S/B central service 2540-change for 2004-2005.</t>
        </r>
      </text>
    </comment>
    <comment ref="B31" authorId="1">
      <text>
        <r>
          <rPr>
            <b/>
            <sz val="8"/>
            <color indexed="81"/>
            <rFont val="Tahoma"/>
          </rPr>
          <t>Dennis Bent:</t>
        </r>
        <r>
          <rPr>
            <sz val="8"/>
            <color indexed="81"/>
            <rFont val="Tahoma"/>
          </rPr>
          <t xml:space="preserve">
S/B central service 2540-change for 2004-2005.</t>
        </r>
      </text>
    </comment>
    <comment ref="F31" authorId="1">
      <text>
        <r>
          <rPr>
            <b/>
            <sz val="8"/>
            <color indexed="81"/>
            <rFont val="Tahoma"/>
          </rPr>
          <t>Dennis Bent:</t>
        </r>
        <r>
          <rPr>
            <sz val="8"/>
            <color indexed="81"/>
            <rFont val="Tahoma"/>
          </rPr>
          <t xml:space="preserve">
Add at behest of Kerry for tracking of expenditures purposes</t>
        </r>
      </text>
    </comment>
    <comment ref="B32" authorId="1">
      <text>
        <r>
          <rPr>
            <b/>
            <sz val="8"/>
            <color indexed="81"/>
            <rFont val="Tahoma"/>
          </rPr>
          <t>Dennis Bent:</t>
        </r>
        <r>
          <rPr>
            <sz val="8"/>
            <color indexed="81"/>
            <rFont val="Tahoma"/>
          </rPr>
          <t xml:space="preserve">
S/B central service 2540-change for 2004-2005.</t>
        </r>
      </text>
    </comment>
    <comment ref="F33" authorId="0">
      <text>
        <r>
          <rPr>
            <b/>
            <sz val="8"/>
            <color indexed="81"/>
            <rFont val="Tahoma"/>
          </rPr>
          <t>CPSB:</t>
        </r>
        <r>
          <rPr>
            <sz val="8"/>
            <color indexed="81"/>
            <rFont val="Tahoma"/>
          </rPr>
          <t xml:space="preserve">
Changed from 611117 due to 2/21/06 org chart changes approved by board.</t>
        </r>
      </text>
    </comment>
    <comment ref="G34" authorId="1">
      <text>
        <r>
          <rPr>
            <b/>
            <sz val="8"/>
            <color indexed="81"/>
            <rFont val="Tahoma"/>
          </rPr>
          <t>Dennis Bent:</t>
        </r>
        <r>
          <rPr>
            <sz val="8"/>
            <color indexed="81"/>
            <rFont val="Tahoma"/>
          </rPr>
          <t xml:space="preserve">
Includes summer help</t>
        </r>
      </text>
    </comment>
  </commentList>
</comments>
</file>

<file path=xl/comments19.xml><?xml version="1.0" encoding="utf-8"?>
<comments xmlns="http://schemas.openxmlformats.org/spreadsheetml/2006/main">
  <authors>
    <author>CPSB</author>
  </authors>
  <commentList>
    <comment ref="A3" authorId="0">
      <text>
        <r>
          <rPr>
            <b/>
            <sz val="8"/>
            <color indexed="81"/>
            <rFont val="Tahoma"/>
          </rPr>
          <t>CPSB:</t>
        </r>
        <r>
          <rPr>
            <sz val="8"/>
            <color indexed="81"/>
            <rFont val="Tahoma"/>
          </rPr>
          <t xml:space="preserve">
Remember to change the description from detail to summary when collapsing  worksheet . Also need to affect name change in footer from detail to summary.
</t>
        </r>
      </text>
    </comment>
    <comment ref="G6" authorId="0">
      <text>
        <r>
          <rPr>
            <b/>
            <sz val="8"/>
            <color indexed="81"/>
            <rFont val="Tahoma"/>
          </rPr>
          <t>CPSB:</t>
        </r>
        <r>
          <rPr>
            <sz val="8"/>
            <color indexed="81"/>
            <rFont val="Tahoma"/>
          </rPr>
          <t xml:space="preserve">
Remember to change the description from detail to summary when collapsing  worksheet . Also need to affect name change in footer from detail to summary.
</t>
        </r>
      </text>
    </comment>
    <comment ref="G7" authorId="0">
      <text>
        <r>
          <rPr>
            <b/>
            <sz val="8"/>
            <color indexed="81"/>
            <rFont val="Tahoma"/>
          </rPr>
          <t>CPSB:</t>
        </r>
        <r>
          <rPr>
            <sz val="8"/>
            <color indexed="81"/>
            <rFont val="Tahoma"/>
          </rPr>
          <t xml:space="preserve">
If "1" here, will use if then statement to change heading wording for 3rd line
</t>
        </r>
      </text>
    </comment>
  </commentList>
</comments>
</file>

<file path=xl/comments20.xml><?xml version="1.0" encoding="utf-8"?>
<comments xmlns="http://schemas.openxmlformats.org/spreadsheetml/2006/main">
  <authors>
    <author>CPSB</author>
  </authors>
  <commentList>
    <comment ref="A3" authorId="0">
      <text>
        <r>
          <rPr>
            <b/>
            <sz val="8"/>
            <color indexed="81"/>
            <rFont val="Tahoma"/>
          </rPr>
          <t>CPSB:</t>
        </r>
        <r>
          <rPr>
            <sz val="8"/>
            <color indexed="81"/>
            <rFont val="Tahoma"/>
          </rPr>
          <t xml:space="preserve">
Remember to change the description from detail to summary when collapsing  worksheet . Also need to affect name change in footer from detail to summary.
</t>
        </r>
      </text>
    </comment>
    <comment ref="G6" authorId="0">
      <text>
        <r>
          <rPr>
            <b/>
            <sz val="8"/>
            <color indexed="81"/>
            <rFont val="Tahoma"/>
          </rPr>
          <t>CPSB:</t>
        </r>
        <r>
          <rPr>
            <sz val="8"/>
            <color indexed="81"/>
            <rFont val="Tahoma"/>
          </rPr>
          <t xml:space="preserve">
Remember to change the description from detail to summary when collapsing  worksheet . Also need to affect name change in footer from detail to summary.
</t>
        </r>
      </text>
    </comment>
    <comment ref="G7" authorId="0">
      <text>
        <r>
          <rPr>
            <b/>
            <sz val="8"/>
            <color indexed="81"/>
            <rFont val="Tahoma"/>
          </rPr>
          <t>CPSB:</t>
        </r>
        <r>
          <rPr>
            <sz val="8"/>
            <color indexed="81"/>
            <rFont val="Tahoma"/>
          </rPr>
          <t xml:space="preserve">
If "1" here, will use if then statement to change heading wording for 3rd line
</t>
        </r>
      </text>
    </comment>
    <comment ref="AX13" authorId="0">
      <text>
        <r>
          <rPr>
            <b/>
            <sz val="8"/>
            <color indexed="81"/>
            <rFont val="Tahoma"/>
          </rPr>
          <t>CPSB:</t>
        </r>
        <r>
          <rPr>
            <sz val="8"/>
            <color indexed="81"/>
            <rFont val="Tahoma"/>
          </rPr>
          <t xml:space="preserve">
Legal services for green card for teacher (French teacher)
</t>
        </r>
      </text>
    </comment>
    <comment ref="Z15" authorId="0">
      <text>
        <r>
          <rPr>
            <b/>
            <sz val="8"/>
            <color indexed="81"/>
            <rFont val="Tahoma"/>
          </rPr>
          <t>CPSB:</t>
        </r>
        <r>
          <rPr>
            <sz val="8"/>
            <color indexed="81"/>
            <rFont val="Tahoma"/>
          </rPr>
          <t xml:space="preserve">
Due to new requirement that all new employees be drug tested.
</t>
        </r>
      </text>
    </comment>
    <comment ref="AX24" authorId="0">
      <text>
        <r>
          <rPr>
            <b/>
            <sz val="8"/>
            <color indexed="81"/>
            <rFont val="Tahoma"/>
          </rPr>
          <t>CPSB:</t>
        </r>
        <r>
          <rPr>
            <sz val="8"/>
            <color indexed="81"/>
            <rFont val="Tahoma"/>
          </rPr>
          <t xml:space="preserve">
Transfer from Maintenance for supplies for scanners
</t>
        </r>
      </text>
    </comment>
  </commentList>
</comments>
</file>

<file path=xl/comments21.xml><?xml version="1.0" encoding="utf-8"?>
<comments xmlns="http://schemas.openxmlformats.org/spreadsheetml/2006/main">
  <authors>
    <author>CPSB</author>
  </authors>
  <commentList>
    <comment ref="A3" authorId="0">
      <text>
        <r>
          <rPr>
            <b/>
            <sz val="8"/>
            <color indexed="81"/>
            <rFont val="Tahoma"/>
          </rPr>
          <t>CPSB:</t>
        </r>
        <r>
          <rPr>
            <sz val="8"/>
            <color indexed="81"/>
            <rFont val="Tahoma"/>
          </rPr>
          <t xml:space="preserve">
Remember to change the description from detail to summary when collapsing  worksheet . Also need to affect name change in footer from detail to summary.
</t>
        </r>
      </text>
    </comment>
    <comment ref="G6" authorId="0">
      <text>
        <r>
          <rPr>
            <b/>
            <sz val="8"/>
            <color indexed="81"/>
            <rFont val="Tahoma"/>
          </rPr>
          <t>CPSB:</t>
        </r>
        <r>
          <rPr>
            <sz val="8"/>
            <color indexed="81"/>
            <rFont val="Tahoma"/>
          </rPr>
          <t xml:space="preserve">
Remember to change the description from detail to summary when collapsing  worksheet . Also need to affect name change in footer from detail to summary.
</t>
        </r>
      </text>
    </comment>
    <comment ref="G7" authorId="0">
      <text>
        <r>
          <rPr>
            <b/>
            <sz val="8"/>
            <color indexed="81"/>
            <rFont val="Tahoma"/>
          </rPr>
          <t>CPSB:</t>
        </r>
        <r>
          <rPr>
            <sz val="8"/>
            <color indexed="81"/>
            <rFont val="Tahoma"/>
          </rPr>
          <t xml:space="preserve">
If "1" here, will use if then statement to change heading wording for 3rd line
</t>
        </r>
      </text>
    </comment>
  </commentList>
</comments>
</file>

<file path=xl/comments22.xml><?xml version="1.0" encoding="utf-8"?>
<comments xmlns="http://schemas.openxmlformats.org/spreadsheetml/2006/main">
  <authors>
    <author>CPSB</author>
  </authors>
  <commentList>
    <comment ref="A3" authorId="0">
      <text>
        <r>
          <rPr>
            <b/>
            <sz val="8"/>
            <color indexed="81"/>
            <rFont val="Tahoma"/>
          </rPr>
          <t>CPSB:</t>
        </r>
        <r>
          <rPr>
            <sz val="8"/>
            <color indexed="81"/>
            <rFont val="Tahoma"/>
          </rPr>
          <t xml:space="preserve">
Remember to change the description from detail to summary when collapsing  worksheet . Also need to affect name change in footer from detail to summary.
</t>
        </r>
      </text>
    </comment>
    <comment ref="G6" authorId="0">
      <text>
        <r>
          <rPr>
            <b/>
            <sz val="8"/>
            <color indexed="81"/>
            <rFont val="Tahoma"/>
          </rPr>
          <t>CPSB:</t>
        </r>
        <r>
          <rPr>
            <sz val="8"/>
            <color indexed="81"/>
            <rFont val="Tahoma"/>
          </rPr>
          <t xml:space="preserve">
Remember to change the description from detail to summary when collapsing  worksheet . Also need to affect name change in footer from detail to summary.
</t>
        </r>
      </text>
    </comment>
    <comment ref="G7" authorId="0">
      <text>
        <r>
          <rPr>
            <b/>
            <sz val="8"/>
            <color indexed="81"/>
            <rFont val="Tahoma"/>
          </rPr>
          <t>CPSB:</t>
        </r>
        <r>
          <rPr>
            <sz val="8"/>
            <color indexed="81"/>
            <rFont val="Tahoma"/>
          </rPr>
          <t xml:space="preserve">
If "1" here, will use if then statement to change heading wording for 3rd line
</t>
        </r>
      </text>
    </comment>
    <comment ref="AR19" authorId="0">
      <text>
        <r>
          <rPr>
            <b/>
            <sz val="8"/>
            <color indexed="81"/>
            <rFont val="Tahoma"/>
          </rPr>
          <t>CPSB:</t>
        </r>
        <r>
          <rPr>
            <sz val="8"/>
            <color indexed="81"/>
            <rFont val="Tahoma"/>
          </rPr>
          <t xml:space="preserve">
-200?</t>
        </r>
      </text>
    </comment>
  </commentList>
</comments>
</file>

<file path=xl/comments23.xml><?xml version="1.0" encoding="utf-8"?>
<comments xmlns="http://schemas.openxmlformats.org/spreadsheetml/2006/main">
  <authors>
    <author>CPSB</author>
  </authors>
  <commentList>
    <comment ref="A3" authorId="0">
      <text>
        <r>
          <rPr>
            <b/>
            <sz val="8"/>
            <color indexed="81"/>
            <rFont val="Tahoma"/>
          </rPr>
          <t>CPSB:</t>
        </r>
        <r>
          <rPr>
            <sz val="8"/>
            <color indexed="81"/>
            <rFont val="Tahoma"/>
          </rPr>
          <t xml:space="preserve">
Remember to change the description from detail to summary when collapsing  worksheet . Also need to affect name change in footer from detail to summary.
</t>
        </r>
      </text>
    </comment>
    <comment ref="G6" authorId="0">
      <text>
        <r>
          <rPr>
            <b/>
            <sz val="8"/>
            <color indexed="81"/>
            <rFont val="Tahoma"/>
          </rPr>
          <t>CPSB:</t>
        </r>
        <r>
          <rPr>
            <sz val="8"/>
            <color indexed="81"/>
            <rFont val="Tahoma"/>
          </rPr>
          <t xml:space="preserve">
Remember to change the description from detail to summary when collapsing  worksheet . Also need to affect name change in footer from detail to summary.
</t>
        </r>
      </text>
    </comment>
    <comment ref="G7" authorId="0">
      <text>
        <r>
          <rPr>
            <b/>
            <sz val="8"/>
            <color indexed="81"/>
            <rFont val="Tahoma"/>
          </rPr>
          <t>CPSB:</t>
        </r>
        <r>
          <rPr>
            <sz val="8"/>
            <color indexed="81"/>
            <rFont val="Tahoma"/>
          </rPr>
          <t xml:space="preserve">
If "1" here, will use if then statement to change heading wording for 3rd line
</t>
        </r>
      </text>
    </comment>
  </commentList>
</comments>
</file>

<file path=xl/comments24.xml><?xml version="1.0" encoding="utf-8"?>
<comments xmlns="http://schemas.openxmlformats.org/spreadsheetml/2006/main">
  <authors>
    <author>CPSB</author>
  </authors>
  <commentList>
    <comment ref="A3" authorId="0">
      <text>
        <r>
          <rPr>
            <b/>
            <sz val="8"/>
            <color indexed="81"/>
            <rFont val="Tahoma"/>
          </rPr>
          <t>CPSB:</t>
        </r>
        <r>
          <rPr>
            <sz val="8"/>
            <color indexed="81"/>
            <rFont val="Tahoma"/>
          </rPr>
          <t xml:space="preserve">
Remember to change the description from detail to summary when collapsing  worksheet . Also need to affect name change in footer from detail to summary.
</t>
        </r>
      </text>
    </comment>
    <comment ref="G6" authorId="0">
      <text>
        <r>
          <rPr>
            <b/>
            <sz val="8"/>
            <color indexed="81"/>
            <rFont val="Tahoma"/>
          </rPr>
          <t>CPSB:</t>
        </r>
        <r>
          <rPr>
            <sz val="8"/>
            <color indexed="81"/>
            <rFont val="Tahoma"/>
          </rPr>
          <t xml:space="preserve">
Remember to change the description from detail to summary when collapsing  worksheet . Also need to affect name change in footer from detail to summary.
</t>
        </r>
      </text>
    </comment>
    <comment ref="G7" authorId="0">
      <text>
        <r>
          <rPr>
            <b/>
            <sz val="8"/>
            <color indexed="81"/>
            <rFont val="Tahoma"/>
          </rPr>
          <t>CPSB:</t>
        </r>
        <r>
          <rPr>
            <sz val="8"/>
            <color indexed="81"/>
            <rFont val="Tahoma"/>
          </rPr>
          <t xml:space="preserve">
If "1" here, will use if then statement to change heading wording for 3rd line
</t>
        </r>
      </text>
    </comment>
    <comment ref="G15" authorId="0">
      <text>
        <r>
          <rPr>
            <b/>
            <sz val="8"/>
            <color indexed="81"/>
            <rFont val="Tahoma"/>
          </rPr>
          <t>CPSB:</t>
        </r>
        <r>
          <rPr>
            <sz val="8"/>
            <color indexed="81"/>
            <rFont val="Tahoma"/>
          </rPr>
          <t xml:space="preserve">
To share with Purchasing
</t>
        </r>
      </text>
    </comment>
    <comment ref="AO15" authorId="0">
      <text>
        <r>
          <rPr>
            <b/>
            <sz val="8"/>
            <color indexed="81"/>
            <rFont val="Tahoma"/>
          </rPr>
          <t>CPSB:</t>
        </r>
        <r>
          <rPr>
            <sz val="8"/>
            <color indexed="81"/>
            <rFont val="Tahoma"/>
          </rPr>
          <t xml:space="preserve">
Need for revision. Wayne needs to move from R/U to rental. Still has the old Xerox but to share cost of Purch high speed copier.
</t>
        </r>
      </text>
    </comment>
    <comment ref="AP15" authorId="0">
      <text>
        <r>
          <rPr>
            <b/>
            <sz val="8"/>
            <color indexed="81"/>
            <rFont val="Tahoma"/>
          </rPr>
          <t>CPSB:</t>
        </r>
        <r>
          <rPr>
            <sz val="8"/>
            <color indexed="81"/>
            <rFont val="Tahoma"/>
          </rPr>
          <t xml:space="preserve">
Need for revision. Wayne needs to move from R/U to rental. Still has the old Xerox but to share cost of Purch high speed copier.
</t>
        </r>
      </text>
    </comment>
  </commentList>
</comments>
</file>

<file path=xl/comments25.xml><?xml version="1.0" encoding="utf-8"?>
<comments xmlns="http://schemas.openxmlformats.org/spreadsheetml/2006/main">
  <authors>
    <author>CPSB</author>
    <author>Dennis Bent</author>
  </authors>
  <commentList>
    <comment ref="A3" authorId="0">
      <text>
        <r>
          <rPr>
            <b/>
            <sz val="8"/>
            <color indexed="81"/>
            <rFont val="Tahoma"/>
          </rPr>
          <t>CPSB:</t>
        </r>
        <r>
          <rPr>
            <sz val="8"/>
            <color indexed="81"/>
            <rFont val="Tahoma"/>
          </rPr>
          <t xml:space="preserve">
Remember to change the description from detail to summary when collapsing  worksheet . Also need to affect name change in footer from detail to summary.
</t>
        </r>
      </text>
    </comment>
    <comment ref="G6" authorId="0">
      <text>
        <r>
          <rPr>
            <b/>
            <sz val="8"/>
            <color indexed="81"/>
            <rFont val="Tahoma"/>
          </rPr>
          <t>CPSB:</t>
        </r>
        <r>
          <rPr>
            <sz val="8"/>
            <color indexed="81"/>
            <rFont val="Tahoma"/>
          </rPr>
          <t xml:space="preserve">
Remember to change the description from detail to summary when collapsing  worksheet . Also need to affect name change in footer from detail to summary.
</t>
        </r>
      </text>
    </comment>
    <comment ref="G7" authorId="0">
      <text>
        <r>
          <rPr>
            <b/>
            <sz val="8"/>
            <color indexed="81"/>
            <rFont val="Tahoma"/>
          </rPr>
          <t>CPSB:</t>
        </r>
        <r>
          <rPr>
            <sz val="8"/>
            <color indexed="81"/>
            <rFont val="Tahoma"/>
          </rPr>
          <t xml:space="preserve">
If "1" here, will use if then statement to change heading wording for 3rd line
</t>
        </r>
      </text>
    </comment>
    <comment ref="BI11" authorId="0">
      <text>
        <r>
          <rPr>
            <b/>
            <sz val="8"/>
            <color indexed="81"/>
            <rFont val="Tahoma"/>
          </rPr>
          <t>CPSB:</t>
        </r>
        <r>
          <rPr>
            <sz val="8"/>
            <color indexed="81"/>
            <rFont val="Tahoma"/>
          </rPr>
          <t xml:space="preserve">
probably 200 k will be accrueds, march was 184k
P/Y 2171400</t>
        </r>
      </text>
    </comment>
    <comment ref="G17" authorId="1">
      <text>
        <r>
          <rPr>
            <b/>
            <sz val="8"/>
            <color indexed="81"/>
            <rFont val="Tahoma"/>
          </rPr>
          <t>Dennis Bent:</t>
        </r>
        <r>
          <rPr>
            <sz val="8"/>
            <color indexed="81"/>
            <rFont val="Tahoma"/>
          </rPr>
          <t xml:space="preserve">
AKA accident insurance
</t>
        </r>
      </text>
    </comment>
    <comment ref="G18" authorId="1">
      <text>
        <r>
          <rPr>
            <b/>
            <sz val="8"/>
            <color indexed="81"/>
            <rFont val="Tahoma"/>
          </rPr>
          <t>Dennis Bent:</t>
        </r>
        <r>
          <rPr>
            <sz val="8"/>
            <color indexed="81"/>
            <rFont val="Tahoma"/>
          </rPr>
          <t xml:space="preserve">
Used to pay amounts that come within our insurance deductible of $100,000 that is designated in the Fund Balance</t>
        </r>
      </text>
    </comment>
    <comment ref="B19" authorId="0">
      <text>
        <r>
          <rPr>
            <b/>
            <sz val="8"/>
            <color indexed="81"/>
            <rFont val="Tahoma"/>
          </rPr>
          <t>CPSB:</t>
        </r>
        <r>
          <rPr>
            <sz val="8"/>
            <color indexed="81"/>
            <rFont val="Tahoma"/>
          </rPr>
          <t xml:space="preserve">
Has been 2311 forever but since is auto needs to be  </t>
        </r>
      </text>
    </comment>
    <comment ref="AL19" authorId="0">
      <text>
        <r>
          <rPr>
            <b/>
            <sz val="8"/>
            <color indexed="81"/>
            <rFont val="Tahoma"/>
          </rPr>
          <t xml:space="preserve">CPSB:
70 k over + 5 to year end
</t>
        </r>
      </text>
    </comment>
    <comment ref="B27" authorId="0">
      <text>
        <r>
          <rPr>
            <b/>
            <sz val="8"/>
            <color indexed="81"/>
            <rFont val="Tahoma"/>
          </rPr>
          <t>CPSB:</t>
        </r>
        <r>
          <rPr>
            <sz val="8"/>
            <color indexed="81"/>
            <rFont val="Tahoma"/>
          </rPr>
          <t xml:space="preserve">
Vehicle ops</t>
        </r>
      </text>
    </comment>
  </commentList>
</comments>
</file>

<file path=xl/comments26.xml><?xml version="1.0" encoding="utf-8"?>
<comments xmlns="http://schemas.openxmlformats.org/spreadsheetml/2006/main">
  <authors>
    <author>CPSB</author>
    <author>Dennis Bent</author>
  </authors>
  <commentList>
    <comment ref="A3" authorId="0">
      <text>
        <r>
          <rPr>
            <b/>
            <sz val="8"/>
            <color indexed="81"/>
            <rFont val="Tahoma"/>
          </rPr>
          <t>CPSB:</t>
        </r>
        <r>
          <rPr>
            <sz val="8"/>
            <color indexed="81"/>
            <rFont val="Tahoma"/>
          </rPr>
          <t xml:space="preserve">
Remember to change the description from detail to summary when collapsing  worksheet . Also need to affect name change in footer from detail to summary.
</t>
        </r>
      </text>
    </comment>
    <comment ref="G6" authorId="0">
      <text>
        <r>
          <rPr>
            <b/>
            <sz val="8"/>
            <color indexed="81"/>
            <rFont val="Tahoma"/>
          </rPr>
          <t>CPSB:</t>
        </r>
        <r>
          <rPr>
            <sz val="8"/>
            <color indexed="81"/>
            <rFont val="Tahoma"/>
          </rPr>
          <t xml:space="preserve">
Remember to change the description from detail to summary when collapsing  worksheet . Also need to affect name change in footer from detail to summary.
</t>
        </r>
      </text>
    </comment>
    <comment ref="G7" authorId="0">
      <text>
        <r>
          <rPr>
            <b/>
            <sz val="8"/>
            <color indexed="81"/>
            <rFont val="Tahoma"/>
          </rPr>
          <t>CPSB:</t>
        </r>
        <r>
          <rPr>
            <sz val="8"/>
            <color indexed="81"/>
            <rFont val="Tahoma"/>
          </rPr>
          <t xml:space="preserve">
If "1" here, will use if then statement to change heading wording for 3rd line
</t>
        </r>
      </text>
    </comment>
    <comment ref="B18" authorId="1">
      <text>
        <r>
          <rPr>
            <b/>
            <sz val="8"/>
            <color indexed="81"/>
            <rFont val="Tahoma"/>
          </rPr>
          <t>Dennis Bent:</t>
        </r>
        <r>
          <rPr>
            <sz val="8"/>
            <color indexed="81"/>
            <rFont val="Tahoma"/>
          </rPr>
          <t xml:space="preserve">
NEED TO CHANGE TO 2620</t>
        </r>
      </text>
    </comment>
  </commentList>
</comments>
</file>

<file path=xl/comments27.xml><?xml version="1.0" encoding="utf-8"?>
<comments xmlns="http://schemas.openxmlformats.org/spreadsheetml/2006/main">
  <authors>
    <author>CPSB</author>
    <author>Dennis Bent</author>
    <author>dennis.bent</author>
  </authors>
  <commentList>
    <comment ref="A3" authorId="0">
      <text>
        <r>
          <rPr>
            <b/>
            <sz val="8"/>
            <color indexed="81"/>
            <rFont val="Tahoma"/>
          </rPr>
          <t>CPSB:</t>
        </r>
        <r>
          <rPr>
            <sz val="8"/>
            <color indexed="81"/>
            <rFont val="Tahoma"/>
          </rPr>
          <t xml:space="preserve">
Remember to change the description from detail to summary when collapsing  worksheet . Also need to affect name change in footer from detail to summary.
</t>
        </r>
      </text>
    </comment>
    <comment ref="G6" authorId="0">
      <text>
        <r>
          <rPr>
            <b/>
            <sz val="8"/>
            <color indexed="81"/>
            <rFont val="Tahoma"/>
          </rPr>
          <t>CPSB:</t>
        </r>
        <r>
          <rPr>
            <sz val="8"/>
            <color indexed="81"/>
            <rFont val="Tahoma"/>
          </rPr>
          <t xml:space="preserve">
Remember to change the description from detail to summary when collapsing  worksheet . Also need to affect name change in footer from detail to summary.
</t>
        </r>
      </text>
    </comment>
    <comment ref="G7" authorId="0">
      <text>
        <r>
          <rPr>
            <b/>
            <sz val="8"/>
            <color indexed="81"/>
            <rFont val="Tahoma"/>
          </rPr>
          <t>CPSB:</t>
        </r>
        <r>
          <rPr>
            <sz val="8"/>
            <color indexed="81"/>
            <rFont val="Tahoma"/>
          </rPr>
          <t xml:space="preserve">
If "1" here, will use if then statement to change heading wording for 3rd line
</t>
        </r>
      </text>
    </comment>
    <comment ref="F14" authorId="1">
      <text>
        <r>
          <rPr>
            <b/>
            <sz val="8"/>
            <color indexed="81"/>
            <rFont val="Tahoma"/>
          </rPr>
          <t>Dennis Bent:</t>
        </r>
        <r>
          <rPr>
            <sz val="8"/>
            <color indexed="81"/>
            <rFont val="Tahoma"/>
          </rPr>
          <t xml:space="preserve">
S/B a 119 object
</t>
        </r>
      </text>
    </comment>
    <comment ref="G14" authorId="2">
      <text>
        <r>
          <rPr>
            <b/>
            <sz val="8"/>
            <color indexed="81"/>
            <rFont val="Tahoma"/>
          </rPr>
          <t>dennis.bent:</t>
        </r>
        <r>
          <rPr>
            <sz val="8"/>
            <color indexed="81"/>
            <rFont val="Tahoma"/>
          </rPr>
          <t xml:space="preserve">
New description for new position for 2002 year.</t>
        </r>
      </text>
    </comment>
    <comment ref="G15" authorId="2">
      <text>
        <r>
          <rPr>
            <b/>
            <sz val="8"/>
            <color indexed="81"/>
            <rFont val="Tahoma"/>
          </rPr>
          <t>dennis.bent:</t>
        </r>
        <r>
          <rPr>
            <sz val="8"/>
            <color indexed="81"/>
            <rFont val="Tahoma"/>
          </rPr>
          <t xml:space="preserve">
Need budget transfer for online course taken by teacher to improve skills</t>
        </r>
      </text>
    </comment>
    <comment ref="F17" authorId="1">
      <text>
        <r>
          <rPr>
            <b/>
            <sz val="8"/>
            <color indexed="81"/>
            <rFont val="Tahoma"/>
          </rPr>
          <t>Dennis Bent:</t>
        </r>
        <r>
          <rPr>
            <sz val="8"/>
            <color indexed="81"/>
            <rFont val="Tahoma"/>
          </rPr>
          <t xml:space="preserve">
Have at both 611116 and this. S/B 111 as administrator.</t>
        </r>
      </text>
    </comment>
    <comment ref="F21" authorId="1">
      <text>
        <r>
          <rPr>
            <b/>
            <sz val="8"/>
            <color indexed="81"/>
            <rFont val="Tahoma"/>
          </rPr>
          <t>Dennis Bent:</t>
        </r>
        <r>
          <rPr>
            <sz val="8"/>
            <color indexed="81"/>
            <rFont val="Tahoma"/>
          </rPr>
          <t xml:space="preserve">
Was 611824
</t>
        </r>
      </text>
    </comment>
    <comment ref="G21" authorId="1">
      <text>
        <r>
          <rPr>
            <b/>
            <sz val="8"/>
            <color indexed="81"/>
            <rFont val="Tahoma"/>
          </rPr>
          <t>Dennis Bent:</t>
        </r>
        <r>
          <rPr>
            <sz val="8"/>
            <color indexed="81"/>
            <rFont val="Tahoma"/>
          </rPr>
          <t xml:space="preserve">
</t>
        </r>
        <r>
          <rPr>
            <sz val="8"/>
            <color indexed="81"/>
            <rFont val="Tahoma"/>
          </rPr>
          <t>Lisa Mullet and Tiff Broussard
S/B 60285  in cost for '03 but budget only 3500!!!!</t>
        </r>
      </text>
    </comment>
    <comment ref="G32" authorId="1">
      <text>
        <r>
          <rPr>
            <b/>
            <sz val="8"/>
            <color indexed="81"/>
            <rFont val="Tahoma"/>
          </rPr>
          <t>Dennis Bent:</t>
        </r>
        <r>
          <rPr>
            <sz val="8"/>
            <color indexed="81"/>
            <rFont val="Tahoma"/>
          </rPr>
          <t xml:space="preserve">
Mullet and Mason</t>
        </r>
      </text>
    </comment>
    <comment ref="AD35" authorId="0">
      <text>
        <r>
          <rPr>
            <b/>
            <sz val="8"/>
            <color indexed="81"/>
            <rFont val="Tahoma"/>
          </rPr>
          <t>CPSB:</t>
        </r>
        <r>
          <rPr>
            <sz val="8"/>
            <color indexed="81"/>
            <rFont val="Tahoma"/>
          </rPr>
          <t xml:space="preserve">
This was 'closed' out but should have been in line to be repaid per Paula in A/P
</t>
        </r>
      </text>
    </comment>
    <comment ref="AT35" authorId="0">
      <text>
        <r>
          <rPr>
            <b/>
            <sz val="8"/>
            <color indexed="81"/>
            <rFont val="Tahoma"/>
          </rPr>
          <t>CPSB:</t>
        </r>
        <r>
          <rPr>
            <sz val="8"/>
            <color indexed="81"/>
            <rFont val="Tahoma"/>
          </rPr>
          <t xml:space="preserve">
This was 'closed' out but should have been in line to be repaid per Paula in A/P
</t>
        </r>
      </text>
    </comment>
    <comment ref="G40" authorId="1">
      <text>
        <r>
          <rPr>
            <b/>
            <sz val="8"/>
            <color indexed="81"/>
            <rFont val="Tahoma"/>
          </rPr>
          <t>Dennis Bent:</t>
        </r>
        <r>
          <rPr>
            <sz val="8"/>
            <color indexed="81"/>
            <rFont val="Tahoma"/>
          </rPr>
          <t xml:space="preserve">
Michael Franks
</t>
        </r>
      </text>
    </comment>
    <comment ref="Z47" authorId="0">
      <text>
        <r>
          <rPr>
            <b/>
            <sz val="8"/>
            <color indexed="81"/>
            <rFont val="Tahoma"/>
          </rPr>
          <t xml:space="preserve">CPSB
2 parts from MIS budget
</t>
        </r>
      </text>
    </comment>
    <comment ref="G49" authorId="1">
      <text>
        <r>
          <rPr>
            <b/>
            <sz val="8"/>
            <color indexed="81"/>
            <rFont val="Tahoma"/>
          </rPr>
          <t>Dennis Bent:</t>
        </r>
        <r>
          <rPr>
            <sz val="8"/>
            <color indexed="81"/>
            <rFont val="Tahoma"/>
          </rPr>
          <t xml:space="preserve">
new 2003 year end
</t>
        </r>
      </text>
    </comment>
  </commentList>
</comments>
</file>

<file path=xl/comments28.xml><?xml version="1.0" encoding="utf-8"?>
<comments xmlns="http://schemas.openxmlformats.org/spreadsheetml/2006/main">
  <authors>
    <author>CPSB</author>
    <author>Dennis Bent</author>
  </authors>
  <commentList>
    <comment ref="A3" authorId="0">
      <text>
        <r>
          <rPr>
            <b/>
            <sz val="8"/>
            <color indexed="81"/>
            <rFont val="Tahoma"/>
          </rPr>
          <t>CPSB:</t>
        </r>
        <r>
          <rPr>
            <sz val="8"/>
            <color indexed="81"/>
            <rFont val="Tahoma"/>
          </rPr>
          <t xml:space="preserve">
Remember to change the description from detail to summary when collapsing  worksheet . Also need to affect name change in footer from detail to summary.
</t>
        </r>
      </text>
    </comment>
    <comment ref="G6" authorId="0">
      <text>
        <r>
          <rPr>
            <b/>
            <sz val="8"/>
            <color indexed="81"/>
            <rFont val="Tahoma"/>
          </rPr>
          <t>CPSB:</t>
        </r>
        <r>
          <rPr>
            <sz val="8"/>
            <color indexed="81"/>
            <rFont val="Tahoma"/>
          </rPr>
          <t xml:space="preserve">
Remember to change the description from detail to summary when collapsing  worksheet . Also need to affect name change in footer from detail to summary.
</t>
        </r>
      </text>
    </comment>
    <comment ref="G7" authorId="0">
      <text>
        <r>
          <rPr>
            <b/>
            <sz val="8"/>
            <color indexed="81"/>
            <rFont val="Tahoma"/>
          </rPr>
          <t>CPSB:</t>
        </r>
        <r>
          <rPr>
            <sz val="8"/>
            <color indexed="81"/>
            <rFont val="Tahoma"/>
          </rPr>
          <t xml:space="preserve">
If "1" here, will use if then statement to change heading wording for 3rd line
</t>
        </r>
      </text>
    </comment>
    <comment ref="G22" authorId="1">
      <text>
        <r>
          <rPr>
            <b/>
            <sz val="8"/>
            <color indexed="81"/>
            <rFont val="Tahoma"/>
          </rPr>
          <t>Dennis Bent:</t>
        </r>
        <r>
          <rPr>
            <sz val="8"/>
            <color indexed="81"/>
            <rFont val="Tahoma"/>
          </rPr>
          <t xml:space="preserve">
Police Jury, change to rate in October.</t>
        </r>
      </text>
    </comment>
    <comment ref="J22" authorId="0">
      <text>
        <r>
          <rPr>
            <b/>
            <sz val="8"/>
            <color indexed="81"/>
            <rFont val="Tahoma"/>
          </rPr>
          <t>CPSB:</t>
        </r>
        <r>
          <rPr>
            <sz val="8"/>
            <color indexed="81"/>
            <rFont val="Tahoma"/>
          </rPr>
          <t xml:space="preserve">
Sheriff's office will reimburse us for these costs. Need to override until the check is received. 9/28/06
</t>
        </r>
      </text>
    </comment>
    <comment ref="G28" authorId="1">
      <text>
        <r>
          <rPr>
            <b/>
            <sz val="8"/>
            <color indexed="81"/>
            <rFont val="Tahoma"/>
          </rPr>
          <t>Dennis Bent:</t>
        </r>
        <r>
          <rPr>
            <sz val="8"/>
            <color indexed="81"/>
            <rFont val="Tahoma"/>
          </rPr>
          <t xml:space="preserve">
New for 2003-2004
</t>
        </r>
      </text>
    </comment>
    <comment ref="AG31" authorId="0">
      <text>
        <r>
          <rPr>
            <b/>
            <sz val="8"/>
            <color indexed="81"/>
            <rFont val="Tahoma"/>
          </rPr>
          <t>Balance on the Simon Properties budget no longer needed as last payment made.</t>
        </r>
      </text>
    </comment>
    <comment ref="G32" authorId="1">
      <text>
        <r>
          <rPr>
            <b/>
            <sz val="8"/>
            <color indexed="81"/>
            <rFont val="Tahoma"/>
          </rPr>
          <t>Dennis Bent:</t>
        </r>
        <r>
          <rPr>
            <sz val="8"/>
            <color indexed="81"/>
            <rFont val="Tahoma"/>
          </rPr>
          <t xml:space="preserve">
Total Loan Proceeds:
$407,237.79-
Const-301754
Arch-18065.70
Phone/Wiring-3850
Security-2661
Phone-993.20
File-35507
Office furn-4486.47
29532.67
Phone System-10387.75
</t>
        </r>
      </text>
    </comment>
  </commentList>
</comments>
</file>

<file path=xl/comments29.xml><?xml version="1.0" encoding="utf-8"?>
<comments xmlns="http://schemas.openxmlformats.org/spreadsheetml/2006/main">
  <authors>
    <author>CPSB</author>
    <author>dennis.bent</author>
    <author>Dennis Bent</author>
  </authors>
  <commentList>
    <comment ref="A3" authorId="0">
      <text>
        <r>
          <rPr>
            <b/>
            <sz val="8"/>
            <color indexed="81"/>
            <rFont val="Tahoma"/>
          </rPr>
          <t>CPSB:</t>
        </r>
        <r>
          <rPr>
            <sz val="8"/>
            <color indexed="81"/>
            <rFont val="Tahoma"/>
          </rPr>
          <t xml:space="preserve">
Remember to change the description from detail to summary when collapsing  worksheet . Also need to affect name change in footer from detail to summary.
</t>
        </r>
      </text>
    </comment>
    <comment ref="G6" authorId="0">
      <text>
        <r>
          <rPr>
            <b/>
            <sz val="8"/>
            <color indexed="81"/>
            <rFont val="Tahoma"/>
          </rPr>
          <t>CPSB:</t>
        </r>
        <r>
          <rPr>
            <sz val="8"/>
            <color indexed="81"/>
            <rFont val="Tahoma"/>
          </rPr>
          <t xml:space="preserve">
Remember to change the description from detail to summary when collapsing  worksheet . Also need to affect name change in footer from detail to summary.
</t>
        </r>
      </text>
    </comment>
    <comment ref="G7" authorId="0">
      <text>
        <r>
          <rPr>
            <b/>
            <sz val="8"/>
            <color indexed="81"/>
            <rFont val="Tahoma"/>
          </rPr>
          <t>CPSB:</t>
        </r>
        <r>
          <rPr>
            <sz val="8"/>
            <color indexed="81"/>
            <rFont val="Tahoma"/>
          </rPr>
          <t xml:space="preserve">
If "1" here, will use if then statement to change heading wording for 3rd line
</t>
        </r>
      </text>
    </comment>
    <comment ref="G11" authorId="1">
      <text>
        <r>
          <rPr>
            <b/>
            <sz val="8"/>
            <color indexed="81"/>
            <rFont val="Tahoma"/>
          </rPr>
          <t>dennis.bent:</t>
        </r>
        <r>
          <rPr>
            <sz val="8"/>
            <color indexed="81"/>
            <rFont val="Tahoma"/>
          </rPr>
          <t xml:space="preserve">
Combined the special education portion with the regular for 2002
</t>
        </r>
      </text>
    </comment>
    <comment ref="AB11" authorId="0">
      <text>
        <r>
          <rPr>
            <b/>
            <sz val="8"/>
            <color indexed="81"/>
            <rFont val="Tahoma"/>
          </rPr>
          <t>CPSB:</t>
        </r>
        <r>
          <rPr>
            <sz val="8"/>
            <color indexed="81"/>
            <rFont val="Tahoma"/>
          </rPr>
          <t xml:space="preserve">
ALREADY OVERBUDGET AT 8/25/08</t>
        </r>
      </text>
    </comment>
    <comment ref="AG11" authorId="0">
      <text>
        <r>
          <rPr>
            <b/>
            <sz val="8"/>
            <color indexed="81"/>
            <rFont val="Tahoma"/>
          </rPr>
          <t>CPSB:</t>
        </r>
        <r>
          <rPr>
            <sz val="8"/>
            <color indexed="81"/>
            <rFont val="Tahoma"/>
          </rPr>
          <t xml:space="preserve">
ALREADY OVERBUDGET AT 8/25/08</t>
        </r>
      </text>
    </comment>
    <comment ref="AR11" authorId="0">
      <text>
        <r>
          <rPr>
            <b/>
            <sz val="8"/>
            <color indexed="81"/>
            <rFont val="Tahoma"/>
          </rPr>
          <t>CPSB:</t>
        </r>
        <r>
          <rPr>
            <sz val="8"/>
            <color indexed="81"/>
            <rFont val="Tahoma"/>
          </rPr>
          <t xml:space="preserve">
ALREADY OVERBUDGET AT 8/25/08</t>
        </r>
      </text>
    </comment>
    <comment ref="Z13" authorId="0">
      <text>
        <r>
          <rPr>
            <b/>
            <sz val="8"/>
            <color indexed="81"/>
            <rFont val="Tahoma"/>
          </rPr>
          <t>CPSB:</t>
        </r>
        <r>
          <rPr>
            <sz val="8"/>
            <color indexed="81"/>
            <rFont val="Tahoma"/>
          </rPr>
          <t xml:space="preserve">
Allocated at year end based on SWAG For Maintenance purposes
</t>
        </r>
      </text>
    </comment>
    <comment ref="Z14" authorId="0">
      <text>
        <r>
          <rPr>
            <b/>
            <sz val="8"/>
            <color indexed="81"/>
            <rFont val="Tahoma"/>
          </rPr>
          <t>CPSB:</t>
        </r>
        <r>
          <rPr>
            <sz val="8"/>
            <color indexed="81"/>
            <rFont val="Tahoma"/>
          </rPr>
          <t xml:space="preserve">
Allocated based on students
</t>
        </r>
      </text>
    </comment>
    <comment ref="AX23" authorId="0">
      <text>
        <r>
          <rPr>
            <b/>
            <sz val="8"/>
            <color indexed="81"/>
            <rFont val="Tahoma"/>
          </rPr>
          <t>CPSB:</t>
        </r>
        <r>
          <rPr>
            <sz val="8"/>
            <color indexed="81"/>
            <rFont val="Tahoma"/>
          </rPr>
          <t xml:space="preserve">
</t>
        </r>
        <r>
          <rPr>
            <b/>
            <sz val="8"/>
            <color indexed="81"/>
            <rFont val="Tahoma"/>
          </rPr>
          <t>CPSB:</t>
        </r>
        <r>
          <rPr>
            <sz val="8"/>
            <color indexed="81"/>
            <rFont val="Tahoma"/>
          </rPr>
          <t xml:space="preserve">
Move auction items
</t>
        </r>
      </text>
    </comment>
    <comment ref="F25" authorId="2">
      <text>
        <r>
          <rPr>
            <b/>
            <sz val="8"/>
            <color indexed="81"/>
            <rFont val="Tahoma"/>
          </rPr>
          <t>Dennis Bent:
Equipment to use 673024</t>
        </r>
        <r>
          <rPr>
            <sz val="8"/>
            <color indexed="81"/>
            <rFont val="Tahoma"/>
          </rPr>
          <t xml:space="preserve">
</t>
        </r>
      </text>
    </comment>
  </commentList>
</comments>
</file>

<file path=xl/comments30.xml><?xml version="1.0" encoding="utf-8"?>
<comments xmlns="http://schemas.openxmlformats.org/spreadsheetml/2006/main">
  <authors>
    <author>CPSB</author>
    <author>Dennis Bent</author>
  </authors>
  <commentList>
    <comment ref="A3" authorId="0">
      <text>
        <r>
          <rPr>
            <b/>
            <sz val="8"/>
            <color indexed="81"/>
            <rFont val="Tahoma"/>
          </rPr>
          <t>CPSB:</t>
        </r>
        <r>
          <rPr>
            <sz val="8"/>
            <color indexed="81"/>
            <rFont val="Tahoma"/>
          </rPr>
          <t xml:space="preserve">
Remember to change the description from detail to summary when collapsing  worksheet . Also need to affect name change in footer from detail to summary.
</t>
        </r>
      </text>
    </comment>
    <comment ref="G6" authorId="0">
      <text>
        <r>
          <rPr>
            <b/>
            <sz val="8"/>
            <color indexed="81"/>
            <rFont val="Tahoma"/>
          </rPr>
          <t>CPSB:</t>
        </r>
        <r>
          <rPr>
            <sz val="8"/>
            <color indexed="81"/>
            <rFont val="Tahoma"/>
          </rPr>
          <t xml:space="preserve">
Remember to change the description from detail to summary when collapsing  worksheet . Also need to affect name change in footer from detail to summary.
</t>
        </r>
      </text>
    </comment>
    <comment ref="G7" authorId="0">
      <text>
        <r>
          <rPr>
            <b/>
            <sz val="8"/>
            <color indexed="81"/>
            <rFont val="Tahoma"/>
          </rPr>
          <t>CPSB:</t>
        </r>
        <r>
          <rPr>
            <sz val="8"/>
            <color indexed="81"/>
            <rFont val="Tahoma"/>
          </rPr>
          <t xml:space="preserve">
If "1" here, will use if then statement to change heading wording for 3rd line
</t>
        </r>
      </text>
    </comment>
    <comment ref="G14" authorId="0">
      <text>
        <r>
          <rPr>
            <b/>
            <sz val="8"/>
            <color indexed="81"/>
            <rFont val="Tahoma"/>
          </rPr>
          <t>CPSB:</t>
        </r>
        <r>
          <rPr>
            <sz val="8"/>
            <color indexed="81"/>
            <rFont val="Tahoma"/>
          </rPr>
          <t xml:space="preserve">
For small equipment &lt;$1,000
</t>
        </r>
      </text>
    </comment>
    <comment ref="C18" authorId="1">
      <text>
        <r>
          <rPr>
            <b/>
            <sz val="8"/>
            <color indexed="81"/>
            <rFont val="Tahoma"/>
          </rPr>
          <t>Dennis Bent:</t>
        </r>
        <r>
          <rPr>
            <sz val="8"/>
            <color indexed="81"/>
            <rFont val="Tahoma"/>
          </rPr>
          <t xml:space="preserve">
Moved from transportation
</t>
        </r>
      </text>
    </comment>
    <comment ref="C19" authorId="1">
      <text>
        <r>
          <rPr>
            <b/>
            <sz val="8"/>
            <color indexed="81"/>
            <rFont val="Tahoma"/>
          </rPr>
          <t>Dennis Bent:</t>
        </r>
        <r>
          <rPr>
            <sz val="8"/>
            <color indexed="81"/>
            <rFont val="Tahoma"/>
          </rPr>
          <t xml:space="preserve">
Moved from transportation
</t>
        </r>
      </text>
    </comment>
    <comment ref="P19" authorId="0">
      <text>
        <r>
          <rPr>
            <b/>
            <sz val="8"/>
            <color indexed="81"/>
            <rFont val="Tahoma"/>
          </rPr>
          <t>CPSB:</t>
        </r>
        <r>
          <rPr>
            <sz val="8"/>
            <color indexed="81"/>
            <rFont val="Tahoma"/>
          </rPr>
          <t xml:space="preserve">
62844 is all needed per reallocation
</t>
        </r>
      </text>
    </comment>
    <comment ref="R19" authorId="0">
      <text>
        <r>
          <rPr>
            <b/>
            <sz val="8"/>
            <color indexed="81"/>
            <rFont val="Tahoma"/>
          </rPr>
          <t>CPSB:</t>
        </r>
        <r>
          <rPr>
            <sz val="8"/>
            <color indexed="81"/>
            <rFont val="Tahoma"/>
          </rPr>
          <t xml:space="preserve">
62844 is all needed per reallocation
</t>
        </r>
      </text>
    </comment>
    <comment ref="V19" authorId="0">
      <text>
        <r>
          <rPr>
            <b/>
            <sz val="8"/>
            <color indexed="81"/>
            <rFont val="Tahoma"/>
          </rPr>
          <t>CPSB:</t>
        </r>
        <r>
          <rPr>
            <sz val="8"/>
            <color indexed="81"/>
            <rFont val="Tahoma"/>
          </rPr>
          <t xml:space="preserve">
62844 is all needed per reallocation
</t>
        </r>
      </text>
    </comment>
    <comment ref="Z19" authorId="0">
      <text>
        <r>
          <rPr>
            <b/>
            <sz val="8"/>
            <color indexed="81"/>
            <rFont val="Tahoma"/>
          </rPr>
          <t>CPSB:</t>
        </r>
        <r>
          <rPr>
            <sz val="8"/>
            <color indexed="81"/>
            <rFont val="Tahoma"/>
          </rPr>
          <t xml:space="preserve">
62844 is all needed per reallocation
</t>
        </r>
      </text>
    </comment>
    <comment ref="C20" authorId="1">
      <text>
        <r>
          <rPr>
            <b/>
            <sz val="8"/>
            <color indexed="81"/>
            <rFont val="Tahoma"/>
          </rPr>
          <t>Dennis Bent:</t>
        </r>
        <r>
          <rPr>
            <sz val="8"/>
            <color indexed="81"/>
            <rFont val="Tahoma"/>
          </rPr>
          <t xml:space="preserve">
Moved from transportation
</t>
        </r>
      </text>
    </comment>
    <comment ref="C21" authorId="1">
      <text>
        <r>
          <rPr>
            <b/>
            <sz val="8"/>
            <color indexed="81"/>
            <rFont val="Tahoma"/>
          </rPr>
          <t>Dennis Bent:</t>
        </r>
        <r>
          <rPr>
            <sz val="8"/>
            <color indexed="81"/>
            <rFont val="Tahoma"/>
          </rPr>
          <t xml:space="preserve">
Moved from transportation
</t>
        </r>
      </text>
    </comment>
    <comment ref="C24" authorId="1">
      <text>
        <r>
          <rPr>
            <b/>
            <sz val="8"/>
            <color indexed="81"/>
            <rFont val="Tahoma"/>
          </rPr>
          <t>Dennis Bent:</t>
        </r>
        <r>
          <rPr>
            <sz val="8"/>
            <color indexed="81"/>
            <rFont val="Tahoma"/>
          </rPr>
          <t xml:space="preserve">
Moved from transportation
</t>
        </r>
      </text>
    </comment>
    <comment ref="F27" authorId="1">
      <text>
        <r>
          <rPr>
            <b/>
            <sz val="8"/>
            <color indexed="81"/>
            <rFont val="Tahoma"/>
          </rPr>
          <t>Dennis Bent:</t>
        </r>
        <r>
          <rPr>
            <sz val="8"/>
            <color indexed="81"/>
            <rFont val="Tahoma"/>
          </rPr>
          <t xml:space="preserve">
Changed from 611955 in prior years</t>
        </r>
      </text>
    </comment>
    <comment ref="F40" authorId="0">
      <text>
        <r>
          <rPr>
            <b/>
            <sz val="8"/>
            <color indexed="81"/>
            <rFont val="Tahoma"/>
          </rPr>
          <t>CPSB:</t>
        </r>
        <r>
          <rPr>
            <sz val="8"/>
            <color indexed="81"/>
            <rFont val="Tahoma"/>
          </rPr>
          <t xml:space="preserve">
this is a RENTAL object-not appropriate for this!!!</t>
        </r>
      </text>
    </comment>
    <comment ref="B69" authorId="0">
      <text>
        <r>
          <rPr>
            <b/>
            <sz val="8"/>
            <color indexed="81"/>
            <rFont val="Tahoma"/>
          </rPr>
          <t>CPSB:</t>
        </r>
        <r>
          <rPr>
            <sz val="8"/>
            <color indexed="81"/>
            <rFont val="Tahoma"/>
          </rPr>
          <t xml:space="preserve">
S/B 2723
</t>
        </r>
      </text>
    </comment>
    <comment ref="F71" authorId="1">
      <text>
        <r>
          <rPr>
            <b/>
            <sz val="8"/>
            <color indexed="81"/>
            <rFont val="Tahoma"/>
          </rPr>
          <t>Dennis Bent:</t>
        </r>
        <r>
          <rPr>
            <sz val="8"/>
            <color indexed="81"/>
            <rFont val="Tahoma"/>
          </rPr>
          <t xml:space="preserve">
Note that technically the budget was transferred from an equipment account to a supply account.</t>
        </r>
      </text>
    </comment>
  </commentList>
</comments>
</file>

<file path=xl/comments31.xml><?xml version="1.0" encoding="utf-8"?>
<comments xmlns="http://schemas.openxmlformats.org/spreadsheetml/2006/main">
  <authors>
    <author>CPSB</author>
    <author>dennis.bent</author>
    <author>Dennis Bent</author>
  </authors>
  <commentList>
    <comment ref="A3" authorId="0">
      <text>
        <r>
          <rPr>
            <b/>
            <sz val="8"/>
            <color indexed="81"/>
            <rFont val="Tahoma"/>
          </rPr>
          <t>CPSB:</t>
        </r>
        <r>
          <rPr>
            <sz val="8"/>
            <color indexed="81"/>
            <rFont val="Tahoma"/>
          </rPr>
          <t xml:space="preserve">
Remember to change the description from detail to summary when collapsing  worksheet . Also need to affect name change in footer from detail to summary.
</t>
        </r>
      </text>
    </comment>
    <comment ref="G6" authorId="0">
      <text>
        <r>
          <rPr>
            <b/>
            <sz val="8"/>
            <color indexed="81"/>
            <rFont val="Tahoma"/>
          </rPr>
          <t>CPSB:</t>
        </r>
        <r>
          <rPr>
            <sz val="8"/>
            <color indexed="81"/>
            <rFont val="Tahoma"/>
          </rPr>
          <t xml:space="preserve">
Remember to change the description from detail to summary when collapsing  worksheet . Also need to affect name change in footer from detail to summary.
</t>
        </r>
      </text>
    </comment>
    <comment ref="G7" authorId="0">
      <text>
        <r>
          <rPr>
            <b/>
            <sz val="8"/>
            <color indexed="81"/>
            <rFont val="Tahoma"/>
          </rPr>
          <t>CPSB:</t>
        </r>
        <r>
          <rPr>
            <sz val="8"/>
            <color indexed="81"/>
            <rFont val="Tahoma"/>
          </rPr>
          <t xml:space="preserve">
If "1" here, will use if then statement to change heading wording for 3rd line
</t>
        </r>
      </text>
    </comment>
    <comment ref="G19" authorId="1">
      <text>
        <r>
          <rPr>
            <b/>
            <sz val="8"/>
            <color indexed="81"/>
            <rFont val="Tahoma"/>
          </rPr>
          <t>dennis.bent:</t>
        </r>
        <r>
          <rPr>
            <sz val="8"/>
            <color indexed="81"/>
            <rFont val="Tahoma"/>
          </rPr>
          <t xml:space="preserve">
Digitize the blueprints</t>
        </r>
      </text>
    </comment>
    <comment ref="G26" authorId="0">
      <text>
        <r>
          <rPr>
            <b/>
            <sz val="8"/>
            <color indexed="81"/>
            <rFont val="Tahoma"/>
          </rPr>
          <t>CPSB:</t>
        </r>
        <r>
          <rPr>
            <sz val="8"/>
            <color indexed="81"/>
            <rFont val="Tahoma"/>
          </rPr>
          <t xml:space="preserve">
To cover cost of what used to be run thru the eq but since the threshhold has been lowered        </t>
        </r>
      </text>
    </comment>
    <comment ref="Z33" authorId="0">
      <text>
        <r>
          <rPr>
            <b/>
            <sz val="8"/>
            <color indexed="81"/>
            <rFont val="Tahoma"/>
          </rPr>
          <t>CPSB:</t>
        </r>
        <r>
          <rPr>
            <sz val="8"/>
            <color indexed="81"/>
            <rFont val="Tahoma"/>
          </rPr>
          <t xml:space="preserve">
INCREASE OVER P/Y OF 40k</t>
        </r>
      </text>
    </comment>
    <comment ref="G61" authorId="2">
      <text>
        <r>
          <rPr>
            <b/>
            <sz val="8"/>
            <color indexed="81"/>
            <rFont val="Tahoma"/>
          </rPr>
          <t>Dennis Bent:</t>
        </r>
        <r>
          <rPr>
            <sz val="8"/>
            <color indexed="81"/>
            <rFont val="Tahoma"/>
          </rPr>
          <t xml:space="preserve">
WAYNE BERGERON</t>
        </r>
      </text>
    </comment>
    <comment ref="AX63" authorId="0">
      <text>
        <r>
          <rPr>
            <b/>
            <sz val="8"/>
            <color indexed="81"/>
            <rFont val="Tahoma"/>
          </rPr>
          <t>CPSB:</t>
        </r>
        <r>
          <rPr>
            <sz val="8"/>
            <color indexed="81"/>
            <rFont val="Tahoma"/>
          </rPr>
          <t xml:space="preserve">
From Testing
</t>
        </r>
      </text>
    </comment>
    <comment ref="G70" authorId="2">
      <text>
        <r>
          <rPr>
            <b/>
            <sz val="8"/>
            <color indexed="81"/>
            <rFont val="Tahoma"/>
          </rPr>
          <t>Dennis Bent:</t>
        </r>
        <r>
          <rPr>
            <sz val="8"/>
            <color indexed="81"/>
            <rFont val="Tahoma"/>
          </rPr>
          <t xml:space="preserve">
Temps
</t>
        </r>
      </text>
    </comment>
    <comment ref="AG86" authorId="0">
      <text>
        <r>
          <rPr>
            <b/>
            <sz val="8"/>
            <color indexed="81"/>
            <rFont val="Tahoma"/>
          </rPr>
          <t>CPSB:</t>
        </r>
        <r>
          <rPr>
            <sz val="8"/>
            <color indexed="81"/>
            <rFont val="Tahoma"/>
          </rPr>
          <t xml:space="preserve">
From Transportation. For trucks
</t>
        </r>
      </text>
    </comment>
    <comment ref="F87" authorId="0">
      <text>
        <r>
          <rPr>
            <b/>
            <sz val="8"/>
            <color indexed="81"/>
            <rFont val="Tahoma"/>
          </rPr>
          <t>CPSB:</t>
        </r>
        <r>
          <rPr>
            <sz val="8"/>
            <color indexed="81"/>
            <rFont val="Tahoma"/>
          </rPr>
          <t xml:space="preserve">
had been 611651before payments made showing that the Sheriff's Office was being paid.
</t>
        </r>
      </text>
    </comment>
    <comment ref="G87" authorId="0">
      <text>
        <r>
          <rPr>
            <b/>
            <sz val="8"/>
            <color indexed="81"/>
            <rFont val="Tahoma"/>
          </rPr>
          <t>CPSB:</t>
        </r>
        <r>
          <rPr>
            <sz val="8"/>
            <color indexed="81"/>
            <rFont val="Tahoma"/>
          </rPr>
          <t xml:space="preserve">
Zero tolerance program-pay to Sheriff's Office, should be contracted services</t>
        </r>
      </text>
    </comment>
    <comment ref="AX88" authorId="0">
      <text>
        <r>
          <rPr>
            <b/>
            <sz val="8"/>
            <color indexed="81"/>
            <rFont val="Tahoma"/>
          </rPr>
          <t>CPSB:</t>
        </r>
        <r>
          <rPr>
            <sz val="8"/>
            <color indexed="81"/>
            <rFont val="Tahoma"/>
          </rPr>
          <t xml:space="preserve">
PO increased for $6,000 2-9-10 though budget maxed out through PO
</t>
        </r>
      </text>
    </comment>
    <comment ref="F90" authorId="2">
      <text>
        <r>
          <rPr>
            <b/>
            <sz val="8"/>
            <color indexed="81"/>
            <rFont val="Tahoma"/>
          </rPr>
          <t>Dennis Bent:</t>
        </r>
        <r>
          <rPr>
            <sz val="8"/>
            <color indexed="81"/>
            <rFont val="Tahoma"/>
          </rPr>
          <t xml:space="preserve">
Should be 645124 unless not related to actual construction</t>
        </r>
      </text>
    </comment>
    <comment ref="G98" authorId="0">
      <text>
        <r>
          <rPr>
            <b/>
            <sz val="8"/>
            <color indexed="81"/>
            <rFont val="Tahoma"/>
          </rPr>
          <t>CPSB:</t>
        </r>
        <r>
          <rPr>
            <sz val="8"/>
            <color indexed="81"/>
            <rFont val="Tahoma"/>
          </rPr>
          <t xml:space="preserve">
Has both Cap Lease bond and Qzab in this, though separate on GL.</t>
        </r>
      </text>
    </comment>
    <comment ref="F99" authorId="0">
      <text>
        <r>
          <rPr>
            <b/>
            <sz val="8"/>
            <color indexed="81"/>
            <rFont val="Tahoma"/>
          </rPr>
          <t>CPSB:</t>
        </r>
        <r>
          <rPr>
            <sz val="8"/>
            <color indexed="81"/>
            <rFont val="Tahoma"/>
          </rPr>
          <t xml:space="preserve">
</t>
        </r>
      </text>
    </comment>
    <comment ref="G99" authorId="0">
      <text>
        <r>
          <rPr>
            <b/>
            <sz val="8"/>
            <color indexed="81"/>
            <rFont val="Tahoma"/>
          </rPr>
          <t>CPSB:</t>
        </r>
        <r>
          <rPr>
            <sz val="8"/>
            <color indexed="81"/>
            <rFont val="Tahoma"/>
          </rPr>
          <t xml:space="preserve">
Has both Cap Lease bond and Qzab in this, though separate on GL.</t>
        </r>
      </text>
    </comment>
  </commentList>
</comments>
</file>

<file path=xl/comments32.xml><?xml version="1.0" encoding="utf-8"?>
<comments xmlns="http://schemas.openxmlformats.org/spreadsheetml/2006/main">
  <authors>
    <author>CPSB</author>
    <author>Dennis Bent</author>
    <author>dennis.bent</author>
  </authors>
  <commentList>
    <comment ref="A3" authorId="0">
      <text>
        <r>
          <rPr>
            <b/>
            <sz val="8"/>
            <color indexed="81"/>
            <rFont val="Tahoma"/>
          </rPr>
          <t>CPSB:</t>
        </r>
        <r>
          <rPr>
            <sz val="8"/>
            <color indexed="81"/>
            <rFont val="Tahoma"/>
          </rPr>
          <t xml:space="preserve">
Remember to change the description from detail to summary when collapsing  worksheet . Also need to affect name change in footer from detail to summary.
</t>
        </r>
      </text>
    </comment>
    <comment ref="G6" authorId="0">
      <text>
        <r>
          <rPr>
            <b/>
            <sz val="8"/>
            <color indexed="81"/>
            <rFont val="Tahoma"/>
          </rPr>
          <t>CPSB:</t>
        </r>
        <r>
          <rPr>
            <sz val="8"/>
            <color indexed="81"/>
            <rFont val="Tahoma"/>
          </rPr>
          <t xml:space="preserve">
Remember to change the description from detail to summary when collapsing  worksheet . Also need to affect name change in footer from detail to summary.
</t>
        </r>
      </text>
    </comment>
    <comment ref="G7" authorId="0">
      <text>
        <r>
          <rPr>
            <b/>
            <sz val="8"/>
            <color indexed="81"/>
            <rFont val="Tahoma"/>
          </rPr>
          <t>CPSB:</t>
        </r>
        <r>
          <rPr>
            <sz val="8"/>
            <color indexed="81"/>
            <rFont val="Tahoma"/>
          </rPr>
          <t xml:space="preserve">
If "1" here, will use if then statement to change heading wording for 3rd line
</t>
        </r>
      </text>
    </comment>
    <comment ref="F11" authorId="1">
      <text>
        <r>
          <rPr>
            <b/>
            <sz val="8"/>
            <color indexed="81"/>
            <rFont val="Tahoma"/>
          </rPr>
          <t>Dennis Bent:</t>
        </r>
        <r>
          <rPr>
            <sz val="8"/>
            <color indexed="81"/>
            <rFont val="Tahoma"/>
          </rPr>
          <t xml:space="preserve">
Includes some equipment accounts for which this budget used to cover as equipment is to meet mold remediation efforts
673111,</t>
        </r>
      </text>
    </comment>
    <comment ref="F33" authorId="1">
      <text>
        <r>
          <rPr>
            <b/>
            <sz val="8"/>
            <color indexed="81"/>
            <rFont val="Tahoma"/>
          </rPr>
          <t>Dennis Bent:</t>
        </r>
        <r>
          <rPr>
            <sz val="8"/>
            <color indexed="81"/>
            <rFont val="Tahoma"/>
          </rPr>
          <t xml:space="preserve">
AFR has no KPC for this under Fac Acq… so has to be misc</t>
        </r>
      </text>
    </comment>
    <comment ref="G35" authorId="2">
      <text>
        <r>
          <rPr>
            <b/>
            <sz val="8"/>
            <color indexed="81"/>
            <rFont val="Tahoma"/>
          </rPr>
          <t>dennis.bent:</t>
        </r>
        <r>
          <rPr>
            <sz val="8"/>
            <color indexed="81"/>
            <rFont val="Tahoma"/>
          </rPr>
          <t xml:space="preserve">
Requisition is for $298,888.
</t>
        </r>
      </text>
    </comment>
    <comment ref="AL35" authorId="0">
      <text>
        <r>
          <rPr>
            <b/>
            <sz val="8"/>
            <color indexed="81"/>
            <rFont val="Tahoma"/>
          </rPr>
          <t xml:space="preserve">CPSB:
Roof fixes RW Vincent(?) 
</t>
        </r>
      </text>
    </comment>
  </commentList>
</comments>
</file>

<file path=xl/comments33.xml><?xml version="1.0" encoding="utf-8"?>
<comments xmlns="http://schemas.openxmlformats.org/spreadsheetml/2006/main">
  <authors>
    <author>CPSB</author>
    <author>Dennis Bent</author>
  </authors>
  <commentList>
    <comment ref="A3" authorId="0">
      <text>
        <r>
          <rPr>
            <b/>
            <sz val="8"/>
            <color indexed="81"/>
            <rFont val="Tahoma"/>
          </rPr>
          <t>CPSB:</t>
        </r>
        <r>
          <rPr>
            <sz val="8"/>
            <color indexed="81"/>
            <rFont val="Tahoma"/>
          </rPr>
          <t xml:space="preserve">
Remember to change the description from detail to summary when collapsing  worksheet . Also need to affect name change in footer from detail to summary.
</t>
        </r>
      </text>
    </comment>
    <comment ref="G6" authorId="0">
      <text>
        <r>
          <rPr>
            <b/>
            <sz val="8"/>
            <color indexed="81"/>
            <rFont val="Tahoma"/>
          </rPr>
          <t>CPSB:</t>
        </r>
        <r>
          <rPr>
            <sz val="8"/>
            <color indexed="81"/>
            <rFont val="Tahoma"/>
          </rPr>
          <t xml:space="preserve">
Remember to change the description from detail to summary when collapsing  worksheet . Also need to affect name change in footer from detail to summary.
</t>
        </r>
      </text>
    </comment>
    <comment ref="G7" authorId="0">
      <text>
        <r>
          <rPr>
            <b/>
            <sz val="8"/>
            <color indexed="81"/>
            <rFont val="Tahoma"/>
          </rPr>
          <t>CPSB:</t>
        </r>
        <r>
          <rPr>
            <sz val="8"/>
            <color indexed="81"/>
            <rFont val="Tahoma"/>
          </rPr>
          <t xml:space="preserve">
If "1" here, will use if then statement to change heading wording for 3rd line
</t>
        </r>
      </text>
    </comment>
    <comment ref="A11" authorId="1">
      <text>
        <r>
          <rPr>
            <b/>
            <sz val="8"/>
            <color indexed="81"/>
            <rFont val="Tahoma"/>
          </rPr>
          <t>Dennis Bent:</t>
        </r>
        <r>
          <rPr>
            <sz val="8"/>
            <color indexed="81"/>
            <rFont val="Tahoma"/>
          </rPr>
          <t xml:space="preserve">
</t>
        </r>
      </text>
    </comment>
    <comment ref="A12" authorId="1">
      <text>
        <r>
          <rPr>
            <b/>
            <sz val="8"/>
            <color indexed="81"/>
            <rFont val="Tahoma"/>
          </rPr>
          <t>Dennis Bent:</t>
        </r>
        <r>
          <rPr>
            <sz val="8"/>
            <color indexed="81"/>
            <rFont val="Tahoma"/>
          </rPr>
          <t xml:space="preserve">
</t>
        </r>
      </text>
    </comment>
    <comment ref="AR12" authorId="0">
      <text>
        <r>
          <rPr>
            <b/>
            <sz val="8"/>
            <color indexed="81"/>
            <rFont val="Tahoma"/>
          </rPr>
          <t>CPSB:</t>
        </r>
        <r>
          <rPr>
            <sz val="8"/>
            <color indexed="81"/>
            <rFont val="Tahoma"/>
          </rPr>
          <t xml:space="preserve">
For BR #2 need to move some for 
</t>
        </r>
      </text>
    </comment>
  </commentList>
</comments>
</file>

<file path=xl/comments34.xml><?xml version="1.0" encoding="utf-8"?>
<comments xmlns="http://schemas.openxmlformats.org/spreadsheetml/2006/main">
  <authors>
    <author>CPSB</author>
    <author>Dennis Bent</author>
  </authors>
  <commentList>
    <comment ref="A3" authorId="0">
      <text>
        <r>
          <rPr>
            <b/>
            <sz val="8"/>
            <color indexed="81"/>
            <rFont val="Tahoma"/>
          </rPr>
          <t>CPSB:</t>
        </r>
        <r>
          <rPr>
            <sz val="8"/>
            <color indexed="81"/>
            <rFont val="Tahoma"/>
          </rPr>
          <t xml:space="preserve">
Remember to change the description from detail to summary when collapsing  worksheet . Also need to affect name change in footer from detail to summary.
</t>
        </r>
      </text>
    </comment>
    <comment ref="G6" authorId="0">
      <text>
        <r>
          <rPr>
            <b/>
            <sz val="8"/>
            <color indexed="81"/>
            <rFont val="Tahoma"/>
          </rPr>
          <t>CPSB:</t>
        </r>
        <r>
          <rPr>
            <sz val="8"/>
            <color indexed="81"/>
            <rFont val="Tahoma"/>
          </rPr>
          <t xml:space="preserve">
Remember to change the description from detail to summary when collapsing  worksheet . Also need to affect name change in footer from detail to summary.
</t>
        </r>
      </text>
    </comment>
    <comment ref="G7" authorId="0">
      <text>
        <r>
          <rPr>
            <b/>
            <sz val="8"/>
            <color indexed="81"/>
            <rFont val="Tahoma"/>
          </rPr>
          <t>CPSB:</t>
        </r>
        <r>
          <rPr>
            <sz val="8"/>
            <color indexed="81"/>
            <rFont val="Tahoma"/>
          </rPr>
          <t xml:space="preserve">
If "1" here, will use if then statement to change heading wording for 3rd line
</t>
        </r>
      </text>
    </comment>
    <comment ref="A10" authorId="1">
      <text>
        <r>
          <rPr>
            <b/>
            <sz val="8"/>
            <color indexed="81"/>
            <rFont val="Tahoma"/>
          </rPr>
          <t>Dennis Bent:</t>
        </r>
        <r>
          <rPr>
            <sz val="8"/>
            <color indexed="81"/>
            <rFont val="Tahoma"/>
          </rPr>
          <t xml:space="preserve">
Keith Leger (STW) benefits are reclassed here.</t>
        </r>
      </text>
    </comment>
    <comment ref="I11" authorId="1">
      <text>
        <r>
          <rPr>
            <b/>
            <sz val="8"/>
            <color indexed="81"/>
            <rFont val="Tahoma"/>
          </rPr>
          <t>Dennis Bent:</t>
        </r>
        <r>
          <rPr>
            <sz val="8"/>
            <color indexed="81"/>
            <rFont val="Tahoma"/>
          </rPr>
          <t xml:space="preserve">
These are amounts which were corrected during the year for various employees. Should be allocated to the various salary accounts but not significant and would take considerable time to analyze.
</t>
        </r>
      </text>
    </comment>
    <comment ref="G16" authorId="1">
      <text>
        <r>
          <rPr>
            <b/>
            <sz val="8"/>
            <color indexed="81"/>
            <rFont val="Tahoma"/>
          </rPr>
          <t>Dennis Bent:</t>
        </r>
        <r>
          <rPr>
            <sz val="8"/>
            <color indexed="81"/>
            <rFont val="Tahoma"/>
          </rPr>
          <t xml:space="preserve">
15.5%
</t>
        </r>
      </text>
    </comment>
    <comment ref="G19" authorId="1">
      <text>
        <r>
          <rPr>
            <b/>
            <sz val="8"/>
            <color indexed="81"/>
            <rFont val="Tahoma"/>
          </rPr>
          <t>Dennis Bent:</t>
        </r>
        <r>
          <rPr>
            <sz val="8"/>
            <color indexed="81"/>
            <rFont val="Tahoma"/>
          </rPr>
          <t xml:space="preserve">
17.8%
</t>
        </r>
      </text>
    </comment>
    <comment ref="A25" authorId="1">
      <text>
        <r>
          <rPr>
            <b/>
            <sz val="8"/>
            <color indexed="81"/>
            <rFont val="Tahoma"/>
          </rPr>
          <t>Dennis Bent:</t>
        </r>
        <r>
          <rPr>
            <sz val="8"/>
            <color indexed="81"/>
            <rFont val="Tahoma"/>
          </rPr>
          <t xml:space="preserve">
In general. Each function should actually have its own account.</t>
        </r>
      </text>
    </comment>
    <comment ref="G25" authorId="1">
      <text>
        <r>
          <rPr>
            <b/>
            <sz val="8"/>
            <color indexed="81"/>
            <rFont val="Tahoma"/>
          </rPr>
          <t>Dennis Bent:</t>
        </r>
        <r>
          <rPr>
            <sz val="8"/>
            <color indexed="81"/>
            <rFont val="Tahoma"/>
          </rPr>
          <t xml:space="preserve">
To use GF, first two digits of the function, benefit function</t>
        </r>
      </text>
    </comment>
  </commentList>
</comments>
</file>

<file path=xl/comments35.xml><?xml version="1.0" encoding="utf-8"?>
<comments xmlns="http://schemas.openxmlformats.org/spreadsheetml/2006/main">
  <authors>
    <author>CPSB</author>
    <author>Dennis Bent</author>
  </authors>
  <commentList>
    <comment ref="A3" authorId="0">
      <text>
        <r>
          <rPr>
            <b/>
            <sz val="8"/>
            <color indexed="81"/>
            <rFont val="Tahoma"/>
          </rPr>
          <t>CPSB:</t>
        </r>
        <r>
          <rPr>
            <sz val="8"/>
            <color indexed="81"/>
            <rFont val="Tahoma"/>
          </rPr>
          <t xml:space="preserve">
Remember to change the description from detail to summary when collapsing  worksheet . Also need to affect name change in footer from detail to summary.
</t>
        </r>
      </text>
    </comment>
    <comment ref="G6" authorId="0">
      <text>
        <r>
          <rPr>
            <b/>
            <sz val="8"/>
            <color indexed="81"/>
            <rFont val="Tahoma"/>
          </rPr>
          <t>CPSB:</t>
        </r>
        <r>
          <rPr>
            <sz val="8"/>
            <color indexed="81"/>
            <rFont val="Tahoma"/>
          </rPr>
          <t xml:space="preserve">
Remember to change the description from detail to summary when collapsing  worksheet . Also need to affect name change in footer from detail to summary.
</t>
        </r>
      </text>
    </comment>
    <comment ref="G7" authorId="0">
      <text>
        <r>
          <rPr>
            <b/>
            <sz val="8"/>
            <color indexed="81"/>
            <rFont val="Tahoma"/>
          </rPr>
          <t>CPSB:</t>
        </r>
        <r>
          <rPr>
            <sz val="8"/>
            <color indexed="81"/>
            <rFont val="Tahoma"/>
          </rPr>
          <t xml:space="preserve">
If "1" here, will use if then statement to change heading wording for 3rd line
</t>
        </r>
      </text>
    </comment>
    <comment ref="AB11" authorId="0">
      <text>
        <r>
          <rPr>
            <b/>
            <sz val="8"/>
            <color indexed="81"/>
            <rFont val="Tahoma"/>
          </rPr>
          <t>CPSB:</t>
        </r>
        <r>
          <rPr>
            <sz val="8"/>
            <color indexed="81"/>
            <rFont val="Tahoma"/>
          </rPr>
          <t xml:space="preserve">
"Dibbles" for reading assessment. 
</t>
        </r>
      </text>
    </comment>
    <comment ref="AG11" authorId="0">
      <text>
        <r>
          <rPr>
            <b/>
            <sz val="8"/>
            <color indexed="81"/>
            <rFont val="Tahoma"/>
          </rPr>
          <t>CPSB:</t>
        </r>
        <r>
          <rPr>
            <sz val="8"/>
            <color indexed="81"/>
            <rFont val="Tahoma"/>
          </rPr>
          <t xml:space="preserve">
"Dibbles" for reading assessment. 
</t>
        </r>
      </text>
    </comment>
    <comment ref="AR11" authorId="0">
      <text>
        <r>
          <rPr>
            <b/>
            <sz val="8"/>
            <color indexed="81"/>
            <rFont val="Tahoma"/>
          </rPr>
          <t>CPSB:</t>
        </r>
        <r>
          <rPr>
            <sz val="8"/>
            <color indexed="81"/>
            <rFont val="Tahoma"/>
          </rPr>
          <t xml:space="preserve">
"Dibbles" for reading assessment. 
</t>
        </r>
      </text>
    </comment>
    <comment ref="Z12" authorId="0">
      <text>
        <r>
          <rPr>
            <b/>
            <sz val="8"/>
            <color indexed="81"/>
            <rFont val="Tahoma"/>
          </rPr>
          <t>CPSB:</t>
        </r>
        <r>
          <rPr>
            <sz val="8"/>
            <color indexed="81"/>
            <rFont val="Tahoma"/>
          </rPr>
          <t xml:space="preserve">
Dogs from interquest
</t>
        </r>
      </text>
    </comment>
    <comment ref="B13" authorId="0">
      <text>
        <r>
          <rPr>
            <b/>
            <sz val="8"/>
            <color indexed="81"/>
            <rFont val="Tahoma"/>
          </rPr>
          <t>CPSB:</t>
        </r>
        <r>
          <rPr>
            <sz val="8"/>
            <color indexed="81"/>
            <rFont val="Tahoma"/>
          </rPr>
          <t xml:space="preserve">
Will include other functions-need to set up accounts but for budget purposes will use this function...
</t>
        </r>
      </text>
    </comment>
    <comment ref="F15" authorId="1">
      <text>
        <r>
          <rPr>
            <b/>
            <sz val="8"/>
            <color indexed="81"/>
            <rFont val="Tahoma"/>
          </rPr>
          <t>Dennis Bent:</t>
        </r>
        <r>
          <rPr>
            <sz val="8"/>
            <color indexed="81"/>
            <rFont val="Tahoma"/>
          </rPr>
          <t xml:space="preserve">
this is K D Morris. Salary comes out of TII. This is for Tchr Cert Portion</t>
        </r>
      </text>
    </comment>
    <comment ref="Z15" authorId="0">
      <text>
        <r>
          <rPr>
            <b/>
            <sz val="8"/>
            <color indexed="81"/>
            <rFont val="Tahoma"/>
          </rPr>
          <t>CPSB:</t>
        </r>
        <r>
          <rPr>
            <sz val="8"/>
            <color indexed="81"/>
            <rFont val="Tahoma"/>
          </rPr>
          <t xml:space="preserve">
</t>
        </r>
      </text>
    </comment>
    <comment ref="C17" authorId="0">
      <text>
        <r>
          <rPr>
            <b/>
            <sz val="8"/>
            <color indexed="81"/>
            <rFont val="Tahoma"/>
          </rPr>
          <t>CPSB:</t>
        </r>
        <r>
          <rPr>
            <sz val="8"/>
            <color indexed="81"/>
            <rFont val="Tahoma"/>
          </rPr>
          <t xml:space="preserve">
Also used for IDFY</t>
        </r>
      </text>
    </comment>
    <comment ref="G18" authorId="0">
      <text>
        <r>
          <rPr>
            <b/>
            <sz val="8"/>
            <color indexed="81"/>
            <rFont val="Tahoma"/>
          </rPr>
          <t>CPSB:</t>
        </r>
        <r>
          <rPr>
            <sz val="8"/>
            <color indexed="81"/>
            <rFont val="Tahoma"/>
          </rPr>
          <t xml:space="preserve">
Walmart Grant
Supplemental services for Reynaud. Title was to pay but salaries ate budget.
</t>
        </r>
      </text>
    </comment>
    <comment ref="L24" authorId="0">
      <text>
        <r>
          <rPr>
            <b/>
            <sz val="8"/>
            <color indexed="81"/>
            <rFont val="Tahoma"/>
          </rPr>
          <t>CPSB:</t>
        </r>
        <r>
          <rPr>
            <sz val="8"/>
            <color indexed="81"/>
            <rFont val="Tahoma"/>
          </rPr>
          <t xml:space="preserve">
Headstart could not pick up as not in budget and not an allowed cost for headstart.
</t>
        </r>
      </text>
    </comment>
    <comment ref="X24" authorId="0">
      <text>
        <r>
          <rPr>
            <b/>
            <sz val="8"/>
            <color indexed="81"/>
            <rFont val="Tahoma"/>
          </rPr>
          <t>CPSB:</t>
        </r>
        <r>
          <rPr>
            <sz val="8"/>
            <color indexed="81"/>
            <rFont val="Tahoma"/>
          </rPr>
          <t xml:space="preserve">
Headstart could not pick up as not in budget and not an allowed cost for headstart.
</t>
        </r>
      </text>
    </comment>
    <comment ref="G25" authorId="1">
      <text>
        <r>
          <rPr>
            <b/>
            <sz val="8"/>
            <color indexed="81"/>
            <rFont val="Tahoma"/>
          </rPr>
          <t>Dennis Bent:</t>
        </r>
        <r>
          <rPr>
            <sz val="8"/>
            <color indexed="81"/>
            <rFont val="Tahoma"/>
          </rPr>
          <t xml:space="preserve">
$5,000 rec'd in 2002-2003 for this purpose. Bobbi Yancey is keeping up with this.</t>
        </r>
      </text>
    </comment>
    <comment ref="AL29" authorId="0">
      <text>
        <r>
          <rPr>
            <b/>
            <sz val="8"/>
            <color indexed="81"/>
            <rFont val="Tahoma"/>
          </rPr>
          <t>CPSB:</t>
        </r>
        <r>
          <rPr>
            <sz val="8"/>
            <color indexed="81"/>
            <rFont val="Tahoma"/>
          </rPr>
          <t xml:space="preserve">
To match actual TAP supplement paid in February.
</t>
        </r>
      </text>
    </comment>
    <comment ref="G33" authorId="0">
      <text>
        <r>
          <rPr>
            <b/>
            <sz val="8"/>
            <color indexed="81"/>
            <rFont val="Tahoma"/>
          </rPr>
          <t>CPSB:</t>
        </r>
        <r>
          <rPr>
            <sz val="8"/>
            <color indexed="81"/>
            <rFont val="Tahoma"/>
          </rPr>
          <t xml:space="preserve">
Mclass training for elementary teachers to learn to use handhelds for related used in classroom. Mr. Savoy OK'd for GF.</t>
        </r>
      </text>
    </comment>
    <comment ref="T33" authorId="0">
      <text>
        <r>
          <rPr>
            <b/>
            <sz val="8"/>
            <color indexed="81"/>
            <rFont val="Tahoma"/>
          </rPr>
          <t>CPSB:</t>
        </r>
        <r>
          <rPr>
            <sz val="8"/>
            <color indexed="81"/>
            <rFont val="Tahoma"/>
          </rPr>
          <t xml:space="preserve">
Schoolwide positive support behavior grant.
D Caldwell. IDC from grant (fund 1691) funding this supplement. So offset expense with the increase in IDC Revenue.</t>
        </r>
      </text>
    </comment>
  </commentList>
</comments>
</file>

<file path=xl/comments36.xml><?xml version="1.0" encoding="utf-8"?>
<comments xmlns="http://schemas.openxmlformats.org/spreadsheetml/2006/main">
  <authors>
    <author>CPSB</author>
  </authors>
  <commentList>
    <comment ref="A3" authorId="0">
      <text>
        <r>
          <rPr>
            <b/>
            <sz val="8"/>
            <color indexed="81"/>
            <rFont val="Tahoma"/>
          </rPr>
          <t>CPSB:</t>
        </r>
        <r>
          <rPr>
            <sz val="8"/>
            <color indexed="81"/>
            <rFont val="Tahoma"/>
          </rPr>
          <t xml:space="preserve">
Remember to change the description from detail to summary when collapsing  worksheet . Also need to affect name change in footer from detail to summary.
</t>
        </r>
      </text>
    </comment>
    <comment ref="G6" authorId="0">
      <text>
        <r>
          <rPr>
            <b/>
            <sz val="8"/>
            <color indexed="81"/>
            <rFont val="Tahoma"/>
          </rPr>
          <t>CPSB:</t>
        </r>
        <r>
          <rPr>
            <sz val="8"/>
            <color indexed="81"/>
            <rFont val="Tahoma"/>
          </rPr>
          <t xml:space="preserve">
Remember to change the description from detail to summary when collapsing  worksheet . Also need to affect name change in footer from detail to summary.
</t>
        </r>
      </text>
    </comment>
    <comment ref="G7" authorId="0">
      <text>
        <r>
          <rPr>
            <b/>
            <sz val="8"/>
            <color indexed="81"/>
            <rFont val="Tahoma"/>
          </rPr>
          <t>CPSB:</t>
        </r>
        <r>
          <rPr>
            <sz val="8"/>
            <color indexed="81"/>
            <rFont val="Tahoma"/>
          </rPr>
          <t xml:space="preserve">
If "1" here, will use if then statement to change heading wording for 3rd line
</t>
        </r>
      </text>
    </comment>
  </commentList>
</comments>
</file>

<file path=xl/sharedStrings.xml><?xml version="1.0" encoding="utf-8"?>
<sst xmlns="http://schemas.openxmlformats.org/spreadsheetml/2006/main" count="9011" uniqueCount="1137">
  <si>
    <t>CALCASIEU PARISH SCHOOL BOARD</t>
  </si>
  <si>
    <t>2008-2009</t>
  </si>
  <si>
    <t>BUDGET</t>
  </si>
  <si>
    <t>REVISION #2</t>
  </si>
  <si>
    <t>REVISED</t>
  </si>
  <si>
    <t>2009-2010</t>
  </si>
  <si>
    <t>2004-2005</t>
  </si>
  <si>
    <t>2005-2006</t>
  </si>
  <si>
    <t>2006-2007</t>
  </si>
  <si>
    <t>2007-2008</t>
  </si>
  <si>
    <t>BUDGET REVISION #1</t>
  </si>
  <si>
    <t>State September</t>
  </si>
  <si>
    <t>BUDGET #3</t>
  </si>
  <si>
    <t>VARIANCE</t>
  </si>
  <si>
    <t xml:space="preserve">GENERAL </t>
  </si>
  <si>
    <t>ORIGINAL</t>
  </si>
  <si>
    <t>TRANSFERS</t>
  </si>
  <si>
    <t>APPROVED</t>
  </si>
  <si>
    <t>Local November</t>
  </si>
  <si>
    <t>PROPOSED</t>
  </si>
  <si>
    <t>GENERAL</t>
  </si>
  <si>
    <t>FAVORABLE</t>
  </si>
  <si>
    <t>FUND</t>
  </si>
  <si>
    <t>ADOPTED</t>
  </si>
  <si>
    <t xml:space="preserve">BUDGET </t>
  </si>
  <si>
    <t>AND</t>
  </si>
  <si>
    <t xml:space="preserve">AND </t>
  </si>
  <si>
    <t>Salary</t>
  </si>
  <si>
    <t>(UNFAVORABLE)</t>
  </si>
  <si>
    <t>Budget Unit</t>
  </si>
  <si>
    <t>Account</t>
  </si>
  <si>
    <t>Description</t>
  </si>
  <si>
    <t>ACTUAL</t>
  </si>
  <si>
    <t>No. 1</t>
  </si>
  <si>
    <t>No. 2</t>
  </si>
  <si>
    <t>ADJUSTMENTS</t>
  </si>
  <si>
    <t>No. 3</t>
  </si>
  <si>
    <t>ENCUMBRANCES</t>
  </si>
  <si>
    <t>BUDGET  #1</t>
  </si>
  <si>
    <t>Supplements</t>
  </si>
  <si>
    <t>BUDGET  #2</t>
  </si>
  <si>
    <t>FROM REVISION #3</t>
  </si>
  <si>
    <t>Board</t>
  </si>
  <si>
    <t>1110·</t>
  </si>
  <si>
    <t>2311·</t>
  </si>
  <si>
    <t>21·</t>
  </si>
  <si>
    <t>000</t>
  </si>
  <si>
    <t>Board - Per Diem</t>
  </si>
  <si>
    <t>Contract Services</t>
  </si>
  <si>
    <t>Legal Fees</t>
  </si>
  <si>
    <t>Audit Fee</t>
  </si>
  <si>
    <t>Appraisal &amp; Real Estate Commissions</t>
  </si>
  <si>
    <t>Policy Manual</t>
  </si>
  <si>
    <t>Advertising</t>
  </si>
  <si>
    <t>Printing</t>
  </si>
  <si>
    <t>Travel - Board</t>
  </si>
  <si>
    <t xml:space="preserve">Supplies  </t>
  </si>
  <si>
    <t>Equipment</t>
  </si>
  <si>
    <t>Dues - LSBA/ITEE/NSBA</t>
  </si>
  <si>
    <t>2314·</t>
  </si>
  <si>
    <t>Election Costs</t>
  </si>
  <si>
    <t>2530·</t>
  </si>
  <si>
    <t>Fees-Record Storage</t>
  </si>
  <si>
    <t>Total Board</t>
  </si>
  <si>
    <t>Superintendent</t>
  </si>
  <si>
    <t>2321·</t>
  </si>
  <si>
    <t>Salary - Superintendent</t>
  </si>
  <si>
    <t>Salary - Secretary</t>
  </si>
  <si>
    <t>Contracted Services</t>
  </si>
  <si>
    <t>Rental - Vehicle</t>
  </si>
  <si>
    <t>Copier Lease</t>
  </si>
  <si>
    <t>Postage</t>
  </si>
  <si>
    <t>Travel</t>
  </si>
  <si>
    <t>Office Supplies</t>
  </si>
  <si>
    <t>Dues &amp; Subscriptions</t>
  </si>
  <si>
    <t>Total Superintendent</t>
  </si>
  <si>
    <t>Internal Audit</t>
  </si>
  <si>
    <t>2516·</t>
  </si>
  <si>
    <t>Salary - Internal Auditor</t>
  </si>
  <si>
    <t>2510·</t>
  </si>
  <si>
    <t>Salary - Clerical</t>
  </si>
  <si>
    <t>Salary - Auditors</t>
  </si>
  <si>
    <t>Software/Support Services</t>
  </si>
  <si>
    <t xml:space="preserve">Supplies </t>
  </si>
  <si>
    <t>Total Internal Audit</t>
  </si>
  <si>
    <t>Maintenance</t>
  </si>
  <si>
    <t>2324·</t>
  </si>
  <si>
    <t>Postage - Assoc Superintendent</t>
  </si>
  <si>
    <t>Travel - Assoc Superintendent</t>
  </si>
  <si>
    <t>Office Supplies - Assoc Super</t>
  </si>
  <si>
    <t>Office Equipment - Assoc Super</t>
  </si>
  <si>
    <t>2600·</t>
  </si>
  <si>
    <t>Engineering/Architect Fees</t>
  </si>
  <si>
    <t>Monitor Security Systems</t>
  </si>
  <si>
    <t>Pipeline Inspection</t>
  </si>
  <si>
    <t>Maintenance Services</t>
  </si>
  <si>
    <t>Professional/Technical Services</t>
  </si>
  <si>
    <t>Small Tools</t>
  </si>
  <si>
    <t>Janitorial Supplies</t>
  </si>
  <si>
    <t>Summer Janitorial Supplies</t>
  </si>
  <si>
    <t>Facilities Maintenance Supplies</t>
  </si>
  <si>
    <t>Repair &amp; Upkeep-Paint</t>
  </si>
  <si>
    <t>Repair &amp; Upkeep-Plumbing</t>
  </si>
  <si>
    <t>Repair &amp; Upkeep-Roofs</t>
  </si>
  <si>
    <t>Repair &amp; Upkeep-Stadiums/Tracks</t>
  </si>
  <si>
    <t>Repair &amp; Upkeep-Windows &amp; Glass</t>
  </si>
  <si>
    <t>Repair &amp; Upkeep-Cabinets &amp; Shelving</t>
  </si>
  <si>
    <t>Repair &amp; Upkeep-Doors &amp; Hardware</t>
  </si>
  <si>
    <t>Repair &amp; Upkeep-Electrical Work</t>
  </si>
  <si>
    <t>Repair &amp; Upkeep-General Repairs</t>
  </si>
  <si>
    <t>Repair Clocks, PA's &amp; Radios</t>
  </si>
  <si>
    <t>Repair/Replace Fire Alarms</t>
  </si>
  <si>
    <t>Parts Maintenance Equipment</t>
  </si>
  <si>
    <t>Repair Heating &amp; Boilers</t>
  </si>
  <si>
    <t>Fire Marshall Compliance</t>
  </si>
  <si>
    <t>Repair &amp; Upkeep-Waste Water Systems</t>
  </si>
  <si>
    <t>Gas Pipeline Repair</t>
  </si>
  <si>
    <t>Repair Appliances/Electronics</t>
  </si>
  <si>
    <t>Repair A/C Large Units</t>
  </si>
  <si>
    <t>Repair/Replace A/C Window Units</t>
  </si>
  <si>
    <t>Equipment A/C Units</t>
  </si>
  <si>
    <t>Wiring Supplies</t>
  </si>
  <si>
    <t>Demolition</t>
  </si>
  <si>
    <t>Security System Supplies</t>
  </si>
  <si>
    <t>Upkeep of Grounds-Fencing</t>
  </si>
  <si>
    <t>Upkeep of Grounds-Shell/Limestone</t>
  </si>
  <si>
    <t>Upkeep of Grounds - Sitework</t>
  </si>
  <si>
    <t>School Maintenance Supplies</t>
  </si>
  <si>
    <t>Inventory Adjustments</t>
  </si>
  <si>
    <t>School Maintenance Equipment</t>
  </si>
  <si>
    <t>Equipment/Maintenance</t>
  </si>
  <si>
    <t>Equipment Summer Maint</t>
  </si>
  <si>
    <t>Security Equipment</t>
  </si>
  <si>
    <t>Equipment - Vehicles</t>
  </si>
  <si>
    <t>2610·</t>
  </si>
  <si>
    <t>Salary - Facilities Manager</t>
  </si>
  <si>
    <t>Salary - Compliance Officer</t>
  </si>
  <si>
    <t>2620·</t>
  </si>
  <si>
    <t>Salary - Custodians</t>
  </si>
  <si>
    <t>Salary - Janitor Substitutes</t>
  </si>
  <si>
    <t>Summer Maintenance Salaries</t>
  </si>
  <si>
    <t>Salary - Maintenance Supervisors</t>
  </si>
  <si>
    <t>Salary - Maintenance Employees</t>
  </si>
  <si>
    <t xml:space="preserve">Contracted Security </t>
  </si>
  <si>
    <t>Cont Services Trash Collection/Disposal Services</t>
  </si>
  <si>
    <t xml:space="preserve">C/S Maintenance </t>
  </si>
  <si>
    <t>Uniform and Water Services</t>
  </si>
  <si>
    <t>Contracted Services-Repair and Upkeep of Equipment</t>
  </si>
  <si>
    <t>Gas Testing and Inspection</t>
  </si>
  <si>
    <t>Cont Services Air Conditioning</t>
  </si>
  <si>
    <t>Cont Services Elevator Repair</t>
  </si>
  <si>
    <t>Cont Services Fire Extinguishers</t>
  </si>
  <si>
    <t>Cont Services Pest Control</t>
  </si>
  <si>
    <t>Repair &amp; Upkeep-Moving Buildings</t>
  </si>
  <si>
    <t>Rent Temporary Classrooms</t>
  </si>
  <si>
    <t>Telephone Mobile</t>
  </si>
  <si>
    <t>Admin Telephone  Cost</t>
  </si>
  <si>
    <t>Parts General Bldg Maint</t>
  </si>
  <si>
    <t>2630·</t>
  </si>
  <si>
    <t>Grounds Upkeep Services</t>
  </si>
  <si>
    <t>2640·</t>
  </si>
  <si>
    <t>Fuel</t>
  </si>
  <si>
    <t>2660·</t>
  </si>
  <si>
    <t>C/S - Special School Security</t>
  </si>
  <si>
    <t>Crossing Guards</t>
  </si>
  <si>
    <t>4300·</t>
  </si>
  <si>
    <t xml:space="preserve">Tech Services </t>
  </si>
  <si>
    <t>4500·</t>
  </si>
  <si>
    <t>Architect Fees</t>
  </si>
  <si>
    <t>ADA Compliance</t>
  </si>
  <si>
    <t>Construction Services</t>
  </si>
  <si>
    <t>Special Projects</t>
  </si>
  <si>
    <t>Repairs Section 16 Lands</t>
  </si>
  <si>
    <t>4600·</t>
  </si>
  <si>
    <t>Building Renovation Projects</t>
  </si>
  <si>
    <t>Const Serv - Archt/Engr</t>
  </si>
  <si>
    <t>5100·</t>
  </si>
  <si>
    <t xml:space="preserve">Interest  Expense </t>
  </si>
  <si>
    <t xml:space="preserve">Principal Expense </t>
  </si>
  <si>
    <t>Payments to escrow on refunding</t>
  </si>
  <si>
    <t>Total Maintenance</t>
  </si>
  <si>
    <t>Planning and Construction</t>
  </si>
  <si>
    <t>Indoor Air Quality (Mold)</t>
  </si>
  <si>
    <t>Asbestos Abatement Inspection</t>
  </si>
  <si>
    <t>Asbestos Abatement Contracted</t>
  </si>
  <si>
    <t>Asbestos Inspection</t>
  </si>
  <si>
    <t>Asbestos Supplies</t>
  </si>
  <si>
    <t>Mold Remediation Supplies</t>
  </si>
  <si>
    <t>Gen School Equipment</t>
  </si>
  <si>
    <t>4000·</t>
  </si>
  <si>
    <t>Salary - Coordinator of Construction</t>
  </si>
  <si>
    <t>Salary - Construction Inspector</t>
  </si>
  <si>
    <t>Architect/Engineering Services</t>
  </si>
  <si>
    <t>Land and Improvements</t>
  </si>
  <si>
    <t>Renovate and Remodel Constr Svcs</t>
  </si>
  <si>
    <t>4600-</t>
  </si>
  <si>
    <t>Canopy</t>
  </si>
  <si>
    <t>Vehicle - New Truck</t>
  </si>
  <si>
    <t>Dues</t>
  </si>
  <si>
    <t>Equip</t>
  </si>
  <si>
    <t>Temporary Secretarial</t>
  </si>
  <si>
    <t>Total Planning &amp; Construction</t>
  </si>
  <si>
    <t>Curriculum and Instruction</t>
  </si>
  <si>
    <t>1100·</t>
  </si>
  <si>
    <t>Teacher Substitutes Day-By-Day</t>
  </si>
  <si>
    <t>Repair - Educational Equipment</t>
  </si>
  <si>
    <t>Instructional Supplies</t>
  </si>
  <si>
    <t>Instructional Technology Supplies</t>
  </si>
  <si>
    <t>Classroom Supplies</t>
  </si>
  <si>
    <t>School Desks/Furniture</t>
  </si>
  <si>
    <t>Instructional Equipment</t>
  </si>
  <si>
    <t>1105·</t>
  </si>
  <si>
    <t>Salaries</t>
  </si>
  <si>
    <t xml:space="preserve">SACS </t>
  </si>
  <si>
    <t>1490·</t>
  </si>
  <si>
    <t>Summer School Salaries</t>
  </si>
  <si>
    <t>2219·</t>
  </si>
  <si>
    <t>Salary - Supervisor, Grants</t>
  </si>
  <si>
    <t>2220·</t>
  </si>
  <si>
    <t>Salary - Research Analyst</t>
  </si>
  <si>
    <t>Salary - Grant Clerical</t>
  </si>
  <si>
    <t>Travel Grants</t>
  </si>
  <si>
    <t>R/M Grants</t>
  </si>
  <si>
    <t>Supplies-Grants</t>
  </si>
  <si>
    <t>Equipment-Grants</t>
  </si>
  <si>
    <t>2230·</t>
  </si>
  <si>
    <t xml:space="preserve">Stipends: Quality Leadership Team (QLT) </t>
  </si>
  <si>
    <t>Stipends: Transition to Teaching</t>
  </si>
  <si>
    <t>Travel Transition to Teaching</t>
  </si>
  <si>
    <t>Clerical Teacher Academy Clerical</t>
  </si>
  <si>
    <t>Other Stipends</t>
  </si>
  <si>
    <t>Other Salaries</t>
  </si>
  <si>
    <t>Salary - Assistant Superintendent</t>
  </si>
  <si>
    <t>Eq Lease- copier</t>
  </si>
  <si>
    <t>Travel Associate Superintendent</t>
  </si>
  <si>
    <t>Administrative Equipment</t>
  </si>
  <si>
    <t>Miscellaneous</t>
  </si>
  <si>
    <t>2400·</t>
  </si>
  <si>
    <t>School Telephone Expense</t>
  </si>
  <si>
    <t>School Supplies Non-Instructional</t>
  </si>
  <si>
    <t>School Equipment Non-Instructional</t>
  </si>
  <si>
    <t>Salary - Mail Clerk</t>
  </si>
  <si>
    <t>Mail Supplies</t>
  </si>
  <si>
    <t>Supplies Grounds Maintenance</t>
  </si>
  <si>
    <t>Resource Officers</t>
  </si>
  <si>
    <t>Quality Teacher Trainers</t>
  </si>
  <si>
    <t>3300·</t>
  </si>
  <si>
    <t>QLT Contract Services</t>
  </si>
  <si>
    <t>QLT Travel</t>
  </si>
  <si>
    <t>QLT Supplies</t>
  </si>
  <si>
    <t>QLT Equipment</t>
  </si>
  <si>
    <t>Calcasieu Arts &amp; Humanities Council</t>
  </si>
  <si>
    <t>Total Curriculum &amp; Instruction</t>
  </si>
  <si>
    <t>Elementary</t>
  </si>
  <si>
    <t>Salary - Kindergarten Teachers</t>
  </si>
  <si>
    <t>Salary - Elementary Teachers</t>
  </si>
  <si>
    <t>Salary - Classroom Aides</t>
  </si>
  <si>
    <t>Consultant Art Matching</t>
  </si>
  <si>
    <t>Repair &amp; Upkeep of Equipment</t>
  </si>
  <si>
    <t>Travel - Teachers</t>
  </si>
  <si>
    <t>Supplies Software/Computer</t>
  </si>
  <si>
    <t xml:space="preserve">Supplies Art </t>
  </si>
  <si>
    <t>Supplies - General School</t>
  </si>
  <si>
    <t>Supplies - Pre-K</t>
  </si>
  <si>
    <t>Supplies - K thru 5</t>
  </si>
  <si>
    <t>Supplies - Remediation</t>
  </si>
  <si>
    <t>Kindergarten Testing Supplies</t>
  </si>
  <si>
    <t>Equipment - K thru 5</t>
  </si>
  <si>
    <t xml:space="preserve">Equipment - Remediation </t>
  </si>
  <si>
    <t>Equipment - Visual/Graphic Arts</t>
  </si>
  <si>
    <t>1400·</t>
  </si>
  <si>
    <t>Purchased Services</t>
  </si>
  <si>
    <t>1410·</t>
  </si>
  <si>
    <t>Teacher Salaries-Extracurricular Supplements</t>
  </si>
  <si>
    <t>Salaries ISI</t>
  </si>
  <si>
    <t>1510·</t>
  </si>
  <si>
    <t>1520·</t>
  </si>
  <si>
    <t>CODOFIL Teacher Salaries</t>
  </si>
  <si>
    <t>CODOFIL Travel</t>
  </si>
  <si>
    <t>1530·</t>
  </si>
  <si>
    <t>Salary - Preschool Teachers</t>
  </si>
  <si>
    <t>Salary - Preschool Aides</t>
  </si>
  <si>
    <t>2122·</t>
  </si>
  <si>
    <t>Salary - Counselors Elementary</t>
  </si>
  <si>
    <t>2211·</t>
  </si>
  <si>
    <t>Salary - Administrative Directors</t>
  </si>
  <si>
    <t>Salary - Secretaries Administrative Directors</t>
  </si>
  <si>
    <t>Salary - Instructional Director</t>
  </si>
  <si>
    <t>Salary - Instructional Consultants Elementary</t>
  </si>
  <si>
    <t>Salaries/Stipends Elementary Programs</t>
  </si>
  <si>
    <t>Salaries - Clerical Instructional Staff</t>
  </si>
  <si>
    <t>Travel Elementary Teachers</t>
  </si>
  <si>
    <t>Travel - Supervisors &amp; Consultants</t>
  </si>
  <si>
    <t>Travel - Administrative Directors</t>
  </si>
  <si>
    <t>Supplies - Supervisors/Consultants Elementary</t>
  </si>
  <si>
    <t>Supplies Art Studio</t>
  </si>
  <si>
    <t>Supplies Elementary</t>
  </si>
  <si>
    <t>Office Supplies (Adm. Director)</t>
  </si>
  <si>
    <t>Books Elementary</t>
  </si>
  <si>
    <t>Equipment Elementary</t>
  </si>
  <si>
    <t>Equipment Art Studio</t>
  </si>
  <si>
    <t>2252·</t>
  </si>
  <si>
    <t>Salary - Librarians</t>
  </si>
  <si>
    <t>Salary - School Secretaries</t>
  </si>
  <si>
    <t>Southern Association Evaluation</t>
  </si>
  <si>
    <t>Dues and Fees (Southern Assoc, etc)</t>
  </si>
  <si>
    <t>Office Supplies - Principals</t>
  </si>
  <si>
    <t>2410·</t>
  </si>
  <si>
    <t>Salary - Principals</t>
  </si>
  <si>
    <t>2420·</t>
  </si>
  <si>
    <t>Salary - Assistant Principals</t>
  </si>
  <si>
    <t>2490·</t>
  </si>
  <si>
    <t>Administrative Interns</t>
  </si>
  <si>
    <t>Total Elementary</t>
  </si>
  <si>
    <t>Salaries - Clerical</t>
  </si>
  <si>
    <t>Total Elementary Instructional</t>
  </si>
  <si>
    <t>Middle School</t>
  </si>
  <si>
    <t>Salary - Alternative Discipline Program</t>
  </si>
  <si>
    <t>Salary - Remediation</t>
  </si>
  <si>
    <t>Computer Lines</t>
  </si>
  <si>
    <t>Purch Svcs Vocal</t>
  </si>
  <si>
    <t>Supplies Software/Computers</t>
  </si>
  <si>
    <t>Supplies General School K-12</t>
  </si>
  <si>
    <t>Supplies Remediation</t>
  </si>
  <si>
    <t>Supplies Exploratory</t>
  </si>
  <si>
    <t>Supplies Instructional TV</t>
  </si>
  <si>
    <t xml:space="preserve">Supplies Language </t>
  </si>
  <si>
    <t>French Immersion Supplies</t>
  </si>
  <si>
    <t>French Immersion Purch Ed Svcs</t>
  </si>
  <si>
    <t>French Immersion Travel</t>
  </si>
  <si>
    <t>Supplies Math</t>
  </si>
  <si>
    <t>Supplies Reading</t>
  </si>
  <si>
    <t>Supplies Science</t>
  </si>
  <si>
    <t>Supplies Social Studies</t>
  </si>
  <si>
    <t>001</t>
  </si>
  <si>
    <t>Foreign Language Supplies</t>
  </si>
  <si>
    <t>Equipment General School</t>
  </si>
  <si>
    <t>Equipment Instructional TV</t>
  </si>
  <si>
    <t>Equipment Language</t>
  </si>
  <si>
    <t>Equipment Math</t>
  </si>
  <si>
    <t>Equipment Reading</t>
  </si>
  <si>
    <t>Equipment Science</t>
  </si>
  <si>
    <t xml:space="preserve">Equipment Social Studies  </t>
  </si>
  <si>
    <t>Miscellaneous Exp</t>
  </si>
  <si>
    <t>Salaries CoCurricular</t>
  </si>
  <si>
    <t>Cocurricular Aides</t>
  </si>
  <si>
    <t>1420·</t>
  </si>
  <si>
    <t>Salaries Coaching Supplements</t>
  </si>
  <si>
    <t>ISI</t>
  </si>
  <si>
    <t>Salary - Counselors Middle</t>
  </si>
  <si>
    <t>Salary Director Sch Improvmnt</t>
  </si>
  <si>
    <t>Salary-Psycometrics Clerical</t>
  </si>
  <si>
    <t>Salary - Instructional Supervisors Middle</t>
  </si>
  <si>
    <t>Salary - Instructional Consultants Middle</t>
  </si>
  <si>
    <t>Salary - Instructional Clerical</t>
  </si>
  <si>
    <t>Salaries/Stipends Middle Programs</t>
  </si>
  <si>
    <t>Salaries- Clerical</t>
  </si>
  <si>
    <t>Purchased Services - Consultants Middle</t>
  </si>
  <si>
    <t>Purchased Services - Middle</t>
  </si>
  <si>
    <t>Repair Office Equipment Middle</t>
  </si>
  <si>
    <t>Travel Middle</t>
  </si>
  <si>
    <t>Supplies - Supervisors/Consultants Middle</t>
  </si>
  <si>
    <t>Supplies - School Improvement</t>
  </si>
  <si>
    <t>Supplies Middle</t>
  </si>
  <si>
    <t>Books Middle</t>
  </si>
  <si>
    <t>Equipment Middle</t>
  </si>
  <si>
    <t>Equipment - Supervisors/Consultants Middle</t>
  </si>
  <si>
    <t>Stipends</t>
  </si>
  <si>
    <t>2290·</t>
  </si>
  <si>
    <t>Office Supplies - Supervisory Staff Middle</t>
  </si>
  <si>
    <t>Salary - Administrative Director</t>
  </si>
  <si>
    <t>Salary - Secretary to Admin Director</t>
  </si>
  <si>
    <t>Repair Services Property</t>
  </si>
  <si>
    <t>Travel - Administrative Director</t>
  </si>
  <si>
    <t>Office Supplies (Admin. Director)</t>
  </si>
  <si>
    <t>Southern Association</t>
  </si>
  <si>
    <t>School Equipment</t>
  </si>
  <si>
    <t>Total Middle School</t>
  </si>
  <si>
    <t>1310·</t>
  </si>
  <si>
    <t>Repair Agriculture</t>
  </si>
  <si>
    <t>Travel Agriculture</t>
  </si>
  <si>
    <t>Supplies Agriculture</t>
  </si>
  <si>
    <t>Equipment Agriculture</t>
  </si>
  <si>
    <t>1340·</t>
  </si>
  <si>
    <t>1350·</t>
  </si>
  <si>
    <t>Repair Trade and Industry</t>
  </si>
  <si>
    <t>Repair Technology Education</t>
  </si>
  <si>
    <t>1390·</t>
  </si>
  <si>
    <t>Travel Tech Prep</t>
  </si>
  <si>
    <t>Travel Trade and Industry</t>
  </si>
  <si>
    <t>Supplies T&amp;I/Health Occupations</t>
  </si>
  <si>
    <t>Supplies Technology Education</t>
  </si>
  <si>
    <t>Equipment T&amp;I/Health Occupations</t>
  </si>
  <si>
    <t>Equipment Technology Education</t>
  </si>
  <si>
    <t>1360·</t>
  </si>
  <si>
    <t>Repair Business Education</t>
  </si>
  <si>
    <t>Travel Business and Office</t>
  </si>
  <si>
    <t>Travel Marketing Education</t>
  </si>
  <si>
    <t>Supplies Business and Office</t>
  </si>
  <si>
    <t>Supplies Marketing Education</t>
  </si>
  <si>
    <t>Equipment Business and Office</t>
  </si>
  <si>
    <t>Salary - TECP Consortium</t>
  </si>
  <si>
    <t>Salary - Disadvantaged Aides</t>
  </si>
  <si>
    <t>Repair Guidance</t>
  </si>
  <si>
    <t>Repairs Option 3</t>
  </si>
  <si>
    <t>Lease Equipment</t>
  </si>
  <si>
    <t>Travel Option 3</t>
  </si>
  <si>
    <t>Travel Guidance</t>
  </si>
  <si>
    <t>Supplies Option 3</t>
  </si>
  <si>
    <t xml:space="preserve">Supplies TECP </t>
  </si>
  <si>
    <t>Supplies Guidance</t>
  </si>
  <si>
    <t>Supplies O/A Guidance</t>
  </si>
  <si>
    <t>Supplies TECP Outreach</t>
  </si>
  <si>
    <t>Supplies TECP Basic</t>
  </si>
  <si>
    <t>Equipment Option 3</t>
  </si>
  <si>
    <t>Equipment Guidance</t>
  </si>
  <si>
    <t>2215·</t>
  </si>
  <si>
    <t>Salary - Director Vocational</t>
  </si>
  <si>
    <t>Salary-Option 3 Supervisors</t>
  </si>
  <si>
    <t>Salary - Vocational Clerical</t>
  </si>
  <si>
    <t>Salaries/Stipends Vocational  Programs</t>
  </si>
  <si>
    <t>Purchased Services Vocational</t>
  </si>
  <si>
    <t>Travel Vocational</t>
  </si>
  <si>
    <t>Travel administrative Staff Vocational</t>
  </si>
  <si>
    <t>Supplies Vocational</t>
  </si>
  <si>
    <t>Office Supplies Vocational</t>
  </si>
  <si>
    <t xml:space="preserve">Stipends Vocational </t>
  </si>
  <si>
    <t>Supplies Business Machine Repairs</t>
  </si>
  <si>
    <t>Salary - Craftsmen</t>
  </si>
  <si>
    <t>2690·</t>
  </si>
  <si>
    <t>Salary- Part Time Technical</t>
  </si>
  <si>
    <t>4-H Program</t>
  </si>
  <si>
    <t>High Schools</t>
  </si>
  <si>
    <t>1130·</t>
  </si>
  <si>
    <t>Salary - Secondary Teachers</t>
  </si>
  <si>
    <t>Salary - ACT Prep</t>
  </si>
  <si>
    <t>Salary - Academic Competition</t>
  </si>
  <si>
    <t>Salary- Arts Matching Programs</t>
  </si>
  <si>
    <t>Ed Services Tuition</t>
  </si>
  <si>
    <t>Art Purchased Services</t>
  </si>
  <si>
    <t>Satellite Learning Purchased Services</t>
  </si>
  <si>
    <t>Repair &amp; Cleaning Band Instruments</t>
  </si>
  <si>
    <t>Repair Science Equipment</t>
  </si>
  <si>
    <t>Repair ILS Lab/Multimedia</t>
  </si>
  <si>
    <t>Repair Vocal Equipment</t>
  </si>
  <si>
    <t>Travel - Academic Competition</t>
  </si>
  <si>
    <t>Travel - Advanced Placement Courses</t>
  </si>
  <si>
    <t>Travel - Art Matching</t>
  </si>
  <si>
    <t>Supplies - Advanced Placement Courses</t>
  </si>
  <si>
    <t>Supplies - Academic Competition</t>
  </si>
  <si>
    <t>Supplies - Computer Science</t>
  </si>
  <si>
    <t>Supplies- Online Software</t>
  </si>
  <si>
    <t>Supplies - Art</t>
  </si>
  <si>
    <t>Supplies -Visual/Graphics Arts</t>
  </si>
  <si>
    <t>Supplies - English</t>
  </si>
  <si>
    <t>Supplies - Mathematics</t>
  </si>
  <si>
    <t>Supplies - Science</t>
  </si>
  <si>
    <t>Supplies - Social Studies</t>
  </si>
  <si>
    <t>Supplies - Band and Orchestra</t>
  </si>
  <si>
    <t>Supplies - Foreign Language</t>
  </si>
  <si>
    <t>Supplies - Physical Education</t>
  </si>
  <si>
    <t>Supplies - LCB Academy</t>
  </si>
  <si>
    <t>Supplies - Physical Education-CMN</t>
  </si>
  <si>
    <t>Supplies - Vocal Music</t>
  </si>
  <si>
    <t xml:space="preserve">Supplies - Satellite Learning </t>
  </si>
  <si>
    <t>Supplies - Band Uniforms</t>
  </si>
  <si>
    <t>Equipment - Advanced  Placement Courses</t>
  </si>
  <si>
    <t>Equipment - Computer Science</t>
  </si>
  <si>
    <t>Equipment - Computers</t>
  </si>
  <si>
    <t>Equipment - General Education</t>
  </si>
  <si>
    <t>Equipment - English</t>
  </si>
  <si>
    <t>Equipment - Math</t>
  </si>
  <si>
    <t>Equipment - Science</t>
  </si>
  <si>
    <t>Equipment - Social Studies</t>
  </si>
  <si>
    <t>Equipment - Band &amp; Orchestra</t>
  </si>
  <si>
    <t>Equipment - Physical Education</t>
  </si>
  <si>
    <t>Equipment - Vocal Music</t>
  </si>
  <si>
    <t>Equipment-LCB Academy</t>
  </si>
  <si>
    <t>Salary - Agriculture Teachers</t>
  </si>
  <si>
    <t>Salary - Home Economics Teachers</t>
  </si>
  <si>
    <t>Salary - Trades &amp; Industry Teachers</t>
  </si>
  <si>
    <t>Salary - Business Teachers</t>
  </si>
  <si>
    <t>1300·</t>
  </si>
  <si>
    <t>Supplies-Option 3</t>
  </si>
  <si>
    <t>Helmet Certification</t>
  </si>
  <si>
    <t>Sports Med Progrm Svcs / Helmet Cert</t>
  </si>
  <si>
    <t>Salaries CoCurricular Supplements</t>
  </si>
  <si>
    <t>1440·</t>
  </si>
  <si>
    <t>Drivers Education Teachers</t>
  </si>
  <si>
    <t>Drivers Education Purchased Services</t>
  </si>
  <si>
    <t>Drivers Education Supplies</t>
  </si>
  <si>
    <t>Drivers Ed Fuel</t>
  </si>
  <si>
    <t>1450·</t>
  </si>
  <si>
    <t>ROTC Instructors</t>
  </si>
  <si>
    <t>ROTC Travel</t>
  </si>
  <si>
    <t>ROTC Supplies</t>
  </si>
  <si>
    <t>Bilingual Program Salaries</t>
  </si>
  <si>
    <t>2113·</t>
  </si>
  <si>
    <t>Salary - Social Worker</t>
  </si>
  <si>
    <t>Salary - Counselors High</t>
  </si>
  <si>
    <t>P/S Ed Services Guidance</t>
  </si>
  <si>
    <t>Salary - High Secretary</t>
  </si>
  <si>
    <t>Travel - Admin Director</t>
  </si>
  <si>
    <t>Office Supplies (Admin Director)</t>
  </si>
  <si>
    <t>Director of High School Curriculum</t>
  </si>
  <si>
    <t>Salary - Instructional Supervisors High</t>
  </si>
  <si>
    <t>Salary - Instructional Consultants High</t>
  </si>
  <si>
    <t>Supplements, High School Program</t>
  </si>
  <si>
    <t xml:space="preserve">Salary Clerical </t>
  </si>
  <si>
    <t>Purchased Services High</t>
  </si>
  <si>
    <t>Purchased Services - Consultants High</t>
  </si>
  <si>
    <t>Travel - Supervisors &amp; Consultants High</t>
  </si>
  <si>
    <t>Travel High</t>
  </si>
  <si>
    <t>Travel Curriculum Director</t>
  </si>
  <si>
    <t>Supplies Support High</t>
  </si>
  <si>
    <t>Supplies High</t>
  </si>
  <si>
    <t>Supplies Curriculum Director</t>
  </si>
  <si>
    <t>Equipment Support High</t>
  </si>
  <si>
    <t>Equipment High</t>
  </si>
  <si>
    <t>Supplies Training</t>
  </si>
  <si>
    <t>2251·</t>
  </si>
  <si>
    <t>Library Consultant</t>
  </si>
  <si>
    <t>Southern Association Certification Services</t>
  </si>
  <si>
    <t>Alternative School General Fund</t>
  </si>
  <si>
    <t>2820·</t>
  </si>
  <si>
    <t>2820-</t>
  </si>
  <si>
    <t>R/M of Equipment</t>
  </si>
  <si>
    <t>Printing-Binding: Share/Annual Report</t>
  </si>
  <si>
    <t>Supplies - Public Information Services</t>
  </si>
  <si>
    <t>Equipment - Public Information Services</t>
  </si>
  <si>
    <t>2821·</t>
  </si>
  <si>
    <t>Salary - Public Information Officer</t>
  </si>
  <si>
    <t>2829·</t>
  </si>
  <si>
    <t>2830·</t>
  </si>
  <si>
    <t>Athletic Drug Testing</t>
  </si>
  <si>
    <t>Total High Schools</t>
  </si>
  <si>
    <t>Adult Education</t>
  </si>
  <si>
    <t>1600·</t>
  </si>
  <si>
    <t>Salary - Teachers</t>
  </si>
  <si>
    <t>Salary - Aides</t>
  </si>
  <si>
    <t>2216·</t>
  </si>
  <si>
    <t>Salary - Supervisor Adult Education</t>
  </si>
  <si>
    <t>Salary - Adult Education Clerical</t>
  </si>
  <si>
    <t>Non Instructional Supplies &amp; Materials</t>
  </si>
  <si>
    <t>Non Instructional Equipment</t>
  </si>
  <si>
    <t>Custodians</t>
  </si>
  <si>
    <t>Total Adult Education</t>
  </si>
  <si>
    <t>Print Shop</t>
  </si>
  <si>
    <t>2540·</t>
  </si>
  <si>
    <t>Salary - Print Shop Personnel</t>
  </si>
  <si>
    <t>Temporary Clerical</t>
  </si>
  <si>
    <t>Lease of Print Shop Equipment</t>
  </si>
  <si>
    <t>Materials &amp; Supplies</t>
  </si>
  <si>
    <t>Total Print Shop</t>
  </si>
  <si>
    <t>Child Welfare and Attendance</t>
  </si>
  <si>
    <t>2111·</t>
  </si>
  <si>
    <t xml:space="preserve">Salary - Director </t>
  </si>
  <si>
    <t>Salary - Supervisors</t>
  </si>
  <si>
    <t>2110·</t>
  </si>
  <si>
    <t>Salary - Counselor</t>
  </si>
  <si>
    <t>Total Child Welfare &amp; Attendance</t>
  </si>
  <si>
    <t>Library//Media Services</t>
  </si>
  <si>
    <t>Textbooks- Regular and Special Education</t>
  </si>
  <si>
    <t>Nonpublic Textbooks</t>
  </si>
  <si>
    <t>Librarians-Policy Update Stipends</t>
  </si>
  <si>
    <t>Purchased Services Library</t>
  </si>
  <si>
    <t>Travel Library</t>
  </si>
  <si>
    <t>Supplies Library Audio Visual</t>
  </si>
  <si>
    <t>Supplies Library Automation</t>
  </si>
  <si>
    <t>Supplies Library</t>
  </si>
  <si>
    <t>Library Books &amp; Reference Books</t>
  </si>
  <si>
    <t>Periodicals &amp; Newspapers</t>
  </si>
  <si>
    <t>Library Books - Supplies/Binding/Software</t>
  </si>
  <si>
    <t>Library Equipment</t>
  </si>
  <si>
    <t>Equipment Libraries K-12 Automation</t>
  </si>
  <si>
    <t>2259·</t>
  </si>
  <si>
    <t>Salary - Media Center Personnel</t>
  </si>
  <si>
    <t>Purch Services Media</t>
  </si>
  <si>
    <t>Repairs Media Center</t>
  </si>
  <si>
    <t>Travel - Media Center</t>
  </si>
  <si>
    <t xml:space="preserve">Supplies - Media Center </t>
  </si>
  <si>
    <t>Supplies-Color Copier</t>
  </si>
  <si>
    <t>Equipment - Media Center</t>
  </si>
  <si>
    <t>Salary - Library &amp; Textbook Supervisor</t>
  </si>
  <si>
    <t>Salary - Library Clerical</t>
  </si>
  <si>
    <t>Textbook Warehouse</t>
  </si>
  <si>
    <t>Salary - Library &amp; Textbook Services</t>
  </si>
  <si>
    <t>Rental of Mch Media Center</t>
  </si>
  <si>
    <t>Copier</t>
  </si>
  <si>
    <t>Salary Computer Technicians</t>
  </si>
  <si>
    <t>Total Library &amp; Media Services</t>
  </si>
  <si>
    <t>Special Education</t>
  </si>
  <si>
    <t>1210·</t>
  </si>
  <si>
    <t>Salary Special Ed Teachers</t>
  </si>
  <si>
    <t>1211·</t>
  </si>
  <si>
    <t>Salary Special Ed SC/Resource/Combo</t>
  </si>
  <si>
    <t>1212·</t>
  </si>
  <si>
    <t>Salary SpEd Classroom Support</t>
  </si>
  <si>
    <t>1215·</t>
  </si>
  <si>
    <t>Salary Sp Ed Work Study</t>
  </si>
  <si>
    <t>1290·</t>
  </si>
  <si>
    <t>Salary SpEd Homebound</t>
  </si>
  <si>
    <t>Salary - Teacher Aides</t>
  </si>
  <si>
    <t>1214·</t>
  </si>
  <si>
    <t>Salary-APE Teachers</t>
  </si>
  <si>
    <t>1216·</t>
  </si>
  <si>
    <t>Salary-Special Ed Preschool</t>
  </si>
  <si>
    <t>Purch Professional Services</t>
  </si>
  <si>
    <t>Repair &amp; Maintenance of Equipment</t>
  </si>
  <si>
    <t>Travel Teachers/Therapists</t>
  </si>
  <si>
    <t>Supplies Instructional</t>
  </si>
  <si>
    <t>Equipment Special Education Inst'l</t>
  </si>
  <si>
    <t>1213·</t>
  </si>
  <si>
    <t>2152·</t>
  </si>
  <si>
    <t>Salary - Speech Therapists</t>
  </si>
  <si>
    <t>2153·</t>
  </si>
  <si>
    <t>Salary - Audiologists</t>
  </si>
  <si>
    <t>2154·</t>
  </si>
  <si>
    <t>Salary - Sign Language Interpr</t>
  </si>
  <si>
    <t>2721·</t>
  </si>
  <si>
    <t>Bus Drivers</t>
  </si>
  <si>
    <t>2212·</t>
  </si>
  <si>
    <t>Salary - Director Special Education</t>
  </si>
  <si>
    <t>Salary - Supervisors Special Education</t>
  </si>
  <si>
    <t>Salary - Special Education Clerical</t>
  </si>
  <si>
    <t>Travel Special Education</t>
  </si>
  <si>
    <t>Salary Disproportionate Supervisor</t>
  </si>
  <si>
    <t>Supplies Special Education</t>
  </si>
  <si>
    <t>Equipment Special Education</t>
  </si>
  <si>
    <t>Travel - Supervisors and Director</t>
  </si>
  <si>
    <t>Postage Special Education</t>
  </si>
  <si>
    <t>Office Supplies Special Education</t>
  </si>
  <si>
    <t>Office Equipment</t>
  </si>
  <si>
    <t>2731·</t>
  </si>
  <si>
    <t>Payment in Lieu of Transportation</t>
  </si>
  <si>
    <t>Total Special Education</t>
  </si>
  <si>
    <t>Gifted/Talented/Advanced Placement</t>
  </si>
  <si>
    <t>1220·</t>
  </si>
  <si>
    <t>Salary - Teachers Gifted</t>
  </si>
  <si>
    <t>Consultants Gifted</t>
  </si>
  <si>
    <t>Travel Gifted Teachers</t>
  </si>
  <si>
    <t>Other Purchased Services Gifted</t>
  </si>
  <si>
    <t>Educational Materials &amp; Supplies Gifted</t>
  </si>
  <si>
    <t>Educational Equipment</t>
  </si>
  <si>
    <t>1221·</t>
  </si>
  <si>
    <t>Salary - Teachers Talented</t>
  </si>
  <si>
    <t>Purchased Services Talented</t>
  </si>
  <si>
    <t>Teacher Travel Talented</t>
  </si>
  <si>
    <t>Other Purchased Services Talented</t>
  </si>
  <si>
    <t>Educational Materials &amp; Supplies Talented</t>
  </si>
  <si>
    <t>1222·</t>
  </si>
  <si>
    <t>Teacher Travel A/P</t>
  </si>
  <si>
    <t>Other Purchased Services A/P</t>
  </si>
  <si>
    <t>Educational Materials &amp; Supplies A/P</t>
  </si>
  <si>
    <t>2213·</t>
  </si>
  <si>
    <t>Admin Postage</t>
  </si>
  <si>
    <t>Travel Gifted/T/A</t>
  </si>
  <si>
    <t>Other Purch Svcs Gifted</t>
  </si>
  <si>
    <t>Office Supplies Talented</t>
  </si>
  <si>
    <t>Office Supplies Advanced Placement</t>
  </si>
  <si>
    <t>Telephone Allocation/Lines</t>
  </si>
  <si>
    <t>Total Gifted/Talented/Advanced Placement</t>
  </si>
  <si>
    <t>Pupil Appraisal</t>
  </si>
  <si>
    <t>Salary - Social Workers</t>
  </si>
  <si>
    <t>Salary-SI Social Workers</t>
  </si>
  <si>
    <t xml:space="preserve">Salary-Preschool </t>
  </si>
  <si>
    <t>2123·</t>
  </si>
  <si>
    <t>Salary - Supervisor</t>
  </si>
  <si>
    <t>Consultants</t>
  </si>
  <si>
    <t>Psychological Services</t>
  </si>
  <si>
    <t>Travel Teachers</t>
  </si>
  <si>
    <t>Travel Pupil Appraisal</t>
  </si>
  <si>
    <t>2142·</t>
  </si>
  <si>
    <t>Salary - Psychologist</t>
  </si>
  <si>
    <t>Salary-Psychology Supervisor</t>
  </si>
  <si>
    <t>Salary - Educational Diagnosticians</t>
  </si>
  <si>
    <t>Salary - Speech Evaluator/Pathologist</t>
  </si>
  <si>
    <t>Facility Rental</t>
  </si>
  <si>
    <t>Total Pupil Appraisal</t>
  </si>
  <si>
    <t>Speech/Language Therapy</t>
  </si>
  <si>
    <t>Salary - Speech Aides</t>
  </si>
  <si>
    <t>Contract Svcs Therapists</t>
  </si>
  <si>
    <t>Instructional Consultants</t>
  </si>
  <si>
    <t>Travel - Therapist/Aides/Consultants</t>
  </si>
  <si>
    <t>Salary - Speech Therapy Clerical</t>
  </si>
  <si>
    <t>Salaries/Stipends Speech Programs</t>
  </si>
  <si>
    <t>Salary - Supervisor Speech Therapy</t>
  </si>
  <si>
    <t>Purchased Services Speech</t>
  </si>
  <si>
    <t>P/S Temps</t>
  </si>
  <si>
    <t>Travel Speech Therapy</t>
  </si>
  <si>
    <t>Postage Speech</t>
  </si>
  <si>
    <t>Travel - Speech</t>
  </si>
  <si>
    <t>Total Speech/Lang Therapy</t>
  </si>
  <si>
    <t>Nursing</t>
  </si>
  <si>
    <t>2131·</t>
  </si>
  <si>
    <t>2134·</t>
  </si>
  <si>
    <t>Salary - Nurses</t>
  </si>
  <si>
    <t>2130·</t>
  </si>
  <si>
    <t>Repair of Equipment</t>
  </si>
  <si>
    <t>Copy Machine Rental</t>
  </si>
  <si>
    <t>Administrative Telephone Cost</t>
  </si>
  <si>
    <t>Health Supplies</t>
  </si>
  <si>
    <t>Instructional Staff - Stipends</t>
  </si>
  <si>
    <t>Total Nursing</t>
  </si>
  <si>
    <t>Testing</t>
  </si>
  <si>
    <t xml:space="preserve">ITBS/ITED &amp; other tests </t>
  </si>
  <si>
    <t>PLAN (Grade 10)</t>
  </si>
  <si>
    <t>Pre-ID and Electronic Data Info</t>
  </si>
  <si>
    <t>Explore (Grade 8)</t>
  </si>
  <si>
    <t>ACT/SAT/PLAN-ACT Linkage reports</t>
  </si>
  <si>
    <t>Achievement Tests</t>
  </si>
  <si>
    <t>Scantron</t>
  </si>
  <si>
    <t>Salary - Administrator Director</t>
  </si>
  <si>
    <t>Consultant - Accountability</t>
  </si>
  <si>
    <t>Temporary Services</t>
  </si>
  <si>
    <t>Purch Services-Admin Consultants</t>
  </si>
  <si>
    <t>Travel DAT Team</t>
  </si>
  <si>
    <t>Supplies Scantron</t>
  </si>
  <si>
    <t>Total Testing</t>
  </si>
  <si>
    <t>Personnel</t>
  </si>
  <si>
    <t>Admin Telephone</t>
  </si>
  <si>
    <t>Medical Exams</t>
  </si>
  <si>
    <t>Finger Printing/Temps</t>
  </si>
  <si>
    <t>Drug Testing</t>
  </si>
  <si>
    <t>Legal Services</t>
  </si>
  <si>
    <t>Office/Recruiting Supplies</t>
  </si>
  <si>
    <t>Rental of Equipment</t>
  </si>
  <si>
    <t>2831·</t>
  </si>
  <si>
    <t>2832·</t>
  </si>
  <si>
    <t>Salary - Placement &amp; Supervisors</t>
  </si>
  <si>
    <t>Total Personnel</t>
  </si>
  <si>
    <t>Warehouse</t>
  </si>
  <si>
    <t xml:space="preserve">Textbooks- Regular </t>
  </si>
  <si>
    <t>Textbooks- Special Education</t>
  </si>
  <si>
    <t>'000</t>
  </si>
  <si>
    <t>Textbooks- Gifted</t>
  </si>
  <si>
    <t>Salary - Director Warehouse/Transportation</t>
  </si>
  <si>
    <t>Temporary Help</t>
  </si>
  <si>
    <t>Shipping/Postage</t>
  </si>
  <si>
    <t>Other Purchased Services</t>
  </si>
  <si>
    <t>Whse Supplies Loss/Damaged</t>
  </si>
  <si>
    <t>Parts Whse Vehicles</t>
  </si>
  <si>
    <t>Fuel - Vehicles</t>
  </si>
  <si>
    <t>Eq General School</t>
  </si>
  <si>
    <t>Equipment Vehicles</t>
  </si>
  <si>
    <t>Total Warehouse &amp; Textbooks</t>
  </si>
  <si>
    <t>Transportation</t>
  </si>
  <si>
    <t>Telephone and Pagers</t>
  </si>
  <si>
    <t>Parts Yard Eq</t>
  </si>
  <si>
    <t>Supplies -Yard Upkeep</t>
  </si>
  <si>
    <t>Supplies -Yard Upkeep Lubricants</t>
  </si>
  <si>
    <t>Fuel Yard Equipment</t>
  </si>
  <si>
    <t>Equipment - Yard Upkeep</t>
  </si>
  <si>
    <t>Repair Svcs-Eq Upkeep-Tires</t>
  </si>
  <si>
    <t>Parts Equipment</t>
  </si>
  <si>
    <t>Fuel &amp; Oil - Maintenance</t>
  </si>
  <si>
    <t>2650·</t>
  </si>
  <si>
    <t>Vehicle Maint Svcs Tires</t>
  </si>
  <si>
    <t>Vehicle Maint Svcs General</t>
  </si>
  <si>
    <t>Supplies Vehicle Maint - Tires</t>
  </si>
  <si>
    <t>Parts Vehicles</t>
  </si>
  <si>
    <t>2710·</t>
  </si>
  <si>
    <t>Salary - Director</t>
  </si>
  <si>
    <t>Salary - Route Supervisors</t>
  </si>
  <si>
    <t>Salary Route Supervisor</t>
  </si>
  <si>
    <t>Licenses/Registrations</t>
  </si>
  <si>
    <t>P/S Hazardous Material Removal</t>
  </si>
  <si>
    <t>P/S Tire Repair Trucks/Wreckers</t>
  </si>
  <si>
    <t>Office Equipment Maintenance</t>
  </si>
  <si>
    <t>P/S Accident Repairs Trucks/Wreckers</t>
  </si>
  <si>
    <t>P/S Repairs Trucks/Wreckers</t>
  </si>
  <si>
    <t>Radio Tower Fee</t>
  </si>
  <si>
    <t>Routing System Fee</t>
  </si>
  <si>
    <t>Travel - Transportation Supervisor</t>
  </si>
  <si>
    <t>Office &amp; Training Supplies</t>
  </si>
  <si>
    <t>Parts Trucks and Wreckers</t>
  </si>
  <si>
    <t>Shop Supplies</t>
  </si>
  <si>
    <t>Small Tools and Supplies</t>
  </si>
  <si>
    <t>Shop (Trucks/Wreckers) Tires</t>
  </si>
  <si>
    <t>Shop Lubricants</t>
  </si>
  <si>
    <t>Radio Repair</t>
  </si>
  <si>
    <t>Radio Purchases</t>
  </si>
  <si>
    <t>Supplies -Lubes, Bulk Oil</t>
  </si>
  <si>
    <t>Supplies Training Expense</t>
  </si>
  <si>
    <t>Supplies First Aid</t>
  </si>
  <si>
    <t>Supplies Bus Washing</t>
  </si>
  <si>
    <t>Fuel &amp; Oil - Trucks/Wrecker</t>
  </si>
  <si>
    <t>Technology Equipment</t>
  </si>
  <si>
    <t>Shop Equipment</t>
  </si>
  <si>
    <t xml:space="preserve">Trucks/Trailers/Vehicles </t>
  </si>
  <si>
    <t>Miscellaneous Expenses</t>
  </si>
  <si>
    <t>Salary - Bus Drivers Regular Education</t>
  </si>
  <si>
    <t>Salary - Substitute Drivers Regular</t>
  </si>
  <si>
    <t>2722·</t>
  </si>
  <si>
    <t>Salary-Aides Regular Buses</t>
  </si>
  <si>
    <t>2723·</t>
  </si>
  <si>
    <t>Salary - Mechanics</t>
  </si>
  <si>
    <t>Reg Trans Tire Repair</t>
  </si>
  <si>
    <t>Reg Trans C/S Gen Maint Repairs</t>
  </si>
  <si>
    <t>Reg Trans C/S Accident Repairs</t>
  </si>
  <si>
    <t>Reg Fleet Insurance</t>
  </si>
  <si>
    <t>Parts Regular Buses</t>
  </si>
  <si>
    <t>Limestone - Bus Turnarounds</t>
  </si>
  <si>
    <t>Bus Cameras</t>
  </si>
  <si>
    <t>Supplies Tires/Tube</t>
  </si>
  <si>
    <t>Supplies Lubricants Small Lot</t>
  </si>
  <si>
    <t>Supplies Radio Repair</t>
  </si>
  <si>
    <t>Supplies Radio Purchases</t>
  </si>
  <si>
    <t>Supplies Lubricants Bulk Oil</t>
  </si>
  <si>
    <t>Fuel &amp; Oil - Regular Transportation</t>
  </si>
  <si>
    <t>Equipment Vehicle Maintenance</t>
  </si>
  <si>
    <t>Replacement Buses-Regular</t>
  </si>
  <si>
    <t>Salary - Bus Drivers Special Education</t>
  </si>
  <si>
    <t>Salary - Substitute Drivers Special Education</t>
  </si>
  <si>
    <t>2732-</t>
  </si>
  <si>
    <t>Salary - Aides Special Education Buses</t>
  </si>
  <si>
    <t>2733·</t>
  </si>
  <si>
    <t>Special Ed Tire Repair</t>
  </si>
  <si>
    <t>Sp Ed C/S Gen Maint Repairs</t>
  </si>
  <si>
    <t>Sp Ed C/S Accident Repairs</t>
  </si>
  <si>
    <t>Sp Ed Fleet Ins</t>
  </si>
  <si>
    <t>Parts Special Education Buses</t>
  </si>
  <si>
    <t>Limestone - Bus Turnarounds Sp Ed</t>
  </si>
  <si>
    <t>Sp Ed Supplies - Bus Cameras</t>
  </si>
  <si>
    <t>Sp Ed Supplies - Tires and Tubes</t>
  </si>
  <si>
    <t>Sp Ed Supplies - Lubricants</t>
  </si>
  <si>
    <t>Sp Ed Supplies - Radio Repair</t>
  </si>
  <si>
    <t>Sp Ed Supplies - Radio Purchases</t>
  </si>
  <si>
    <t>Fuel &amp; Oil - Special Education Transportation</t>
  </si>
  <si>
    <t>Replacement Buses-Special Education</t>
  </si>
  <si>
    <t>Debt Service-Interest LCDA Buses</t>
  </si>
  <si>
    <t>Debt Service-Principal LCDA Buses</t>
  </si>
  <si>
    <t>Total Transportation</t>
  </si>
  <si>
    <t>Other Miscellaneous Grants</t>
  </si>
  <si>
    <t>Elementary Program</t>
  </si>
  <si>
    <t>2100·</t>
  </si>
  <si>
    <t>633000·</t>
  </si>
  <si>
    <t>Other grants-expenses</t>
  </si>
  <si>
    <t>Kick Off Summit Subs</t>
  </si>
  <si>
    <t>Social Worker - Grant</t>
  </si>
  <si>
    <t>National Tchr Cert-Salary from Federal</t>
  </si>
  <si>
    <t>5200·</t>
  </si>
  <si>
    <t>Other Uses</t>
  </si>
  <si>
    <t>Reynaud Supplemental Svcs</t>
  </si>
  <si>
    <t>2200·</t>
  </si>
  <si>
    <t>Walmart Grant</t>
  </si>
  <si>
    <t>Grumman Stipends</t>
  </si>
  <si>
    <t>Grumman Supplies</t>
  </si>
  <si>
    <t>Summer Elem Program Salaries</t>
  </si>
  <si>
    <t>Summer Elem Program Supplies</t>
  </si>
  <si>
    <t>Beyond Basics Math Grant PEP</t>
  </si>
  <si>
    <t>1200·</t>
  </si>
  <si>
    <t>Headstart supplements</t>
  </si>
  <si>
    <t>Americorp Grant Supplies</t>
  </si>
  <si>
    <t>Americorp Grant Contract Artist</t>
  </si>
  <si>
    <t>77·</t>
  </si>
  <si>
    <t>Entergy for Molo</t>
  </si>
  <si>
    <t>Title Administrative Supplies</t>
  </si>
  <si>
    <t>78·</t>
  </si>
  <si>
    <t>LOC</t>
  </si>
  <si>
    <t>TAP Supplements</t>
  </si>
  <si>
    <t>TAP Quality Control Facilitator</t>
  </si>
  <si>
    <t>Region V Coordinator</t>
  </si>
  <si>
    <t>Stipends LASIP McNeese</t>
  </si>
  <si>
    <t>Tuition</t>
  </si>
  <si>
    <t>Finance</t>
  </si>
  <si>
    <t>2511·</t>
  </si>
  <si>
    <t>Salary - Chief Finance Officer</t>
  </si>
  <si>
    <t>Total Finance</t>
  </si>
  <si>
    <t>Insurance</t>
  </si>
  <si>
    <t>Workers Compensation Payments</t>
  </si>
  <si>
    <t>Based on salaries, rates to be .52%,2.41%, 7.33%</t>
  </si>
  <si>
    <t>Loss Control Project</t>
  </si>
  <si>
    <t>Drivers Education Fleet Insurance</t>
  </si>
  <si>
    <t>General Legal Services</t>
  </si>
  <si>
    <t>Auto Liability Legal</t>
  </si>
  <si>
    <t>Liability Insurance (umbrella)</t>
  </si>
  <si>
    <t>Student Accident Insurance</t>
  </si>
  <si>
    <t>General Claims Deductible</t>
  </si>
  <si>
    <t>Auto Liability Claims</t>
  </si>
  <si>
    <t>Errors and Omissions</t>
  </si>
  <si>
    <t>Bonding Employees</t>
  </si>
  <si>
    <t>Contracted Service - Medicaid/COBRA</t>
  </si>
  <si>
    <t>2315·</t>
  </si>
  <si>
    <t>Pension Funds</t>
  </si>
  <si>
    <t>Boiler Insurance</t>
  </si>
  <si>
    <t>Computer Hardware Insurance</t>
  </si>
  <si>
    <t>Property Insurance</t>
  </si>
  <si>
    <t>Insurance (Umbrella)</t>
  </si>
  <si>
    <t>Bus Ins Floater</t>
  </si>
  <si>
    <t>3200·</t>
  </si>
  <si>
    <t>Salary - Claims Adjuster</t>
  </si>
  <si>
    <t>Total Insurance</t>
  </si>
  <si>
    <t>Accounting/Purchasing</t>
  </si>
  <si>
    <t>2515·</t>
  </si>
  <si>
    <t>83·</t>
  </si>
  <si>
    <t>Salary - Secretary &amp; Clerical</t>
  </si>
  <si>
    <t>Salary - Accounting Staff</t>
  </si>
  <si>
    <t>2515-</t>
  </si>
  <si>
    <t>Banking Services</t>
  </si>
  <si>
    <t>Central Office Copy Cost/Postage meter</t>
  </si>
  <si>
    <t xml:space="preserve">Postage </t>
  </si>
  <si>
    <t>2520·</t>
  </si>
  <si>
    <t>Salary - Purchasing Clerical</t>
  </si>
  <si>
    <t>Salary - Buyers</t>
  </si>
  <si>
    <t>Purchased Technical Services</t>
  </si>
  <si>
    <t>R/U Equipment</t>
  </si>
  <si>
    <t>Copier Rental</t>
  </si>
  <si>
    <t>Supplies</t>
  </si>
  <si>
    <t>Admin Phone</t>
  </si>
  <si>
    <t>Total Accounting / Purchasing</t>
  </si>
  <si>
    <t>Accounts Payable</t>
  </si>
  <si>
    <t>2513·</t>
  </si>
  <si>
    <t>Temporary Employee</t>
  </si>
  <si>
    <t>Purchased Tech Services</t>
  </si>
  <si>
    <t>Total Accounts Payable</t>
  </si>
  <si>
    <t>Payroll</t>
  </si>
  <si>
    <t>2514·</t>
  </si>
  <si>
    <t>Total Payroll</t>
  </si>
  <si>
    <t>Sales Tax</t>
  </si>
  <si>
    <t>Salary - Office Manager</t>
  </si>
  <si>
    <t>Contracted Services Tax Audits</t>
  </si>
  <si>
    <t>Note: Gotta Pay</t>
  </si>
  <si>
    <t>Technical Services</t>
  </si>
  <si>
    <t>1110-</t>
  </si>
  <si>
    <t>2315-</t>
  </si>
  <si>
    <t>000-</t>
  </si>
  <si>
    <t>Merchant Service Banking Fees</t>
  </si>
  <si>
    <t>Purchased Property Services</t>
  </si>
  <si>
    <t>Special Project Postage</t>
  </si>
  <si>
    <t>Dues &amp; Fees</t>
  </si>
  <si>
    <t>Storage Rental</t>
  </si>
  <si>
    <t>2329·</t>
  </si>
  <si>
    <t>Other Professional</t>
  </si>
  <si>
    <t>Telephone - Sales Tax</t>
  </si>
  <si>
    <t>Debt Service -Principal</t>
  </si>
  <si>
    <t>Debt Service -Interest</t>
  </si>
  <si>
    <t>Total Sales Tax</t>
  </si>
  <si>
    <t>Technology</t>
  </si>
  <si>
    <t>Contracted Services Networking</t>
  </si>
  <si>
    <t>School Computer Supplies/Software</t>
  </si>
  <si>
    <t>Equipment School Comp/Accessories</t>
  </si>
  <si>
    <t>Salary Tech Prof Devel Trainers-Erate</t>
  </si>
  <si>
    <t>Salary - Coordinator of Technology</t>
  </si>
  <si>
    <t>Salary Tech Clerical</t>
  </si>
  <si>
    <t>Salary Consultants</t>
  </si>
  <si>
    <t>Salary Coordinator</t>
  </si>
  <si>
    <t>Salary - Rgn V Tech Cntr Coordinators</t>
  </si>
  <si>
    <t>Salary Computer Techs</t>
  </si>
  <si>
    <t>Travel Supervisors and Consultants</t>
  </si>
  <si>
    <t>Supplies Tech Services</t>
  </si>
  <si>
    <t>Supplies Tech Center</t>
  </si>
  <si>
    <t>Technology Facilitator</t>
  </si>
  <si>
    <t>Clerical ERATE</t>
  </si>
  <si>
    <t>2255-</t>
  </si>
  <si>
    <t>Salary Computer Assisted Instr-</t>
  </si>
  <si>
    <t>Purchased Services - Connect Ed.</t>
  </si>
  <si>
    <t>Travel Computer Technician</t>
  </si>
  <si>
    <t>Supplies Computer Repair</t>
  </si>
  <si>
    <t>Equipment Computer Repair</t>
  </si>
  <si>
    <t>Purch Bldg Svcs</t>
  </si>
  <si>
    <t>Other Technology Salaries</t>
  </si>
  <si>
    <t>2840·</t>
  </si>
  <si>
    <t>P/S Tech</t>
  </si>
  <si>
    <t>2620-</t>
  </si>
  <si>
    <t>Data Lines</t>
  </si>
  <si>
    <t>Network Admin Travel</t>
  </si>
  <si>
    <t>Supplies ERATE</t>
  </si>
  <si>
    <t>Equipment-ERATE</t>
  </si>
  <si>
    <t>Network Clerical</t>
  </si>
  <si>
    <t>2842·</t>
  </si>
  <si>
    <t>Network Administrator</t>
  </si>
  <si>
    <t>2843·</t>
  </si>
  <si>
    <t>SQL Programmer</t>
  </si>
  <si>
    <t>Maintenance Contracts Networks</t>
  </si>
  <si>
    <t>Supplies network</t>
  </si>
  <si>
    <t>Eq Network</t>
  </si>
  <si>
    <t>Total Technology</t>
  </si>
  <si>
    <t>Data Processing</t>
  </si>
  <si>
    <t>2841·</t>
  </si>
  <si>
    <t>Salary - Director of Data Processing</t>
  </si>
  <si>
    <t>Salary - Programmer/Analyst</t>
  </si>
  <si>
    <t>Salary - School Site</t>
  </si>
  <si>
    <t>Salary-Comp Curric Teacher Training</t>
  </si>
  <si>
    <t>Stipend for Teachers EGT (electronic gradebook Training)</t>
  </si>
  <si>
    <t>Maintenance Contract - Computers</t>
  </si>
  <si>
    <t>Pur Tech Serv-R/P Eq</t>
  </si>
  <si>
    <t>Office &amp; Data Processing Supplies</t>
  </si>
  <si>
    <t>Software</t>
  </si>
  <si>
    <t>Debt Service-Interest LCDA Computer</t>
  </si>
  <si>
    <t>Debt Service-Principal LCDA Computer</t>
  </si>
  <si>
    <t>Total Data Processing</t>
  </si>
  <si>
    <t>Utilities</t>
  </si>
  <si>
    <t>Preventive Maintenance JCI</t>
  </si>
  <si>
    <t>Filter &amp; Frames - A/C</t>
  </si>
  <si>
    <t>Telephone R/M</t>
  </si>
  <si>
    <t>Telephone Equipment</t>
  </si>
  <si>
    <t>Water</t>
  </si>
  <si>
    <t>Sewage</t>
  </si>
  <si>
    <t>Telephone Charges</t>
  </si>
  <si>
    <t>Natural Gas</t>
  </si>
  <si>
    <t>Electricity</t>
  </si>
  <si>
    <t>Interest JCI Retrofitting</t>
  </si>
  <si>
    <t>Principal JCI Retrofitting/Payments to escrow/QZAB</t>
  </si>
  <si>
    <t>Total Utilities</t>
  </si>
  <si>
    <t>Employee Benefits</t>
  </si>
  <si>
    <t>PIPS Salaries</t>
  </si>
  <si>
    <t>Salary - Sabbatical Leave</t>
  </si>
  <si>
    <t>Employee Insurance Plans</t>
  </si>
  <si>
    <t>Social Security</t>
  </si>
  <si>
    <t xml:space="preserve">Medicare Taxation </t>
  </si>
  <si>
    <t>Teachers Retirement System</t>
  </si>
  <si>
    <t>School Employees Retirement</t>
  </si>
  <si>
    <t>Optional Retirement System</t>
  </si>
  <si>
    <t>Other Retirement</t>
  </si>
  <si>
    <t>Parochial Employees Retirement</t>
  </si>
  <si>
    <t>LA State Employees Retirement</t>
  </si>
  <si>
    <t>Unemployment Compensation</t>
  </si>
  <si>
    <t>Retiree Health/Life Insurance</t>
  </si>
  <si>
    <t>Sick Leave Severance Pay</t>
  </si>
  <si>
    <t>Workers' Compensation Payments</t>
  </si>
  <si>
    <t>Total Employee Benefits</t>
  </si>
  <si>
    <t>School Lunch Support</t>
  </si>
  <si>
    <t>Total School Lunch Support</t>
  </si>
  <si>
    <t>Financial Services</t>
  </si>
  <si>
    <t>Debt Interest Expense</t>
  </si>
  <si>
    <t>Miscellaneous Issue Costs</t>
  </si>
  <si>
    <t>Principal Payments</t>
  </si>
  <si>
    <t>Total Debt &amp; Issue Costs on GO Bonds</t>
  </si>
  <si>
    <t>00·</t>
  </si>
  <si>
    <t>Total Other Uses</t>
  </si>
  <si>
    <r>
      <t xml:space="preserve">Salary - Supervisor </t>
    </r>
    <r>
      <rPr>
        <sz val="9"/>
        <color indexed="12"/>
        <rFont val="Arial"/>
        <family val="2"/>
      </rPr>
      <t>Gifted</t>
    </r>
    <r>
      <rPr>
        <sz val="10"/>
        <color indexed="8"/>
        <rFont val="Arial"/>
        <family val="2"/>
      </rPr>
      <t>/Talented/Adv Place</t>
    </r>
  </si>
  <si>
    <r>
      <t xml:space="preserve">Salary - </t>
    </r>
    <r>
      <rPr>
        <sz val="9"/>
        <color indexed="12"/>
        <rFont val="Arial"/>
        <family val="2"/>
      </rPr>
      <t>Gifted</t>
    </r>
    <r>
      <rPr>
        <sz val="10"/>
        <color indexed="8"/>
        <rFont val="Arial"/>
        <family val="2"/>
      </rPr>
      <t>/T/A Clerical</t>
    </r>
  </si>
  <si>
    <r>
      <t xml:space="preserve">Purchased Services </t>
    </r>
    <r>
      <rPr>
        <sz val="9"/>
        <color indexed="12"/>
        <rFont val="Arial"/>
        <family val="2"/>
      </rPr>
      <t>Gifted</t>
    </r>
  </si>
  <si>
    <r>
      <t xml:space="preserve">Purchased Services </t>
    </r>
    <r>
      <rPr>
        <sz val="10"/>
        <color indexed="17"/>
        <rFont val="Arial"/>
        <family val="2"/>
      </rPr>
      <t>Talented</t>
    </r>
  </si>
  <si>
    <r>
      <t xml:space="preserve">Purchased Services </t>
    </r>
    <r>
      <rPr>
        <sz val="9.5"/>
        <color indexed="15"/>
        <rFont val="Arial"/>
        <family val="2"/>
      </rPr>
      <t>Advanced Placement</t>
    </r>
  </si>
  <si>
    <r>
      <t xml:space="preserve">Travel </t>
    </r>
    <r>
      <rPr>
        <sz val="10"/>
        <color indexed="17"/>
        <rFont val="Arial"/>
        <family val="2"/>
      </rPr>
      <t>Talented</t>
    </r>
  </si>
  <si>
    <r>
      <t xml:space="preserve">Travel </t>
    </r>
    <r>
      <rPr>
        <sz val="9.5"/>
        <color indexed="15"/>
        <rFont val="Arial"/>
        <family val="2"/>
      </rPr>
      <t>Advanced Placement</t>
    </r>
  </si>
  <si>
    <r>
      <t xml:space="preserve">Office Supplies </t>
    </r>
    <r>
      <rPr>
        <sz val="9"/>
        <color indexed="12"/>
        <rFont val="Arial"/>
        <family val="2"/>
      </rPr>
      <t>Gifted</t>
    </r>
  </si>
  <si>
    <r>
      <t xml:space="preserve">Equipment </t>
    </r>
    <r>
      <rPr>
        <sz val="9"/>
        <color indexed="12"/>
        <rFont val="Arial"/>
        <family val="2"/>
      </rPr>
      <t>Gifted</t>
    </r>
  </si>
  <si>
    <r>
      <t xml:space="preserve">Curriculum Development </t>
    </r>
    <r>
      <rPr>
        <sz val="9"/>
        <color indexed="12"/>
        <rFont val="Arial"/>
        <family val="2"/>
      </rPr>
      <t>Gifted</t>
    </r>
  </si>
  <si>
    <r>
      <t xml:space="preserve">Postage </t>
    </r>
    <r>
      <rPr>
        <sz val="9"/>
        <color indexed="12"/>
        <rFont val="Arial"/>
        <family val="2"/>
      </rPr>
      <t>Gifted</t>
    </r>
  </si>
  <si>
    <r>
      <t xml:space="preserve">Travel - Supervisor/Teachers </t>
    </r>
    <r>
      <rPr>
        <sz val="9"/>
        <color indexed="12"/>
        <rFont val="Arial"/>
        <family val="2"/>
      </rPr>
      <t>Gifted</t>
    </r>
  </si>
  <si>
    <r>
      <t xml:space="preserve">Travel Supervisors </t>
    </r>
    <r>
      <rPr>
        <sz val="8.6999999999999993"/>
        <color indexed="15"/>
        <rFont val="Arial"/>
        <family val="2"/>
      </rPr>
      <t>AP</t>
    </r>
  </si>
  <si>
    <r>
      <t xml:space="preserve">Office Supplies </t>
    </r>
    <r>
      <rPr>
        <sz val="10"/>
        <color indexed="17"/>
        <rFont val="Arial"/>
        <family val="2"/>
      </rPr>
      <t>Talented</t>
    </r>
  </si>
  <si>
    <r>
      <t xml:space="preserve">Office Supplies </t>
    </r>
    <r>
      <rPr>
        <sz val="10"/>
        <color indexed="15"/>
        <rFont val="Arial"/>
        <family val="2"/>
      </rPr>
      <t>Advanced Placement</t>
    </r>
  </si>
  <si>
    <r>
      <t xml:space="preserve">Salaries/Stipends </t>
    </r>
    <r>
      <rPr>
        <sz val="9"/>
        <color indexed="12"/>
        <rFont val="Arial"/>
        <family val="2"/>
      </rPr>
      <t>Gifted</t>
    </r>
    <r>
      <rPr>
        <sz val="10"/>
        <color indexed="8"/>
        <rFont val="Arial"/>
        <family val="2"/>
      </rPr>
      <t xml:space="preserve"> Programs</t>
    </r>
  </si>
  <si>
    <r>
      <t xml:space="preserve">Salaries/Stipends </t>
    </r>
    <r>
      <rPr>
        <sz val="10"/>
        <color indexed="17"/>
        <rFont val="Arial"/>
        <family val="2"/>
      </rPr>
      <t>Talented</t>
    </r>
  </si>
  <si>
    <r>
      <t>Salaries/Stipends</t>
    </r>
    <r>
      <rPr>
        <sz val="9.3000000000000007"/>
        <color indexed="15"/>
        <rFont val="Arial"/>
        <family val="2"/>
      </rPr>
      <t xml:space="preserve"> Advanced Placement</t>
    </r>
  </si>
  <si>
    <r>
      <t xml:space="preserve">Total Other </t>
    </r>
    <r>
      <rPr>
        <b/>
        <sz val="10"/>
        <color indexed="18"/>
        <rFont val="Arial"/>
        <family val="2"/>
      </rPr>
      <t>Misc</t>
    </r>
    <r>
      <rPr>
        <b/>
        <sz val="10"/>
        <color indexed="8"/>
        <rFont val="Arial"/>
        <family val="2"/>
      </rPr>
      <t xml:space="preserve"> Grants</t>
    </r>
  </si>
  <si>
    <t>Total Career and Technical Education</t>
  </si>
  <si>
    <t>Career and Technical Education</t>
  </si>
  <si>
    <t>Debt on GO Bonds</t>
  </si>
  <si>
    <t>GENERAL FUND, PROPOSED ORIGINAL BUDGET</t>
  </si>
  <si>
    <t>2010-2011</t>
  </si>
  <si>
    <t>Rental of Copier</t>
  </si>
  <si>
    <t>Supplies Janitorial Summer</t>
  </si>
  <si>
    <t>Elementary - Instructional</t>
  </si>
  <si>
    <t>Supplies Gen School K-12</t>
  </si>
  <si>
    <t>1370·</t>
  </si>
  <si>
    <t>Repair Family &amp; Consumer Sciences</t>
  </si>
  <si>
    <t>Travel Family &amp; Consumer Sciences</t>
  </si>
  <si>
    <t>Supplies Family &amp; Consumer Sciences</t>
  </si>
  <si>
    <t>Equipment Family &amp; Consumer Sciences</t>
  </si>
  <si>
    <t>Salaries Cocurricular Supp Aides</t>
  </si>
  <si>
    <t>Salaries Coaching Supp Aides</t>
  </si>
  <si>
    <t>Salary - Warehousemen</t>
  </si>
  <si>
    <t>Salary - Warehouse Drivers</t>
  </si>
  <si>
    <t>#2</t>
  </si>
  <si>
    <t>2011-2012</t>
  </si>
  <si>
    <t>FOR YEAR ENDING JUNE 30, 2012</t>
  </si>
  <si>
    <t>AA·</t>
  </si>
  <si>
    <t>REVISED #2</t>
  </si>
  <si>
    <t>AB·</t>
  </si>
  <si>
    <t>AC·</t>
  </si>
  <si>
    <t>BL·</t>
  </si>
  <si>
    <t>AD·</t>
  </si>
  <si>
    <t>AE·</t>
  </si>
  <si>
    <t xml:space="preserve">Equipment </t>
  </si>
  <si>
    <t>AF·</t>
  </si>
  <si>
    <t>AG·</t>
  </si>
  <si>
    <t>Supplies - Educational</t>
  </si>
  <si>
    <t>AH·</t>
  </si>
  <si>
    <t>AI·</t>
  </si>
  <si>
    <t>AJ·</t>
  </si>
  <si>
    <t>AX·</t>
  </si>
  <si>
    <t>AT·</t>
  </si>
  <si>
    <t>AW·</t>
  </si>
  <si>
    <t>AK·</t>
  </si>
  <si>
    <t>Do not use</t>
  </si>
  <si>
    <t>Salary  - PTU Teacher</t>
  </si>
  <si>
    <t>AL·</t>
  </si>
  <si>
    <t>AR·</t>
  </si>
  <si>
    <t>2141·</t>
  </si>
  <si>
    <t>2145·</t>
  </si>
  <si>
    <t>AS·</t>
  </si>
  <si>
    <t>AU·</t>
  </si>
  <si>
    <t>AV·</t>
  </si>
  <si>
    <t>BA·</t>
  </si>
  <si>
    <t>BB·</t>
  </si>
  <si>
    <t>BC·</t>
  </si>
  <si>
    <t>Subtotal Accounting</t>
  </si>
  <si>
    <t>Subtotal Purchasing</t>
  </si>
  <si>
    <t>BD·</t>
  </si>
  <si>
    <t>BE·</t>
  </si>
  <si>
    <t>BG·</t>
  </si>
  <si>
    <t>BH·</t>
  </si>
  <si>
    <t>BI·</t>
  </si>
  <si>
    <t>BJ·</t>
  </si>
  <si>
    <t>BK·</t>
  </si>
  <si>
    <t>BM·</t>
  </si>
  <si>
    <t>BP·</t>
  </si>
  <si>
    <t>BR·</t>
  </si>
  <si>
    <t>BS·</t>
  </si>
  <si>
    <t>Transfers out to other funds</t>
  </si>
  <si>
    <t>Other Transfers Out</t>
  </si>
  <si>
    <t>BN·</t>
  </si>
  <si>
    <t>GA·</t>
  </si>
  <si>
    <t>GB·</t>
  </si>
  <si>
    <t>GC·</t>
  </si>
  <si>
    <t>GD·</t>
  </si>
  <si>
    <t>GH·</t>
  </si>
  <si>
    <t>GK·</t>
  </si>
  <si>
    <t>C/S General Maintenance</t>
  </si>
  <si>
    <t>Sch Admin Clerical</t>
  </si>
  <si>
    <t>Note that counselors and administrative interns were paid with Federal ARRA funds in 2009-10 so they will not actually be on the elementary department general ledger for 2009-2010. Included</t>
  </si>
  <si>
    <t xml:space="preserve"> above for comparison purposes.</t>
  </si>
  <si>
    <t>Salary - Instructional Coaches</t>
  </si>
  <si>
    <t>Supplies Home Economics</t>
  </si>
  <si>
    <t>Travel - Talented</t>
  </si>
  <si>
    <t xml:space="preserve">Total Testing Services </t>
  </si>
  <si>
    <t>Eq Rental</t>
  </si>
  <si>
    <t>P/S R/U Equipment</t>
  </si>
  <si>
    <t>Mechanics</t>
  </si>
  <si>
    <t>Note that educational diagnosticians were paid with Federal ARRA funds in 2009-10 so they will not actually be on the department general ledger for 2009-2010. Included</t>
  </si>
  <si>
    <t>Equipment Maintenance -Tires</t>
  </si>
  <si>
    <t>BF</t>
  </si>
</sst>
</file>

<file path=xl/styles.xml><?xml version="1.0" encoding="utf-8"?>
<styleSheet xmlns="http://schemas.openxmlformats.org/spreadsheetml/2006/main">
  <numFmts count="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_);\(0\)"/>
    <numFmt numFmtId="165" formatCode="_(&quot;$&quot;* #,##0_);_(&quot;$&quot;* \(#,##0\);_(&quot;$&quot;* &quot;-&quot;??_);_(@_)"/>
    <numFmt numFmtId="166" formatCode="_(* #,##0_);_(* \(#,##0\);_(* &quot;-&quot;??_);_(@_)"/>
  </numFmts>
  <fonts count="60">
    <font>
      <sz val="10"/>
      <name val="Arial"/>
    </font>
    <font>
      <sz val="10"/>
      <name val="Arial"/>
    </font>
    <font>
      <sz val="12"/>
      <name val="Helv"/>
    </font>
    <font>
      <sz val="8"/>
      <name val="Arial"/>
    </font>
    <font>
      <b/>
      <sz val="11"/>
      <color indexed="8"/>
      <name val="Arial"/>
      <family val="2"/>
    </font>
    <font>
      <b/>
      <sz val="11"/>
      <name val="Arial"/>
      <family val="2"/>
    </font>
    <font>
      <sz val="10"/>
      <color indexed="8"/>
      <name val="Arial"/>
      <family val="2"/>
    </font>
    <font>
      <sz val="10"/>
      <color indexed="8"/>
      <name val="Arial"/>
    </font>
    <font>
      <sz val="8"/>
      <color indexed="9"/>
      <name val="Arial"/>
    </font>
    <font>
      <b/>
      <sz val="10"/>
      <name val="Arial"/>
    </font>
    <font>
      <b/>
      <sz val="10"/>
      <color indexed="12"/>
      <name val="Arial"/>
      <family val="2"/>
    </font>
    <font>
      <b/>
      <sz val="10"/>
      <name val="Arial"/>
      <family val="2"/>
    </font>
    <font>
      <b/>
      <sz val="10"/>
      <color indexed="8"/>
      <name val="Arial"/>
      <family val="2"/>
    </font>
    <font>
      <sz val="7.5"/>
      <color indexed="8"/>
      <name val="Arial"/>
      <family val="2"/>
    </font>
    <font>
      <sz val="8"/>
      <color indexed="8"/>
      <name val="Arial"/>
    </font>
    <font>
      <sz val="8"/>
      <color indexed="18"/>
      <name val="Arial"/>
    </font>
    <font>
      <sz val="8"/>
      <name val="Arial"/>
      <family val="2"/>
    </font>
    <font>
      <b/>
      <sz val="10"/>
      <color indexed="8"/>
      <name val="Arial"/>
    </font>
    <font>
      <b/>
      <sz val="10"/>
      <color indexed="9"/>
      <name val="Arial"/>
    </font>
    <font>
      <b/>
      <sz val="10"/>
      <color indexed="18"/>
      <name val="Arial"/>
    </font>
    <font>
      <sz val="10"/>
      <color indexed="18"/>
      <name val="Arial"/>
    </font>
    <font>
      <b/>
      <u val="singleAccounting"/>
      <sz val="10"/>
      <name val="Arial"/>
    </font>
    <font>
      <b/>
      <sz val="10"/>
      <color indexed="12"/>
      <name val="Arial"/>
    </font>
    <font>
      <b/>
      <u val="singleAccounting"/>
      <sz val="10"/>
      <color indexed="18"/>
      <name val="Arial"/>
    </font>
    <font>
      <b/>
      <sz val="10"/>
      <color indexed="17"/>
      <name val="Arial"/>
    </font>
    <font>
      <b/>
      <sz val="10"/>
      <color indexed="63"/>
      <name val="Arial"/>
    </font>
    <font>
      <sz val="10"/>
      <color indexed="63"/>
      <name val="Arial"/>
    </font>
    <font>
      <b/>
      <u val="singleAccounting"/>
      <sz val="10"/>
      <color indexed="63"/>
      <name val="Arial"/>
    </font>
    <font>
      <b/>
      <u val="singleAccounting"/>
      <sz val="10"/>
      <name val="Arial"/>
      <family val="2"/>
    </font>
    <font>
      <sz val="10"/>
      <color indexed="9"/>
      <name val="Arial"/>
      <family val="2"/>
    </font>
    <font>
      <b/>
      <u val="singleAccounting"/>
      <sz val="10"/>
      <color indexed="8"/>
      <name val="Arial"/>
      <family val="2"/>
    </font>
    <font>
      <b/>
      <u val="singleAccounting"/>
      <sz val="10"/>
      <color indexed="8"/>
      <name val="Arial"/>
    </font>
    <font>
      <b/>
      <u val="singleAccounting"/>
      <sz val="10"/>
      <color indexed="17"/>
      <name val="Arial"/>
    </font>
    <font>
      <b/>
      <u val="singleAccounting"/>
      <sz val="10"/>
      <color indexed="12"/>
      <name val="Arial"/>
    </font>
    <font>
      <sz val="10"/>
      <color indexed="12"/>
      <name val="Arial"/>
    </font>
    <font>
      <sz val="10"/>
      <name val="Arial"/>
      <family val="2"/>
    </font>
    <font>
      <sz val="10"/>
      <color indexed="10"/>
      <name val="Arial"/>
    </font>
    <font>
      <sz val="10"/>
      <color indexed="17"/>
      <name val="Arial"/>
    </font>
    <font>
      <sz val="10"/>
      <color indexed="63"/>
      <name val="Arial"/>
      <family val="2"/>
    </font>
    <font>
      <sz val="10"/>
      <color indexed="17"/>
      <name val="Arial"/>
      <family val="2"/>
    </font>
    <font>
      <sz val="10"/>
      <color indexed="18"/>
      <name val="Arial"/>
      <family val="2"/>
    </font>
    <font>
      <sz val="10"/>
      <color indexed="12"/>
      <name val="Arial"/>
      <family val="2"/>
    </font>
    <font>
      <sz val="10"/>
      <color indexed="48"/>
      <name val="Arial"/>
      <family val="2"/>
    </font>
    <font>
      <sz val="10"/>
      <color indexed="16"/>
      <name val="Arial"/>
      <family val="2"/>
    </font>
    <font>
      <sz val="10"/>
      <color indexed="54"/>
      <name val="Arial"/>
      <family val="2"/>
    </font>
    <font>
      <sz val="10"/>
      <color indexed="62"/>
      <name val="Arial"/>
      <family val="2"/>
    </font>
    <font>
      <sz val="10"/>
      <color indexed="60"/>
      <name val="Arial"/>
      <family val="2"/>
    </font>
    <font>
      <sz val="10"/>
      <color indexed="40"/>
      <name val="Arial"/>
      <family val="2"/>
    </font>
    <font>
      <sz val="10"/>
      <color indexed="41"/>
      <name val="Arial"/>
    </font>
    <font>
      <sz val="10"/>
      <color indexed="15"/>
      <name val="Arial"/>
    </font>
    <font>
      <sz val="9"/>
      <color indexed="12"/>
      <name val="Arial"/>
      <family val="2"/>
    </font>
    <font>
      <sz val="9.5"/>
      <color indexed="15"/>
      <name val="Arial"/>
      <family val="2"/>
    </font>
    <font>
      <sz val="8.6999999999999993"/>
      <color indexed="15"/>
      <name val="Arial"/>
      <family val="2"/>
    </font>
    <font>
      <sz val="10"/>
      <color indexed="15"/>
      <name val="Arial"/>
      <family val="2"/>
    </font>
    <font>
      <sz val="9.3000000000000007"/>
      <color indexed="15"/>
      <name val="Arial"/>
      <family val="2"/>
    </font>
    <font>
      <sz val="10"/>
      <color indexed="10"/>
      <name val="Arial"/>
      <family val="2"/>
    </font>
    <font>
      <b/>
      <sz val="10"/>
      <color indexed="18"/>
      <name val="Arial"/>
      <family val="2"/>
    </font>
    <font>
      <sz val="10"/>
      <color indexed="9"/>
      <name val="Arial"/>
    </font>
    <font>
      <b/>
      <sz val="8"/>
      <color indexed="81"/>
      <name val="Tahoma"/>
    </font>
    <font>
      <sz val="8"/>
      <color indexed="81"/>
      <name val="Tahoma"/>
    </font>
  </fonts>
  <fills count="6">
    <fill>
      <patternFill patternType="none"/>
    </fill>
    <fill>
      <patternFill patternType="gray125"/>
    </fill>
    <fill>
      <patternFill patternType="solid">
        <fgColor indexed="43"/>
        <bgColor indexed="64"/>
      </patternFill>
    </fill>
    <fill>
      <patternFill patternType="solid">
        <fgColor indexed="13"/>
        <bgColor indexed="64"/>
      </patternFill>
    </fill>
    <fill>
      <patternFill patternType="solid">
        <fgColor indexed="9"/>
        <bgColor indexed="64"/>
      </patternFill>
    </fill>
    <fill>
      <patternFill patternType="solid">
        <fgColor indexed="42"/>
        <bgColor indexed="64"/>
      </patternFill>
    </fill>
  </fills>
  <borders count="4">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s>
  <cellStyleXfs count="10">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0" borderId="0"/>
    <xf numFmtId="0" fontId="2" fillId="0" borderId="0"/>
    <xf numFmtId="0" fontId="2" fillId="0" borderId="0"/>
    <xf numFmtId="37" fontId="2" fillId="0" borderId="0"/>
    <xf numFmtId="37" fontId="2" fillId="0" borderId="0"/>
    <xf numFmtId="0" fontId="2" fillId="0" borderId="0"/>
    <xf numFmtId="0" fontId="2" fillId="0" borderId="0"/>
  </cellStyleXfs>
  <cellXfs count="244">
    <xf numFmtId="0" fontId="0" fillId="0" borderId="0" xfId="0"/>
    <xf numFmtId="0" fontId="4" fillId="0" borderId="0" xfId="5" applyFont="1" applyFill="1"/>
    <xf numFmtId="0" fontId="5" fillId="0" borderId="0" xfId="5" applyFont="1" applyFill="1"/>
    <xf numFmtId="0" fontId="6" fillId="0" borderId="0" xfId="0" applyNumberFormat="1" applyFont="1" applyFill="1" applyAlignment="1">
      <alignment horizontal="center"/>
    </xf>
    <xf numFmtId="0" fontId="7" fillId="0" borderId="0" xfId="0" applyFont="1"/>
    <xf numFmtId="0" fontId="6" fillId="0" borderId="0" xfId="0" applyFont="1"/>
    <xf numFmtId="165" fontId="7" fillId="0" borderId="0" xfId="0" applyNumberFormat="1" applyFont="1" applyAlignment="1">
      <alignment horizontal="center"/>
    </xf>
    <xf numFmtId="165" fontId="7" fillId="0" borderId="0" xfId="0" applyNumberFormat="1" applyFont="1" applyFill="1"/>
    <xf numFmtId="165" fontId="7" fillId="2" borderId="0" xfId="0" applyNumberFormat="1" applyFont="1" applyFill="1"/>
    <xf numFmtId="0" fontId="3" fillId="0" borderId="0" xfId="0" applyFont="1"/>
    <xf numFmtId="165" fontId="8" fillId="0" borderId="0" xfId="2" applyNumberFormat="1" applyFont="1" applyFill="1"/>
    <xf numFmtId="37" fontId="3" fillId="0" borderId="0" xfId="0" applyNumberFormat="1" applyFont="1" applyFill="1" applyBorder="1" applyAlignment="1">
      <alignment horizontal="right"/>
    </xf>
    <xf numFmtId="43" fontId="0" fillId="0" borderId="0" xfId="0" applyNumberFormat="1" applyFill="1" applyBorder="1"/>
    <xf numFmtId="41" fontId="7" fillId="0" borderId="0" xfId="0" applyNumberFormat="1" applyFont="1"/>
    <xf numFmtId="165" fontId="7" fillId="0" borderId="0" xfId="2" applyNumberFormat="1" applyFont="1"/>
    <xf numFmtId="165" fontId="7" fillId="0" borderId="0" xfId="2" applyNumberFormat="1" applyFont="1" applyFill="1"/>
    <xf numFmtId="165" fontId="9" fillId="0" borderId="0" xfId="2" applyNumberFormat="1" applyFont="1" applyFill="1" applyAlignment="1">
      <alignment horizontal="center"/>
    </xf>
    <xf numFmtId="165" fontId="1" fillId="0" borderId="0" xfId="0" applyNumberFormat="1" applyFont="1" applyFill="1"/>
    <xf numFmtId="165" fontId="1" fillId="0" borderId="0" xfId="2" applyNumberFormat="1" applyFont="1" applyFill="1"/>
    <xf numFmtId="37" fontId="7" fillId="0" borderId="0" xfId="2" applyNumberFormat="1" applyFont="1" applyFill="1" applyBorder="1" applyAlignment="1">
      <alignment horizontal="right"/>
    </xf>
    <xf numFmtId="0" fontId="10" fillId="0" borderId="0" xfId="5" applyFont="1" applyFill="1"/>
    <xf numFmtId="0" fontId="11" fillId="0" borderId="0" xfId="5" applyFont="1" applyFill="1"/>
    <xf numFmtId="0" fontId="12" fillId="0" borderId="0" xfId="5" applyFont="1" applyFill="1"/>
    <xf numFmtId="165" fontId="13" fillId="0" borderId="0" xfId="0" applyNumberFormat="1" applyFont="1"/>
    <xf numFmtId="165" fontId="14" fillId="0" borderId="0" xfId="2" applyNumberFormat="1" applyFont="1" applyFill="1"/>
    <xf numFmtId="165" fontId="3" fillId="0" borderId="0" xfId="2" applyNumberFormat="1" applyFont="1" applyFill="1"/>
    <xf numFmtId="165" fontId="15" fillId="0" borderId="0" xfId="2" applyNumberFormat="1" applyFont="1" applyFill="1"/>
    <xf numFmtId="37" fontId="14" fillId="0" borderId="0" xfId="2" applyNumberFormat="1" applyFont="1" applyFill="1" applyBorder="1" applyAlignment="1">
      <alignment horizontal="right"/>
    </xf>
    <xf numFmtId="0" fontId="12" fillId="0" borderId="0" xfId="5" applyFont="1" applyFill="1" applyAlignment="1" applyProtection="1">
      <alignment horizontal="left"/>
    </xf>
    <xf numFmtId="0" fontId="11" fillId="0" borderId="0" xfId="5" applyFont="1" applyFill="1" applyAlignment="1" applyProtection="1">
      <alignment horizontal="left"/>
    </xf>
    <xf numFmtId="37" fontId="6" fillId="0" borderId="0" xfId="7" applyFont="1" applyAlignment="1" applyProtection="1">
      <alignment horizontal="center"/>
    </xf>
    <xf numFmtId="165" fontId="16" fillId="0" borderId="0" xfId="2" applyNumberFormat="1" applyFont="1" applyFill="1" applyAlignment="1">
      <alignment horizontal="center"/>
    </xf>
    <xf numFmtId="165" fontId="17" fillId="0" borderId="0" xfId="2" applyNumberFormat="1" applyFont="1" applyFill="1" applyAlignment="1">
      <alignment horizontal="center"/>
    </xf>
    <xf numFmtId="165" fontId="18" fillId="0" borderId="0" xfId="2" applyNumberFormat="1" applyFont="1" applyFill="1" applyAlignment="1">
      <alignment horizontal="center"/>
    </xf>
    <xf numFmtId="165" fontId="19" fillId="0" borderId="0" xfId="2" applyNumberFormat="1" applyFont="1" applyFill="1" applyAlignment="1">
      <alignment horizontal="center"/>
    </xf>
    <xf numFmtId="165" fontId="20" fillId="0" borderId="0" xfId="0" applyNumberFormat="1" applyFont="1" applyFill="1"/>
    <xf numFmtId="165" fontId="21" fillId="0" borderId="0" xfId="2" applyNumberFormat="1" applyFont="1" applyFill="1" applyAlignment="1">
      <alignment horizontal="center"/>
    </xf>
    <xf numFmtId="165" fontId="22" fillId="0" borderId="0" xfId="2" applyNumberFormat="1" applyFont="1" applyFill="1" applyAlignment="1">
      <alignment horizontal="center"/>
    </xf>
    <xf numFmtId="37" fontId="18" fillId="0" borderId="0" xfId="2" applyNumberFormat="1" applyFont="1" applyFill="1" applyBorder="1" applyAlignment="1">
      <alignment horizontal="right"/>
    </xf>
    <xf numFmtId="0" fontId="1" fillId="0" borderId="0" xfId="0" applyFont="1" applyFill="1"/>
    <xf numFmtId="0" fontId="7" fillId="0" borderId="0" xfId="0" applyNumberFormat="1" applyFont="1" applyFill="1"/>
    <xf numFmtId="37" fontId="17" fillId="0" borderId="0" xfId="7" applyFont="1" applyFill="1" applyAlignment="1" applyProtection="1">
      <alignment horizontal="center"/>
    </xf>
    <xf numFmtId="0" fontId="17" fillId="0" borderId="0" xfId="0" applyFont="1" applyAlignment="1">
      <alignment horizontal="center"/>
    </xf>
    <xf numFmtId="165" fontId="9" fillId="0" borderId="0" xfId="2" applyNumberFormat="1" applyFont="1" applyFill="1" applyBorder="1" applyAlignment="1">
      <alignment horizontal="center"/>
    </xf>
    <xf numFmtId="165" fontId="23" fillId="0" borderId="0" xfId="2" applyNumberFormat="1" applyFont="1" applyFill="1" applyAlignment="1">
      <alignment horizontal="center"/>
    </xf>
    <xf numFmtId="165" fontId="24" fillId="0" borderId="0" xfId="2" applyNumberFormat="1" applyFont="1" applyFill="1" applyAlignment="1">
      <alignment horizontal="center"/>
    </xf>
    <xf numFmtId="165" fontId="25" fillId="0" borderId="0" xfId="2" applyNumberFormat="1" applyFont="1" applyFill="1" applyAlignment="1">
      <alignment horizontal="center"/>
    </xf>
    <xf numFmtId="165" fontId="26" fillId="0" borderId="0" xfId="0" applyNumberFormat="1" applyFont="1" applyFill="1"/>
    <xf numFmtId="165" fontId="27" fillId="0" borderId="0" xfId="2" applyNumberFormat="1" applyFont="1" applyFill="1" applyAlignment="1">
      <alignment horizontal="center"/>
    </xf>
    <xf numFmtId="165" fontId="27" fillId="2" borderId="0" xfId="2" applyNumberFormat="1" applyFont="1" applyFill="1" applyAlignment="1">
      <alignment horizontal="center"/>
    </xf>
    <xf numFmtId="165" fontId="11" fillId="0" borderId="0" xfId="2" applyNumberFormat="1" applyFont="1" applyAlignment="1">
      <alignment horizontal="center"/>
    </xf>
    <xf numFmtId="37" fontId="19" fillId="0" borderId="0" xfId="2" applyNumberFormat="1" applyFont="1" applyFill="1" applyBorder="1" applyAlignment="1">
      <alignment horizontal="right"/>
    </xf>
    <xf numFmtId="165" fontId="17" fillId="0" borderId="0" xfId="2" applyNumberFormat="1" applyFont="1" applyFill="1" applyBorder="1" applyAlignment="1">
      <alignment horizontal="center"/>
    </xf>
    <xf numFmtId="165" fontId="19" fillId="0" borderId="0" xfId="2" applyNumberFormat="1" applyFont="1" applyFill="1" applyBorder="1" applyAlignment="1">
      <alignment horizontal="center"/>
    </xf>
    <xf numFmtId="165" fontId="25" fillId="0" borderId="0" xfId="2" applyNumberFormat="1" applyFont="1" applyFill="1" applyBorder="1" applyAlignment="1">
      <alignment horizontal="center"/>
    </xf>
    <xf numFmtId="165" fontId="25" fillId="2" borderId="0" xfId="2" applyNumberFormat="1" applyFont="1" applyFill="1" applyBorder="1" applyAlignment="1">
      <alignment horizontal="center"/>
    </xf>
    <xf numFmtId="166" fontId="7" fillId="0" borderId="0" xfId="2" applyNumberFormat="1" applyFont="1" applyFill="1" applyAlignment="1">
      <alignment horizontal="center"/>
    </xf>
    <xf numFmtId="37" fontId="9" fillId="0" borderId="0" xfId="2" applyNumberFormat="1" applyFont="1" applyFill="1" applyBorder="1" applyAlignment="1">
      <alignment horizontal="right"/>
    </xf>
    <xf numFmtId="0" fontId="28" fillId="0" borderId="0" xfId="0" applyNumberFormat="1" applyFont="1" applyFill="1" applyAlignment="1">
      <alignment horizontal="center"/>
    </xf>
    <xf numFmtId="0" fontId="29" fillId="0" borderId="0" xfId="5" applyFont="1" applyAlignment="1" applyProtection="1">
      <alignment horizontal="left"/>
    </xf>
    <xf numFmtId="0" fontId="6" fillId="0" borderId="0" xfId="0" applyFont="1" applyAlignment="1">
      <alignment horizontal="center"/>
    </xf>
    <xf numFmtId="165" fontId="24" fillId="0" borderId="0" xfId="2" applyNumberFormat="1" applyFont="1" applyFill="1" applyBorder="1" applyAlignment="1">
      <alignment horizontal="center"/>
    </xf>
    <xf numFmtId="165" fontId="22" fillId="0" borderId="0" xfId="2" applyNumberFormat="1" applyFont="1" applyFill="1" applyBorder="1" applyAlignment="1">
      <alignment horizontal="center"/>
    </xf>
    <xf numFmtId="43" fontId="0" fillId="0" borderId="0" xfId="0" applyNumberFormat="1" applyFill="1" applyBorder="1" applyAlignment="1">
      <alignment horizontal="center"/>
    </xf>
    <xf numFmtId="0" fontId="30" fillId="0" borderId="0" xfId="0" applyNumberFormat="1" applyFont="1" applyFill="1" applyAlignment="1">
      <alignment horizontal="center"/>
    </xf>
    <xf numFmtId="37" fontId="31" fillId="0" borderId="0" xfId="7" applyFont="1" applyFill="1" applyAlignment="1" applyProtection="1">
      <alignment horizontal="center"/>
    </xf>
    <xf numFmtId="37" fontId="21" fillId="0" borderId="0" xfId="7" applyFont="1" applyFill="1" applyAlignment="1" applyProtection="1">
      <alignment horizontal="center"/>
    </xf>
    <xf numFmtId="165" fontId="32" fillId="0" borderId="0" xfId="2" applyNumberFormat="1" applyFont="1" applyFill="1" applyAlignment="1">
      <alignment horizontal="center"/>
    </xf>
    <xf numFmtId="165" fontId="33" fillId="0" borderId="0" xfId="2" applyNumberFormat="1" applyFont="1" applyFill="1" applyAlignment="1">
      <alignment horizontal="center"/>
    </xf>
    <xf numFmtId="37" fontId="21" fillId="0" borderId="0" xfId="2" applyNumberFormat="1" applyFont="1" applyFill="1" applyBorder="1" applyAlignment="1">
      <alignment horizontal="right"/>
    </xf>
    <xf numFmtId="0" fontId="12" fillId="0" borderId="0" xfId="5" applyFont="1" applyAlignment="1" applyProtection="1">
      <alignment horizontal="center"/>
    </xf>
    <xf numFmtId="0" fontId="30" fillId="0" borderId="0" xfId="0" applyFont="1" applyAlignment="1">
      <alignment horizontal="center"/>
    </xf>
    <xf numFmtId="37" fontId="34" fillId="0" borderId="0" xfId="2" applyNumberFormat="1" applyFont="1" applyFill="1" applyBorder="1" applyAlignment="1">
      <alignment horizontal="right"/>
    </xf>
    <xf numFmtId="0" fontId="11" fillId="0" borderId="0" xfId="0" applyNumberFormat="1" applyFont="1" applyFill="1" applyAlignment="1">
      <alignment horizontal="left"/>
    </xf>
    <xf numFmtId="0" fontId="35" fillId="0" borderId="0" xfId="0" applyNumberFormat="1" applyFont="1" applyFill="1" applyAlignment="1">
      <alignment horizontal="center"/>
    </xf>
    <xf numFmtId="0" fontId="12" fillId="0" borderId="0" xfId="5" applyFont="1" applyAlignment="1" applyProtection="1">
      <alignment horizontal="left"/>
    </xf>
    <xf numFmtId="37" fontId="7" fillId="0" borderId="0" xfId="0" applyNumberFormat="1" applyFont="1" applyFill="1" applyBorder="1" applyAlignment="1">
      <alignment horizontal="right"/>
    </xf>
    <xf numFmtId="1" fontId="35" fillId="0" borderId="0" xfId="0" applyNumberFormat="1" applyFont="1" applyFill="1" applyAlignment="1">
      <alignment horizontal="center"/>
    </xf>
    <xf numFmtId="1" fontId="6" fillId="0" borderId="0" xfId="0" quotePrefix="1" applyNumberFormat="1" applyFont="1" applyFill="1" applyAlignment="1">
      <alignment horizontal="center"/>
    </xf>
    <xf numFmtId="0" fontId="6" fillId="0" borderId="0" xfId="2" applyNumberFormat="1" applyFont="1" applyFill="1" applyBorder="1" applyAlignment="1" applyProtection="1">
      <alignment horizontal="center"/>
    </xf>
    <xf numFmtId="0" fontId="6" fillId="0" borderId="0" xfId="5" applyFont="1" applyAlignment="1" applyProtection="1">
      <alignment horizontal="left"/>
    </xf>
    <xf numFmtId="42" fontId="6" fillId="0" borderId="0" xfId="2" applyNumberFormat="1" applyFont="1" applyFill="1" applyBorder="1" applyAlignment="1" applyProtection="1">
      <alignment horizontal="center"/>
    </xf>
    <xf numFmtId="42" fontId="7" fillId="0" borderId="0" xfId="0" applyNumberFormat="1" applyFont="1"/>
    <xf numFmtId="165" fontId="7" fillId="0" borderId="0" xfId="2" applyNumberFormat="1" applyFont="1" applyFill="1" applyAlignment="1">
      <alignment horizontal="center"/>
    </xf>
    <xf numFmtId="165" fontId="34" fillId="0" borderId="0" xfId="2" applyNumberFormat="1" applyFont="1" applyFill="1" applyBorder="1" applyAlignment="1">
      <alignment horizontal="center"/>
    </xf>
    <xf numFmtId="165" fontId="14" fillId="0" borderId="0" xfId="0" applyNumberFormat="1" applyFont="1"/>
    <xf numFmtId="165" fontId="1" fillId="0" borderId="0" xfId="2" applyNumberFormat="1" applyFont="1" applyFill="1" applyBorder="1" applyAlignment="1">
      <alignment horizontal="center"/>
    </xf>
    <xf numFmtId="41" fontId="6" fillId="0" borderId="0" xfId="0" applyNumberFormat="1" applyFont="1"/>
    <xf numFmtId="166" fontId="1" fillId="0" borderId="0" xfId="2" applyNumberFormat="1" applyFont="1" applyFill="1" applyAlignment="1">
      <alignment horizontal="center"/>
    </xf>
    <xf numFmtId="166" fontId="34" fillId="0" borderId="0" xfId="2" applyNumberFormat="1" applyFont="1" applyFill="1" applyAlignment="1">
      <alignment horizontal="center"/>
    </xf>
    <xf numFmtId="1" fontId="6" fillId="0" borderId="0" xfId="0" applyNumberFormat="1" applyFont="1" applyFill="1" applyAlignment="1">
      <alignment horizontal="center"/>
    </xf>
    <xf numFmtId="1" fontId="12" fillId="0" borderId="0" xfId="0" applyNumberFormat="1" applyFont="1" applyFill="1" applyAlignment="1">
      <alignment horizontal="left" indent="1"/>
    </xf>
    <xf numFmtId="42" fontId="6" fillId="0" borderId="1" xfId="0" applyNumberFormat="1" applyFont="1" applyBorder="1"/>
    <xf numFmtId="42" fontId="7" fillId="0" borderId="1" xfId="0" applyNumberFormat="1" applyFont="1" applyBorder="1"/>
    <xf numFmtId="165" fontId="6" fillId="0" borderId="1" xfId="0" applyNumberFormat="1" applyFont="1" applyFill="1" applyBorder="1"/>
    <xf numFmtId="165" fontId="6" fillId="0" borderId="0" xfId="0" applyNumberFormat="1" applyFont="1" applyFill="1" applyBorder="1"/>
    <xf numFmtId="165" fontId="14" fillId="0" borderId="0" xfId="0" applyNumberFormat="1" applyFont="1" applyBorder="1"/>
    <xf numFmtId="165" fontId="1" fillId="0" borderId="1" xfId="0" applyNumberFormat="1" applyFont="1" applyFill="1" applyBorder="1"/>
    <xf numFmtId="165" fontId="34" fillId="0" borderId="1" xfId="2" applyNumberFormat="1" applyFont="1" applyFill="1" applyBorder="1" applyAlignment="1">
      <alignment horizontal="center"/>
    </xf>
    <xf numFmtId="37" fontId="6" fillId="0" borderId="0" xfId="0" applyNumberFormat="1" applyFont="1" applyFill="1" applyBorder="1" applyAlignment="1">
      <alignment horizontal="right"/>
    </xf>
    <xf numFmtId="165" fontId="1" fillId="0" borderId="0" xfId="2" applyNumberFormat="1" applyFont="1" applyFill="1" applyAlignment="1">
      <alignment horizontal="center"/>
    </xf>
    <xf numFmtId="1" fontId="11" fillId="0" borderId="0" xfId="0" applyNumberFormat="1" applyFont="1" applyFill="1" applyAlignment="1">
      <alignment horizontal="left"/>
    </xf>
    <xf numFmtId="37" fontId="6" fillId="0" borderId="0" xfId="6" applyFont="1" applyAlignment="1" applyProtection="1">
      <alignment horizontal="left"/>
    </xf>
    <xf numFmtId="165" fontId="36" fillId="0" borderId="0" xfId="2" applyNumberFormat="1" applyFont="1" applyFill="1" applyAlignment="1">
      <alignment horizontal="center"/>
    </xf>
    <xf numFmtId="166" fontId="36" fillId="0" borderId="0" xfId="2" applyNumberFormat="1" applyFont="1" applyFill="1" applyAlignment="1">
      <alignment horizontal="center"/>
    </xf>
    <xf numFmtId="42" fontId="6" fillId="0" borderId="0" xfId="0" applyNumberFormat="1" applyFont="1"/>
    <xf numFmtId="166" fontId="37" fillId="0" borderId="0" xfId="2" applyNumberFormat="1" applyFont="1" applyFill="1" applyAlignment="1">
      <alignment horizontal="center"/>
    </xf>
    <xf numFmtId="1" fontId="38" fillId="0" borderId="0" xfId="0" applyNumberFormat="1" applyFont="1" applyFill="1" applyAlignment="1">
      <alignment horizontal="center"/>
    </xf>
    <xf numFmtId="164" fontId="35" fillId="0" borderId="0" xfId="0" applyNumberFormat="1" applyFont="1" applyFill="1" applyAlignment="1">
      <alignment horizontal="center"/>
    </xf>
    <xf numFmtId="1" fontId="39" fillId="0" borderId="0" xfId="0" applyNumberFormat="1" applyFont="1" applyFill="1" applyAlignment="1">
      <alignment horizontal="center"/>
    </xf>
    <xf numFmtId="0" fontId="12" fillId="0" borderId="0" xfId="0" applyFont="1" applyAlignment="1">
      <alignment horizontal="left" indent="1"/>
    </xf>
    <xf numFmtId="42" fontId="6" fillId="0" borderId="1" xfId="2" applyNumberFormat="1" applyFont="1" applyBorder="1" applyAlignment="1" applyProtection="1">
      <alignment horizontal="center"/>
    </xf>
    <xf numFmtId="42" fontId="7" fillId="0" borderId="1" xfId="2" applyNumberFormat="1" applyFont="1" applyBorder="1" applyAlignment="1" applyProtection="1">
      <alignment horizontal="center"/>
    </xf>
    <xf numFmtId="42" fontId="7" fillId="0" borderId="1" xfId="2" applyNumberFormat="1" applyFont="1" applyFill="1" applyBorder="1" applyAlignment="1" applyProtection="1">
      <alignment horizontal="center"/>
    </xf>
    <xf numFmtId="42" fontId="7" fillId="0" borderId="0" xfId="2" applyNumberFormat="1" applyFont="1" applyFill="1" applyBorder="1" applyAlignment="1" applyProtection="1">
      <alignment horizontal="center"/>
    </xf>
    <xf numFmtId="165" fontId="14" fillId="0" borderId="0" xfId="0" applyNumberFormat="1" applyFont="1" applyBorder="1" applyAlignment="1"/>
    <xf numFmtId="42" fontId="1" fillId="0" borderId="1" xfId="2" applyNumberFormat="1" applyFont="1" applyFill="1" applyBorder="1" applyAlignment="1" applyProtection="1">
      <alignment horizontal="center"/>
    </xf>
    <xf numFmtId="37" fontId="7" fillId="0" borderId="0" xfId="2" applyNumberFormat="1" applyFont="1" applyFill="1" applyBorder="1" applyAlignment="1" applyProtection="1">
      <alignment horizontal="right"/>
    </xf>
    <xf numFmtId="41" fontId="7" fillId="0" borderId="0" xfId="2" applyNumberFormat="1" applyFont="1"/>
    <xf numFmtId="166" fontId="7" fillId="0" borderId="0" xfId="0" applyNumberFormat="1" applyFont="1" applyFill="1"/>
    <xf numFmtId="0" fontId="6" fillId="0" borderId="0" xfId="8" applyFont="1" applyAlignment="1" applyProtection="1">
      <alignment horizontal="left"/>
    </xf>
    <xf numFmtId="165" fontId="34" fillId="0" borderId="0" xfId="2" applyNumberFormat="1" applyFont="1" applyFill="1" applyAlignment="1">
      <alignment horizontal="center"/>
    </xf>
    <xf numFmtId="165" fontId="7" fillId="3" borderId="0" xfId="2" applyNumberFormat="1" applyFont="1" applyFill="1" applyAlignment="1">
      <alignment horizontal="center"/>
    </xf>
    <xf numFmtId="166" fontId="7" fillId="0" borderId="0" xfId="0" applyNumberFormat="1" applyFont="1" applyFill="1" applyAlignment="1">
      <alignment horizontal="center"/>
    </xf>
    <xf numFmtId="1" fontId="40" fillId="0" borderId="0" xfId="0" applyNumberFormat="1" applyFont="1" applyFill="1" applyAlignment="1">
      <alignment horizontal="center"/>
    </xf>
    <xf numFmtId="42" fontId="7" fillId="0" borderId="1" xfId="0" applyNumberFormat="1" applyFont="1" applyFill="1" applyBorder="1"/>
    <xf numFmtId="42" fontId="7" fillId="0" borderId="0" xfId="0" applyNumberFormat="1" applyFont="1" applyFill="1" applyBorder="1"/>
    <xf numFmtId="42" fontId="1" fillId="0" borderId="1" xfId="0" applyNumberFormat="1" applyFont="1" applyFill="1" applyBorder="1"/>
    <xf numFmtId="165" fontId="37" fillId="0" borderId="0" xfId="2" applyNumberFormat="1" applyFont="1" applyFill="1" applyBorder="1" applyAlignment="1">
      <alignment horizontal="center"/>
    </xf>
    <xf numFmtId="37" fontId="40" fillId="0" borderId="0" xfId="6" applyFont="1" applyAlignment="1" applyProtection="1">
      <alignment horizontal="left"/>
    </xf>
    <xf numFmtId="0" fontId="41" fillId="0" borderId="0" xfId="0" applyNumberFormat="1" applyFont="1" applyFill="1" applyAlignment="1">
      <alignment horizontal="center"/>
    </xf>
    <xf numFmtId="42" fontId="1" fillId="0" borderId="0" xfId="0" applyNumberFormat="1" applyFont="1"/>
    <xf numFmtId="41" fontId="1" fillId="0" borderId="0" xfId="0" applyNumberFormat="1" applyFont="1"/>
    <xf numFmtId="42" fontId="7" fillId="4" borderId="1" xfId="0" applyNumberFormat="1" applyFont="1" applyFill="1" applyBorder="1" applyAlignment="1"/>
    <xf numFmtId="42" fontId="1" fillId="4" borderId="1" xfId="0" applyNumberFormat="1" applyFont="1" applyFill="1" applyBorder="1" applyAlignment="1"/>
    <xf numFmtId="42" fontId="7" fillId="4" borderId="0" xfId="0" applyNumberFormat="1" applyFont="1" applyFill="1" applyBorder="1" applyAlignment="1"/>
    <xf numFmtId="1" fontId="40" fillId="0" borderId="0" xfId="0" quotePrefix="1" applyNumberFormat="1" applyFont="1" applyFill="1" applyAlignment="1">
      <alignment horizontal="center"/>
    </xf>
    <xf numFmtId="0" fontId="40" fillId="0" borderId="0" xfId="0" applyNumberFormat="1" applyFont="1" applyFill="1" applyAlignment="1">
      <alignment horizontal="center"/>
    </xf>
    <xf numFmtId="37" fontId="40" fillId="0" borderId="0" xfId="6" applyFont="1" applyBorder="1" applyAlignment="1" applyProtection="1">
      <alignment horizontal="left"/>
    </xf>
    <xf numFmtId="41" fontId="7" fillId="0" borderId="0" xfId="0" applyNumberFormat="1" applyFont="1" applyBorder="1"/>
    <xf numFmtId="37" fontId="6" fillId="0" borderId="0" xfId="6" applyFont="1" applyBorder="1" applyAlignment="1" applyProtection="1">
      <alignment horizontal="left"/>
    </xf>
    <xf numFmtId="41" fontId="6" fillId="0" borderId="0" xfId="0" applyNumberFormat="1" applyFont="1" applyBorder="1"/>
    <xf numFmtId="1" fontId="42" fillId="0" borderId="0" xfId="0" applyNumberFormat="1" applyFont="1" applyFill="1" applyAlignment="1">
      <alignment horizontal="center"/>
    </xf>
    <xf numFmtId="0" fontId="6" fillId="0" borderId="0" xfId="8" applyFont="1" applyBorder="1" applyAlignment="1" applyProtection="1">
      <alignment horizontal="left"/>
    </xf>
    <xf numFmtId="1" fontId="43" fillId="0" borderId="0" xfId="0" applyNumberFormat="1" applyFont="1" applyFill="1" applyAlignment="1">
      <alignment horizontal="center"/>
    </xf>
    <xf numFmtId="0" fontId="12" fillId="0" borderId="0" xfId="0" applyFont="1" applyAlignment="1">
      <alignment horizontal="left"/>
    </xf>
    <xf numFmtId="166" fontId="7" fillId="0" borderId="0" xfId="2" applyNumberFormat="1" applyFont="1" applyFill="1" applyBorder="1" applyAlignment="1">
      <alignment horizontal="center"/>
    </xf>
    <xf numFmtId="37" fontId="41" fillId="0" borderId="0" xfId="6" applyFont="1" applyAlignment="1" applyProtection="1">
      <alignment horizontal="left"/>
    </xf>
    <xf numFmtId="37" fontId="35" fillId="0" borderId="0" xfId="6" applyFont="1" applyAlignment="1" applyProtection="1">
      <alignment horizontal="left"/>
    </xf>
    <xf numFmtId="37" fontId="6" fillId="0" borderId="0" xfId="6" applyNumberFormat="1" applyFont="1" applyAlignment="1" applyProtection="1">
      <alignment horizontal="left"/>
    </xf>
    <xf numFmtId="0" fontId="6" fillId="0" borderId="0" xfId="0" applyFont="1" applyAlignment="1">
      <alignment horizontal="left"/>
    </xf>
    <xf numFmtId="166" fontId="7" fillId="0" borderId="1" xfId="2" applyNumberFormat="1" applyFont="1" applyFill="1" applyBorder="1" applyAlignment="1">
      <alignment horizontal="center"/>
    </xf>
    <xf numFmtId="166" fontId="1" fillId="0" borderId="1" xfId="2" applyNumberFormat="1" applyFont="1" applyFill="1" applyBorder="1" applyAlignment="1">
      <alignment horizontal="center"/>
    </xf>
    <xf numFmtId="0" fontId="6" fillId="0" borderId="0" xfId="4" applyFont="1" applyAlignment="1" applyProtection="1">
      <alignment horizontal="left"/>
    </xf>
    <xf numFmtId="37" fontId="44" fillId="0" borderId="0" xfId="6" applyFont="1" applyAlignment="1" applyProtection="1">
      <alignment horizontal="left"/>
    </xf>
    <xf numFmtId="37" fontId="39" fillId="0" borderId="0" xfId="6" applyFont="1" applyAlignment="1" applyProtection="1">
      <alignment horizontal="left"/>
    </xf>
    <xf numFmtId="1" fontId="45" fillId="0" borderId="0" xfId="0" applyNumberFormat="1" applyFont="1" applyFill="1" applyAlignment="1">
      <alignment horizontal="center"/>
    </xf>
    <xf numFmtId="1" fontId="41" fillId="0" borderId="0" xfId="0" applyNumberFormat="1" applyFont="1" applyFill="1" applyAlignment="1">
      <alignment horizontal="center"/>
    </xf>
    <xf numFmtId="41" fontId="29" fillId="4" borderId="0" xfId="0" applyNumberFormat="1" applyFont="1" applyFill="1"/>
    <xf numFmtId="166" fontId="34" fillId="0" borderId="0" xfId="2" applyNumberFormat="1" applyFont="1" applyFill="1" applyBorder="1" applyAlignment="1">
      <alignment horizontal="center"/>
    </xf>
    <xf numFmtId="166" fontId="14" fillId="0" borderId="0" xfId="0" applyNumberFormat="1" applyFont="1"/>
    <xf numFmtId="1" fontId="46" fillId="0" borderId="0" xfId="0" applyNumberFormat="1" applyFont="1" applyFill="1" applyAlignment="1">
      <alignment horizontal="center"/>
    </xf>
    <xf numFmtId="37" fontId="47" fillId="0" borderId="0" xfId="6" applyFont="1" applyAlignment="1" applyProtection="1">
      <alignment horizontal="left"/>
    </xf>
    <xf numFmtId="166" fontId="48" fillId="0" borderId="0" xfId="2" applyNumberFormat="1" applyFont="1" applyFill="1" applyAlignment="1">
      <alignment horizontal="center"/>
    </xf>
    <xf numFmtId="166" fontId="49" fillId="0" borderId="0" xfId="2" applyNumberFormat="1" applyFont="1" applyFill="1" applyAlignment="1">
      <alignment horizontal="center"/>
    </xf>
    <xf numFmtId="1" fontId="55" fillId="0" borderId="0" xfId="0" applyNumberFormat="1" applyFont="1" applyFill="1" applyAlignment="1">
      <alignment horizontal="center"/>
    </xf>
    <xf numFmtId="166" fontId="7" fillId="3" borderId="0" xfId="2" applyNumberFormat="1" applyFont="1" applyFill="1" applyAlignment="1">
      <alignment horizontal="center"/>
    </xf>
    <xf numFmtId="0" fontId="6" fillId="0" borderId="0" xfId="9" applyFont="1" applyAlignment="1" applyProtection="1">
      <alignment horizontal="left"/>
    </xf>
    <xf numFmtId="0" fontId="7" fillId="0" borderId="0" xfId="0" applyFont="1" applyFill="1"/>
    <xf numFmtId="166" fontId="7" fillId="0" borderId="0" xfId="0" applyNumberFormat="1" applyFont="1"/>
    <xf numFmtId="0" fontId="43" fillId="0" borderId="0" xfId="0" applyNumberFormat="1" applyFont="1" applyFill="1" applyAlignment="1">
      <alignment horizontal="center"/>
    </xf>
    <xf numFmtId="42" fontId="6" fillId="0" borderId="1" xfId="2" applyNumberFormat="1" applyFont="1" applyFill="1" applyBorder="1" applyAlignment="1" applyProtection="1">
      <alignment horizontal="center"/>
    </xf>
    <xf numFmtId="42" fontId="6" fillId="0" borderId="0" xfId="2" applyNumberFormat="1" applyFont="1" applyBorder="1" applyAlignment="1" applyProtection="1">
      <alignment horizontal="center"/>
    </xf>
    <xf numFmtId="42" fontId="1" fillId="0" borderId="1" xfId="2" applyNumberFormat="1" applyFont="1" applyBorder="1" applyAlignment="1" applyProtection="1">
      <alignment horizontal="center"/>
    </xf>
    <xf numFmtId="37" fontId="6" fillId="0" borderId="0" xfId="2" applyNumberFormat="1" applyFont="1" applyFill="1" applyBorder="1" applyAlignment="1" applyProtection="1">
      <alignment horizontal="right"/>
    </xf>
    <xf numFmtId="165" fontId="7" fillId="0" borderId="0" xfId="2" applyNumberFormat="1" applyFont="1" applyFill="1" applyBorder="1" applyAlignment="1">
      <alignment horizontal="center"/>
    </xf>
    <xf numFmtId="37" fontId="6" fillId="0" borderId="0" xfId="6" applyFont="1" applyAlignment="1">
      <alignment horizontal="left"/>
    </xf>
    <xf numFmtId="37" fontId="39" fillId="0" borderId="0" xfId="6" applyFont="1" applyAlignment="1">
      <alignment horizontal="left"/>
    </xf>
    <xf numFmtId="42" fontId="7" fillId="0" borderId="0" xfId="0" applyNumberFormat="1" applyFont="1" applyFill="1" applyBorder="1" applyAlignment="1"/>
    <xf numFmtId="0" fontId="6" fillId="0" borderId="0" xfId="3" applyFont="1" applyAlignment="1" applyProtection="1">
      <alignment horizontal="left"/>
    </xf>
    <xf numFmtId="37" fontId="6" fillId="0" borderId="0" xfId="3" applyNumberFormat="1" applyFont="1" applyBorder="1" applyAlignment="1" applyProtection="1">
      <alignment horizontal="left"/>
    </xf>
    <xf numFmtId="166" fontId="6" fillId="0" borderId="1" xfId="0" applyNumberFormat="1" applyFont="1" applyFill="1" applyBorder="1"/>
    <xf numFmtId="166" fontId="7" fillId="2" borderId="0" xfId="2" applyNumberFormat="1" applyFont="1" applyFill="1" applyAlignment="1">
      <alignment horizontal="center"/>
    </xf>
    <xf numFmtId="0" fontId="1" fillId="0" borderId="0" xfId="0" quotePrefix="1" applyFont="1" applyFill="1"/>
    <xf numFmtId="1" fontId="35" fillId="0" borderId="0" xfId="0" quotePrefix="1" applyNumberFormat="1" applyFont="1" applyFill="1" applyAlignment="1">
      <alignment horizontal="center"/>
    </xf>
    <xf numFmtId="165" fontId="7" fillId="0" borderId="1" xfId="2" applyNumberFormat="1" applyFont="1" applyFill="1" applyBorder="1"/>
    <xf numFmtId="0" fontId="7" fillId="0" borderId="1" xfId="0" applyFont="1" applyBorder="1"/>
    <xf numFmtId="0" fontId="35" fillId="0" borderId="0" xfId="0" applyFont="1" applyFill="1"/>
    <xf numFmtId="0" fontId="6" fillId="0" borderId="0" xfId="5" applyFont="1"/>
    <xf numFmtId="165" fontId="7" fillId="0" borderId="0" xfId="0" applyNumberFormat="1" applyFont="1" applyFill="1" applyAlignment="1">
      <alignment horizontal="center"/>
    </xf>
    <xf numFmtId="41" fontId="7" fillId="0" borderId="0" xfId="0" applyNumberFormat="1" applyFont="1" applyFill="1" applyAlignment="1">
      <alignment horizontal="center"/>
    </xf>
    <xf numFmtId="0" fontId="12" fillId="0" borderId="0" xfId="5" applyFont="1"/>
    <xf numFmtId="165" fontId="1" fillId="0" borderId="0" xfId="0" applyNumberFormat="1" applyFont="1" applyFill="1" applyAlignment="1">
      <alignment horizontal="center"/>
    </xf>
    <xf numFmtId="165" fontId="7" fillId="0" borderId="0" xfId="0" applyNumberFormat="1" applyFont="1" applyFill="1" applyBorder="1" applyAlignment="1">
      <alignment horizontal="center"/>
    </xf>
    <xf numFmtId="0" fontId="35" fillId="0" borderId="0" xfId="0" applyNumberFormat="1" applyFont="1" applyFill="1" applyBorder="1" applyAlignment="1">
      <alignment horizontal="center"/>
    </xf>
    <xf numFmtId="0" fontId="6" fillId="0" borderId="0" xfId="0" applyNumberFormat="1" applyFont="1" applyFill="1" applyBorder="1" applyAlignment="1">
      <alignment horizontal="center"/>
    </xf>
    <xf numFmtId="1" fontId="6" fillId="0" borderId="0" xfId="0" applyNumberFormat="1" applyFont="1" applyFill="1" applyBorder="1" applyAlignment="1">
      <alignment horizontal="center"/>
    </xf>
    <xf numFmtId="166" fontId="6" fillId="0" borderId="0" xfId="1" applyNumberFormat="1" applyFont="1" applyBorder="1"/>
    <xf numFmtId="166" fontId="7" fillId="0" borderId="0" xfId="1" applyNumberFormat="1" applyFont="1"/>
    <xf numFmtId="166" fontId="41" fillId="0" borderId="0" xfId="1" applyNumberFormat="1" applyFont="1" applyFill="1" applyBorder="1"/>
    <xf numFmtId="166" fontId="6" fillId="0" borderId="0" xfId="1" applyNumberFormat="1" applyFont="1" applyFill="1" applyBorder="1"/>
    <xf numFmtId="166" fontId="6" fillId="0" borderId="2" xfId="1" applyNumberFormat="1" applyFont="1" applyFill="1" applyBorder="1"/>
    <xf numFmtId="166" fontId="1" fillId="0" borderId="0" xfId="1" applyNumberFormat="1" applyFont="1" applyFill="1" applyBorder="1"/>
    <xf numFmtId="37" fontId="34" fillId="0" borderId="0" xfId="1" applyNumberFormat="1" applyFont="1" applyFill="1" applyBorder="1" applyAlignment="1">
      <alignment horizontal="right"/>
    </xf>
    <xf numFmtId="42" fontId="6" fillId="0" borderId="1" xfId="0" applyNumberFormat="1" applyFont="1" applyFill="1" applyBorder="1"/>
    <xf numFmtId="42" fontId="1" fillId="0" borderId="1" xfId="0" applyNumberFormat="1" applyFont="1" applyBorder="1"/>
    <xf numFmtId="42" fontId="6" fillId="0" borderId="0" xfId="0" applyNumberFormat="1" applyFont="1" applyBorder="1"/>
    <xf numFmtId="165" fontId="7" fillId="0" borderId="0" xfId="0" applyNumberFormat="1" applyFont="1"/>
    <xf numFmtId="165" fontId="57" fillId="0" borderId="0" xfId="0" applyNumberFormat="1" applyFont="1" applyFill="1"/>
    <xf numFmtId="43" fontId="57" fillId="0" borderId="0" xfId="0" applyNumberFormat="1" applyFont="1" applyFill="1"/>
    <xf numFmtId="0" fontId="14" fillId="0" borderId="0" xfId="0" applyFont="1"/>
    <xf numFmtId="165" fontId="7" fillId="0" borderId="0" xfId="0" applyNumberFormat="1" applyFont="1" applyFill="1" applyBorder="1"/>
    <xf numFmtId="165" fontId="14" fillId="0" borderId="0" xfId="0" applyNumberFormat="1" applyFont="1" applyFill="1"/>
    <xf numFmtId="165" fontId="7" fillId="0" borderId="3" xfId="2" applyNumberFormat="1" applyFont="1" applyFill="1" applyBorder="1" applyAlignment="1">
      <alignment horizontal="center"/>
    </xf>
    <xf numFmtId="165" fontId="1" fillId="0" borderId="3" xfId="2" applyNumberFormat="1" applyFont="1" applyFill="1" applyBorder="1" applyAlignment="1">
      <alignment horizontal="center"/>
    </xf>
    <xf numFmtId="1" fontId="35" fillId="0" borderId="0" xfId="0" applyNumberFormat="1" applyFont="1" applyFill="1" applyAlignment="1">
      <alignment horizontal="left"/>
    </xf>
    <xf numFmtId="165" fontId="34" fillId="0" borderId="3" xfId="2" applyNumberFormat="1" applyFont="1" applyFill="1" applyBorder="1" applyAlignment="1">
      <alignment horizontal="center"/>
    </xf>
    <xf numFmtId="165" fontId="19" fillId="0" borderId="3" xfId="2" applyNumberFormat="1" applyFont="1" applyFill="1" applyBorder="1" applyAlignment="1">
      <alignment horizontal="center"/>
    </xf>
    <xf numFmtId="1" fontId="35" fillId="0" borderId="0" xfId="0" applyNumberFormat="1" applyFont="1" applyFill="1" applyBorder="1" applyAlignment="1">
      <alignment horizontal="center"/>
    </xf>
    <xf numFmtId="1" fontId="6" fillId="0" borderId="0" xfId="0" quotePrefix="1" applyNumberFormat="1" applyFont="1" applyFill="1" applyBorder="1" applyAlignment="1">
      <alignment horizontal="center"/>
    </xf>
    <xf numFmtId="0" fontId="6" fillId="0" borderId="0" xfId="5" applyFont="1" applyBorder="1" applyAlignment="1" applyProtection="1">
      <alignment horizontal="left"/>
    </xf>
    <xf numFmtId="42" fontId="7" fillId="0" borderId="0" xfId="0" applyNumberFormat="1" applyFont="1" applyBorder="1"/>
    <xf numFmtId="0" fontId="7" fillId="0" borderId="0" xfId="0" applyFont="1" applyBorder="1"/>
    <xf numFmtId="166" fontId="1" fillId="0" borderId="0" xfId="2" applyNumberFormat="1" applyFont="1" applyFill="1" applyBorder="1" applyAlignment="1">
      <alignment horizontal="center"/>
    </xf>
    <xf numFmtId="0" fontId="39" fillId="0" borderId="0" xfId="0" applyNumberFormat="1" applyFont="1" applyFill="1" applyAlignment="1">
      <alignment horizontal="center"/>
    </xf>
    <xf numFmtId="0" fontId="39" fillId="0" borderId="0" xfId="2" applyNumberFormat="1" applyFont="1" applyFill="1" applyBorder="1" applyAlignment="1" applyProtection="1">
      <alignment horizontal="center"/>
    </xf>
    <xf numFmtId="44" fontId="34" fillId="0" borderId="0" xfId="2" applyFont="1" applyFill="1" applyBorder="1" applyAlignment="1">
      <alignment horizontal="center"/>
    </xf>
    <xf numFmtId="165" fontId="35" fillId="4" borderId="0" xfId="2" applyNumberFormat="1" applyFont="1" applyFill="1" applyBorder="1" applyAlignment="1">
      <alignment horizontal="center"/>
    </xf>
    <xf numFmtId="166" fontId="35" fillId="4" borderId="0" xfId="2" applyNumberFormat="1" applyFont="1" applyFill="1" applyAlignment="1">
      <alignment horizontal="center"/>
    </xf>
    <xf numFmtId="166" fontId="7" fillId="0" borderId="3" xfId="2" applyNumberFormat="1" applyFont="1" applyFill="1" applyBorder="1" applyAlignment="1">
      <alignment horizontal="center"/>
    </xf>
    <xf numFmtId="166" fontId="1" fillId="0" borderId="3" xfId="2" applyNumberFormat="1" applyFont="1" applyFill="1" applyBorder="1" applyAlignment="1">
      <alignment horizontal="center"/>
    </xf>
    <xf numFmtId="166" fontId="35" fillId="4" borderId="3" xfId="2" applyNumberFormat="1" applyFont="1" applyFill="1" applyBorder="1" applyAlignment="1">
      <alignment horizontal="center"/>
    </xf>
    <xf numFmtId="165" fontId="7" fillId="0" borderId="1" xfId="2" applyNumberFormat="1" applyFont="1" applyFill="1" applyBorder="1" applyAlignment="1">
      <alignment horizontal="center"/>
    </xf>
    <xf numFmtId="37" fontId="6" fillId="0" borderId="0" xfId="6" applyFont="1" applyAlignment="1" applyProtection="1">
      <alignment horizontal="left" indent="1"/>
    </xf>
    <xf numFmtId="0" fontId="12" fillId="0" borderId="0" xfId="0" applyFont="1" applyAlignment="1">
      <alignment horizontal="left" indent="2"/>
    </xf>
    <xf numFmtId="166" fontId="1" fillId="5" borderId="0" xfId="2" applyNumberFormat="1" applyFont="1" applyFill="1" applyAlignment="1">
      <alignment horizontal="center"/>
    </xf>
    <xf numFmtId="165" fontId="19" fillId="0" borderId="0" xfId="2" applyNumberFormat="1" applyFont="1" applyFill="1" applyAlignment="1">
      <alignment horizontal="left"/>
    </xf>
    <xf numFmtId="0" fontId="28" fillId="0" borderId="0" xfId="0" applyNumberFormat="1" applyFont="1" applyFill="1" applyAlignment="1">
      <alignment horizontal="center"/>
    </xf>
    <xf numFmtId="165" fontId="9" fillId="0" borderId="0" xfId="2" applyNumberFormat="1" applyFont="1" applyFill="1" applyAlignment="1">
      <alignment horizontal="center"/>
    </xf>
    <xf numFmtId="165" fontId="9" fillId="0" borderId="0" xfId="0" applyNumberFormat="1" applyFont="1" applyFill="1" applyAlignment="1">
      <alignment horizontal="center"/>
    </xf>
    <xf numFmtId="165" fontId="21" fillId="0" borderId="0" xfId="2" applyNumberFormat="1" applyFont="1" applyFill="1" applyAlignment="1">
      <alignment horizontal="center"/>
    </xf>
    <xf numFmtId="165" fontId="19" fillId="0" borderId="0" xfId="2" applyNumberFormat="1" applyFont="1" applyFill="1" applyAlignment="1">
      <alignment horizontal="center"/>
    </xf>
    <xf numFmtId="0" fontId="11" fillId="0" borderId="0" xfId="0" applyNumberFormat="1" applyFont="1" applyFill="1" applyAlignment="1">
      <alignment horizontal="center"/>
    </xf>
    <xf numFmtId="165" fontId="23" fillId="0" borderId="0" xfId="2" applyNumberFormat="1" applyFont="1" applyFill="1" applyAlignment="1">
      <alignment horizontal="center"/>
    </xf>
  </cellXfs>
  <cellStyles count="10">
    <cellStyle name="Comma" xfId="1" builtinId="3"/>
    <cellStyle name="Currency" xfId="2" builtinId="4"/>
    <cellStyle name="Normal" xfId="0" builtinId="0"/>
    <cellStyle name="Normal_ACCOUNTS" xfId="3"/>
    <cellStyle name="Normal_ADULT" xfId="4"/>
    <cellStyle name="Normal_BOARD" xfId="5"/>
    <cellStyle name="Normal_BUDGET 99" xfId="6"/>
    <cellStyle name="Normal_Budget Revenues 99" xfId="7"/>
    <cellStyle name="Normal_CURRIC" xfId="8"/>
    <cellStyle name="Normal_TESTING" xfId="9"/>
  </cellStyles>
  <dxfs count="39">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b/>
        <i val="0"/>
        <condense val="0"/>
        <extend val="0"/>
        <color indexed="14"/>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b/>
        <i val="0"/>
        <condense val="0"/>
        <extend val="0"/>
        <color indexed="14"/>
      </font>
    </dxf>
    <dxf>
      <font>
        <condense val="0"/>
        <extend val="0"/>
        <color indexed="23"/>
      </font>
    </dxf>
    <dxf>
      <font>
        <condense val="0"/>
        <extend val="0"/>
        <color indexed="12"/>
      </font>
    </dxf>
    <dxf>
      <font>
        <condense val="0"/>
        <extend val="0"/>
        <color indexed="12"/>
      </font>
    </dxf>
    <dxf>
      <font>
        <condense val="0"/>
        <extend val="0"/>
        <color indexed="12"/>
      </font>
    </dxf>
    <dxf>
      <font>
        <condense val="0"/>
        <extend val="0"/>
        <color indexed="12"/>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HARED%20FILES/2010-2011/Budget/Budget%20Development%20Workbook%202010-1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Changes Master"/>
      <sheetName val="Revision #1 Changes"/>
      <sheetName val="Changes 2"/>
      <sheetName val="Fund Balance"/>
      <sheetName val="GF REVENUES"/>
      <sheetName val="GF Expenditures Master"/>
      <sheetName val="Board"/>
      <sheetName val="Superintendent"/>
      <sheetName val="Internal Audit"/>
      <sheetName val="Maintenance"/>
      <sheetName val="Planning and construction"/>
      <sheetName val="C &amp; I"/>
      <sheetName val="Elementary"/>
      <sheetName val="Middle School"/>
      <sheetName val="Vocational"/>
      <sheetName val="High School"/>
      <sheetName val="Adult Education"/>
      <sheetName val="Print Shop"/>
      <sheetName val="Child Welfare"/>
      <sheetName val="Library-Media Svcs"/>
      <sheetName val="Special Ed"/>
      <sheetName val="Gifted"/>
      <sheetName val="Pupil Appraisal"/>
      <sheetName val="Speech"/>
      <sheetName val="Nursing"/>
      <sheetName val="Testing"/>
      <sheetName val="Personnel"/>
      <sheetName val="Warehouse"/>
      <sheetName val="Transportation"/>
      <sheetName val="Other Miscellaneous Grants"/>
      <sheetName val="finance"/>
      <sheetName val="Insurance"/>
      <sheetName val="Accounting"/>
      <sheetName val="Accounts Payable"/>
      <sheetName val="Payroll"/>
      <sheetName val="Sales Tax"/>
      <sheetName val="Technology"/>
      <sheetName val="Data Processing-MIS"/>
      <sheetName val="Utilities"/>
      <sheetName val="Employee Benefits"/>
      <sheetName val="Transfers and Other Uses"/>
      <sheetName val="GF Expenditures (41)"/>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29.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30.xml"/><Relationship Id="rId2" Type="http://schemas.openxmlformats.org/officeDocument/2006/relationships/vmlDrawing" Target="../drawings/vmlDrawing30.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31.xml"/><Relationship Id="rId2" Type="http://schemas.openxmlformats.org/officeDocument/2006/relationships/vmlDrawing" Target="../drawings/vmlDrawing31.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32.xml"/><Relationship Id="rId2" Type="http://schemas.openxmlformats.org/officeDocument/2006/relationships/vmlDrawing" Target="../drawings/vmlDrawing32.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33.xml"/><Relationship Id="rId2" Type="http://schemas.openxmlformats.org/officeDocument/2006/relationships/vmlDrawing" Target="../drawings/vmlDrawing33.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34.xml"/><Relationship Id="rId2" Type="http://schemas.openxmlformats.org/officeDocument/2006/relationships/vmlDrawing" Target="../drawings/vmlDrawing34.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35.xml"/><Relationship Id="rId2" Type="http://schemas.openxmlformats.org/officeDocument/2006/relationships/vmlDrawing" Target="../drawings/vmlDrawing35.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36.xml"/><Relationship Id="rId2" Type="http://schemas.openxmlformats.org/officeDocument/2006/relationships/vmlDrawing" Target="../drawings/vmlDrawing36.vml"/><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sheetPr codeName="Sheet1" enableFormatConditionsCalculation="0">
    <tabColor indexed="17"/>
    <pageSetUpPr fitToPage="1"/>
  </sheetPr>
  <dimension ref="A1:BL69"/>
  <sheetViews>
    <sheetView tabSelected="1" zoomScale="87" zoomScaleNormal="90" workbookViewId="0">
      <pane xSplit="11" ySplit="8" topLeftCell="AN15" activePane="bottomRight" state="frozen"/>
      <selection activeCell="A28" sqref="A28"/>
      <selection pane="topRight" activeCell="A28" sqref="A28"/>
      <selection pane="bottomLeft" activeCell="A28" sqref="A28"/>
      <selection pane="bottomRight"/>
    </sheetView>
  </sheetViews>
  <sheetFormatPr defaultRowHeight="12.75" outlineLevelRow="1" outlineLevelCol="1"/>
  <cols>
    <col min="1" max="1" width="7" style="39" customWidth="1" outlineLevel="1"/>
    <col min="2" max="2" width="6.140625" style="39" customWidth="1" outlineLevel="1"/>
    <col min="3" max="3" width="3.7109375" style="39" customWidth="1" outlineLevel="1"/>
    <col min="4" max="4" width="4.5703125" style="168" bestFit="1" customWidth="1" outlineLevel="1"/>
    <col min="5" max="5" width="4.5703125" style="168" customWidth="1" outlineLevel="1"/>
    <col min="6" max="6" width="8.85546875" style="40" bestFit="1" customWidth="1" outlineLevel="1"/>
    <col min="7" max="7" width="28.5703125" style="4" customWidth="1"/>
    <col min="8" max="8" width="16.5703125" style="4" hidden="1" customWidth="1"/>
    <col min="9" max="10" width="15.140625" style="4" hidden="1" customWidth="1" collapsed="1"/>
    <col min="11" max="11" width="39.5703125" style="4" hidden="1" customWidth="1"/>
    <col min="12" max="12" width="15.140625" style="7" bestFit="1" customWidth="1" collapsed="1"/>
    <col min="13" max="13" width="31.7109375" style="7" hidden="1" customWidth="1"/>
    <col min="14" max="14" width="35.5703125" style="7" hidden="1" customWidth="1" collapsed="1"/>
    <col min="15" max="15" width="0.140625" style="7" customWidth="1"/>
    <col min="16" max="16" width="25.28515625" style="7" hidden="1" customWidth="1" outlineLevel="1" collapsed="1"/>
    <col min="17" max="17" width="23.42578125" style="7" hidden="1" customWidth="1" outlineLevel="1"/>
    <col min="18" max="18" width="20.5703125" style="7" hidden="1" customWidth="1" outlineLevel="1" collapsed="1"/>
    <col min="19" max="19" width="18" style="7" hidden="1" customWidth="1" outlineLevel="1"/>
    <col min="20" max="20" width="19.5703125" style="7" hidden="1" customWidth="1" outlineLevel="1"/>
    <col min="21" max="21" width="18.42578125" style="7" hidden="1" customWidth="1" outlineLevel="1"/>
    <col min="22" max="22" width="13.140625" style="7" hidden="1" customWidth="1"/>
    <col min="23" max="23" width="14.140625" style="7" hidden="1" customWidth="1"/>
    <col min="24" max="24" width="14.5703125" style="7" customWidth="1" collapsed="1"/>
    <col min="25" max="25" width="0.85546875" style="7" hidden="1" customWidth="1"/>
    <col min="26" max="26" width="16.140625" style="7" hidden="1" customWidth="1"/>
    <col min="27" max="27" width="0.140625" style="7" hidden="1" customWidth="1"/>
    <col min="28" max="28" width="16.140625" style="7" hidden="1" customWidth="1" outlineLevel="1"/>
    <col min="29" max="29" width="0.42578125" style="7" hidden="1" customWidth="1" outlineLevel="1"/>
    <col min="30" max="30" width="17.85546875" style="7" hidden="1" customWidth="1" outlineLevel="1"/>
    <col min="31" max="31" width="0.42578125" style="7" hidden="1" customWidth="1" outlineLevel="1"/>
    <col min="32" max="32" width="16.140625" style="7" hidden="1" customWidth="1" collapsed="1"/>
    <col min="33" max="33" width="16" style="7" hidden="1" customWidth="1" outlineLevel="1"/>
    <col min="34" max="34" width="17" style="7" hidden="1" customWidth="1" outlineLevel="1"/>
    <col min="35" max="35" width="10.5703125" style="7" hidden="1" customWidth="1" outlineLevel="1"/>
    <col min="36" max="36" width="16.140625" style="7" hidden="1" customWidth="1" collapsed="1"/>
    <col min="37" max="37" width="0.7109375" style="7" hidden="1" customWidth="1"/>
    <col min="38" max="38" width="16.140625" style="7" hidden="1" customWidth="1" outlineLevel="1"/>
    <col min="39" max="39" width="4.140625" style="7" hidden="1" customWidth="1" outlineLevel="1"/>
    <col min="40" max="40" width="16.140625" style="17" customWidth="1" collapsed="1"/>
    <col min="41" max="41" width="16.140625" style="17" hidden="1" customWidth="1" collapsed="1"/>
    <col min="42" max="42" width="16.140625" style="17" customWidth="1" collapsed="1"/>
    <col min="43" max="43" width="0.7109375" style="7" hidden="1" customWidth="1" outlineLevel="1"/>
    <col min="44" max="44" width="22.140625" style="7" hidden="1" customWidth="1" outlineLevel="1"/>
    <col min="45" max="45" width="0.42578125" style="7" hidden="1" customWidth="1" outlineLevel="1"/>
    <col min="46" max="46" width="17.85546875" style="7" hidden="1" customWidth="1" outlineLevel="1"/>
    <col min="47" max="47" width="0.42578125" style="7" hidden="1" customWidth="1" outlineLevel="1"/>
    <col min="48" max="48" width="18" style="7" hidden="1" customWidth="1" collapsed="1"/>
    <col min="49" max="49" width="0.5703125" style="7" hidden="1" customWidth="1"/>
    <col min="50" max="50" width="18" style="7" hidden="1" customWidth="1"/>
    <col min="51" max="51" width="0.5703125" style="7" customWidth="1"/>
    <col min="52" max="53" width="15.7109375" style="7" bestFit="1" customWidth="1"/>
    <col min="54" max="55" width="15.140625" style="7" customWidth="1"/>
    <col min="56" max="56" width="23.140625" style="7" customWidth="1"/>
    <col min="57" max="57" width="19.85546875" style="7" bestFit="1" customWidth="1"/>
    <col min="58" max="60" width="12.42578125" style="7" customWidth="1"/>
    <col min="61" max="61" width="3.85546875" style="76" customWidth="1"/>
    <col min="62" max="62" width="14.5703125" style="12" bestFit="1" customWidth="1"/>
  </cols>
  <sheetData>
    <row r="1" spans="1:63" ht="15">
      <c r="A1" s="1" t="s">
        <v>0</v>
      </c>
      <c r="B1" s="2"/>
      <c r="C1" s="2"/>
      <c r="D1" s="1"/>
      <c r="E1" s="1"/>
      <c r="F1" s="3"/>
      <c r="H1" s="5"/>
      <c r="I1" s="6"/>
      <c r="T1" s="8"/>
      <c r="Z1" s="9"/>
      <c r="AB1" s="9"/>
      <c r="AD1" s="9"/>
      <c r="AF1" s="9"/>
      <c r="AH1" s="10" t="e">
        <f>+#REF!</f>
        <v>#REF!</v>
      </c>
      <c r="AJ1" s="9"/>
      <c r="AK1" s="9"/>
      <c r="AN1" s="9"/>
      <c r="AO1" s="9"/>
      <c r="AP1" s="9"/>
      <c r="AR1" s="9"/>
      <c r="AT1" s="9"/>
      <c r="AV1" s="9"/>
      <c r="AW1" s="9"/>
      <c r="AX1" s="9"/>
      <c r="AY1" s="9"/>
      <c r="AZ1" s="9"/>
      <c r="BA1" s="9"/>
      <c r="BB1" s="9"/>
      <c r="BC1" s="9"/>
      <c r="BD1" s="9"/>
      <c r="BE1" s="9"/>
      <c r="BF1" s="9"/>
      <c r="BG1" s="9"/>
      <c r="BH1" s="9"/>
      <c r="BI1" s="11"/>
    </row>
    <row r="2" spans="1:63" ht="15">
      <c r="A2" s="1" t="s">
        <v>1053</v>
      </c>
      <c r="B2" s="2"/>
      <c r="C2" s="2"/>
      <c r="D2" s="1"/>
      <c r="E2" s="1"/>
      <c r="F2" s="3"/>
      <c r="H2" s="5"/>
      <c r="I2" s="13"/>
      <c r="J2" s="14"/>
      <c r="K2" s="14"/>
      <c r="L2" s="15"/>
      <c r="M2" s="15"/>
      <c r="N2" s="15"/>
      <c r="O2" s="15"/>
      <c r="P2" s="15"/>
      <c r="R2" s="15"/>
      <c r="T2" s="8"/>
      <c r="V2" s="15"/>
      <c r="X2" s="15"/>
      <c r="Z2" s="15"/>
      <c r="AB2" s="15"/>
      <c r="AD2" s="15"/>
      <c r="AF2" s="15"/>
      <c r="AG2" s="238" t="s">
        <v>1</v>
      </c>
      <c r="AH2" s="238"/>
      <c r="AI2" s="17"/>
      <c r="AJ2" s="18"/>
      <c r="AK2" s="15"/>
      <c r="AL2" s="10" t="e">
        <f>+#REF!</f>
        <v>#REF!</v>
      </c>
      <c r="AN2" s="18"/>
      <c r="AO2" s="18"/>
      <c r="AP2" s="18"/>
      <c r="AR2" s="15"/>
      <c r="AT2" s="15"/>
      <c r="AV2" s="15"/>
      <c r="AW2" s="15"/>
      <c r="AX2" s="15"/>
      <c r="AY2" s="15"/>
      <c r="AZ2" s="15"/>
      <c r="BA2" s="15"/>
      <c r="BB2" s="15"/>
      <c r="BC2" s="15"/>
      <c r="BD2" s="15"/>
      <c r="BE2" s="15"/>
      <c r="BF2" s="15"/>
      <c r="BG2" s="15"/>
      <c r="BH2" s="15"/>
      <c r="BI2" s="19"/>
    </row>
    <row r="3" spans="1:63">
      <c r="A3" s="20" t="str">
        <f>IF(G7=1,"DETAIL OF EXPENDITURES BUDGET BY DEPARTMENT WITH COMPARATIVE AMOUNTS", "SUMMARY OF EXPENDITURES BUDGET BY DEPARTMENT WITH COMPARATIVE AMOUNTS")</f>
        <v>DETAIL OF EXPENDITURES BUDGET BY DEPARTMENT WITH COMPARATIVE AMOUNTS</v>
      </c>
      <c r="B3" s="21"/>
      <c r="C3" s="21"/>
      <c r="D3" s="22"/>
      <c r="E3" s="22"/>
      <c r="F3" s="3"/>
      <c r="H3" s="5"/>
      <c r="I3" s="23"/>
      <c r="J3" s="15"/>
      <c r="L3" s="15"/>
      <c r="M3" s="10"/>
      <c r="N3" s="10"/>
      <c r="O3" s="10"/>
      <c r="P3" s="24"/>
      <c r="R3" s="24"/>
      <c r="V3" s="24"/>
      <c r="W3" s="24"/>
      <c r="X3" s="15"/>
      <c r="Y3" s="24"/>
      <c r="AA3" s="24"/>
      <c r="AB3" s="24" t="e">
        <f>+#REF!</f>
        <v>#REF!</v>
      </c>
      <c r="AC3" s="24"/>
      <c r="AD3" s="24" t="e">
        <f>+#REF!</f>
        <v>#REF!</v>
      </c>
      <c r="AE3" s="24"/>
      <c r="AF3" s="10" t="e">
        <f>+#REF!</f>
        <v>#REF!</v>
      </c>
      <c r="AG3" s="239" t="s">
        <v>2</v>
      </c>
      <c r="AH3" s="239"/>
      <c r="AI3" s="25"/>
      <c r="AJ3" s="25" t="e">
        <f>+#REF!</f>
        <v>#REF!</v>
      </c>
      <c r="AK3" s="24"/>
      <c r="AL3" s="16" t="s">
        <v>1</v>
      </c>
      <c r="AM3" s="25"/>
      <c r="AN3" s="25"/>
      <c r="AO3" s="25"/>
      <c r="AP3" s="25"/>
      <c r="AQ3" s="24"/>
      <c r="AR3" s="24" t="e">
        <f>+#REF!</f>
        <v>#REF!</v>
      </c>
      <c r="AS3" s="24"/>
      <c r="AT3" s="24" t="e">
        <f>+#REF!</f>
        <v>#REF!</v>
      </c>
      <c r="AU3" s="24"/>
      <c r="AV3" s="24" t="e">
        <f>+#REF!</f>
        <v>#REF!</v>
      </c>
      <c r="AW3" s="24"/>
      <c r="AX3" s="24" t="e">
        <f>+#REF!</f>
        <v>#REF!</v>
      </c>
      <c r="AY3" s="24"/>
      <c r="AZ3" s="24"/>
      <c r="BA3" s="24"/>
      <c r="BB3" s="24"/>
      <c r="BC3" s="24"/>
      <c r="BD3" s="24"/>
      <c r="BE3" s="26"/>
      <c r="BF3" s="26"/>
      <c r="BG3" s="26"/>
      <c r="BH3" s="26"/>
      <c r="BI3" s="27"/>
    </row>
    <row r="4" spans="1:63" ht="15">
      <c r="A4" s="28" t="s">
        <v>1070</v>
      </c>
      <c r="B4" s="29"/>
      <c r="C4" s="29"/>
      <c r="D4" s="28"/>
      <c r="E4" s="28"/>
      <c r="F4" s="3"/>
      <c r="H4" s="30"/>
      <c r="I4" s="31" t="e">
        <f>+#REF!</f>
        <v>#REF!</v>
      </c>
      <c r="J4" s="31" t="e">
        <f>+#REF!</f>
        <v>#REF!</v>
      </c>
      <c r="L4" s="31"/>
      <c r="M4" s="32"/>
      <c r="N4" s="33"/>
      <c r="O4" s="32"/>
      <c r="P4" s="33"/>
      <c r="R4" s="33"/>
      <c r="T4" s="33"/>
      <c r="X4" s="31"/>
      <c r="Z4" s="10"/>
      <c r="AB4" s="241"/>
      <c r="AC4" s="241"/>
      <c r="AD4" s="241"/>
      <c r="AE4" s="35"/>
      <c r="AF4" s="34"/>
      <c r="AG4" s="240"/>
      <c r="AH4" s="240"/>
      <c r="AI4" s="17"/>
      <c r="AJ4" s="16"/>
      <c r="AK4" s="24"/>
      <c r="AL4" s="16"/>
      <c r="AM4" s="17"/>
      <c r="AN4" s="31"/>
      <c r="AO4" s="31"/>
      <c r="AP4" s="31"/>
      <c r="AR4" s="34" t="s">
        <v>5</v>
      </c>
      <c r="AU4" s="35"/>
      <c r="AV4" s="34"/>
      <c r="AW4" s="34"/>
      <c r="AX4" s="34" t="s">
        <v>5</v>
      </c>
      <c r="AY4" s="34"/>
      <c r="AZ4" s="34"/>
      <c r="BA4" s="34"/>
      <c r="BB4" s="34"/>
      <c r="BC4" s="34"/>
      <c r="BD4" s="34"/>
      <c r="BE4" s="37"/>
      <c r="BF4" s="37"/>
      <c r="BG4" s="37"/>
      <c r="BH4" s="37"/>
      <c r="BI4" s="38"/>
    </row>
    <row r="5" spans="1:63" ht="15">
      <c r="B5" s="29"/>
      <c r="C5" s="29"/>
      <c r="D5" s="28"/>
      <c r="E5" s="28"/>
      <c r="G5" s="28"/>
      <c r="H5" s="5"/>
      <c r="I5" s="41" t="s">
        <v>6</v>
      </c>
      <c r="J5" s="42" t="s">
        <v>7</v>
      </c>
      <c r="L5" s="16" t="s">
        <v>8</v>
      </c>
      <c r="M5" s="16"/>
      <c r="N5" s="16" t="s">
        <v>9</v>
      </c>
      <c r="O5" s="16"/>
      <c r="P5" s="16" t="s">
        <v>9</v>
      </c>
      <c r="Q5" s="17"/>
      <c r="R5" s="43"/>
      <c r="S5" s="17"/>
      <c r="T5" s="16"/>
      <c r="U5" s="17"/>
      <c r="V5" s="16" t="s">
        <v>9</v>
      </c>
      <c r="X5" s="16" t="s">
        <v>9</v>
      </c>
      <c r="Z5" s="34" t="s">
        <v>1</v>
      </c>
      <c r="AB5" s="243" t="s">
        <v>10</v>
      </c>
      <c r="AC5" s="243"/>
      <c r="AD5" s="243"/>
      <c r="AE5" s="35"/>
      <c r="AF5" s="34" t="s">
        <v>1</v>
      </c>
      <c r="AG5" s="17"/>
      <c r="AH5" s="16" t="s">
        <v>11</v>
      </c>
      <c r="AI5" s="17"/>
      <c r="AJ5" s="16" t="s">
        <v>1</v>
      </c>
      <c r="AK5" s="24"/>
      <c r="AL5" s="43" t="s">
        <v>12</v>
      </c>
      <c r="AM5" s="17"/>
      <c r="AN5" s="16" t="s">
        <v>1</v>
      </c>
      <c r="AO5" s="45" t="s">
        <v>1</v>
      </c>
      <c r="AP5" s="46" t="s">
        <v>5</v>
      </c>
      <c r="AQ5" s="47"/>
      <c r="AR5" s="48" t="s">
        <v>10</v>
      </c>
      <c r="AS5" s="47"/>
      <c r="AT5" s="47"/>
      <c r="AU5" s="47"/>
      <c r="AV5" s="46" t="s">
        <v>5</v>
      </c>
      <c r="AW5" s="34"/>
      <c r="AX5" s="49" t="s">
        <v>3</v>
      </c>
      <c r="AY5" s="34"/>
      <c r="AZ5" s="16" t="s">
        <v>1054</v>
      </c>
      <c r="BA5" s="16" t="s">
        <v>1054</v>
      </c>
      <c r="BB5" s="34" t="s">
        <v>1069</v>
      </c>
      <c r="BC5" s="34"/>
      <c r="BD5" s="34"/>
      <c r="BE5" s="50" t="s">
        <v>13</v>
      </c>
      <c r="BF5" s="37"/>
      <c r="BG5" s="37"/>
      <c r="BH5" s="37"/>
      <c r="BI5" s="51"/>
    </row>
    <row r="6" spans="1:63">
      <c r="A6" s="242"/>
      <c r="B6" s="242"/>
      <c r="C6" s="242"/>
      <c r="D6" s="242"/>
      <c r="E6" s="242"/>
      <c r="F6" s="242"/>
      <c r="G6" s="22"/>
      <c r="H6" s="5"/>
      <c r="I6" s="52" t="s">
        <v>14</v>
      </c>
      <c r="J6" s="52" t="s">
        <v>14</v>
      </c>
      <c r="L6" s="43" t="s">
        <v>14</v>
      </c>
      <c r="M6" s="43"/>
      <c r="N6" s="43" t="s">
        <v>15</v>
      </c>
      <c r="O6" s="43"/>
      <c r="P6" s="43" t="s">
        <v>4</v>
      </c>
      <c r="Q6" s="17"/>
      <c r="R6" s="43" t="s">
        <v>4</v>
      </c>
      <c r="S6" s="43"/>
      <c r="T6" s="43" t="s">
        <v>16</v>
      </c>
      <c r="U6" s="43"/>
      <c r="V6" s="43" t="s">
        <v>4</v>
      </c>
      <c r="W6" s="43"/>
      <c r="X6" s="43" t="s">
        <v>14</v>
      </c>
      <c r="Y6" s="43"/>
      <c r="Z6" s="34" t="s">
        <v>17</v>
      </c>
      <c r="AA6" s="43"/>
      <c r="AB6" s="53" t="s">
        <v>16</v>
      </c>
      <c r="AC6" s="53"/>
      <c r="AD6" s="34"/>
      <c r="AE6" s="53"/>
      <c r="AF6" s="34" t="s">
        <v>17</v>
      </c>
      <c r="AG6" s="43" t="s">
        <v>16</v>
      </c>
      <c r="AH6" s="16" t="s">
        <v>18</v>
      </c>
      <c r="AI6" s="43"/>
      <c r="AJ6" s="16" t="s">
        <v>19</v>
      </c>
      <c r="AK6" s="24"/>
      <c r="AL6" s="43" t="s">
        <v>16</v>
      </c>
      <c r="AM6" s="43"/>
      <c r="AN6" s="43" t="s">
        <v>14</v>
      </c>
      <c r="AO6" s="45" t="s">
        <v>20</v>
      </c>
      <c r="AP6" s="43" t="s">
        <v>14</v>
      </c>
      <c r="AQ6" s="54"/>
      <c r="AR6" s="54" t="s">
        <v>16</v>
      </c>
      <c r="AS6" s="54"/>
      <c r="AT6" s="46"/>
      <c r="AU6" s="54"/>
      <c r="AV6" s="46" t="s">
        <v>19</v>
      </c>
      <c r="AW6" s="34"/>
      <c r="AX6" s="55" t="s">
        <v>16</v>
      </c>
      <c r="AY6" s="34"/>
      <c r="AZ6" s="16" t="s">
        <v>17</v>
      </c>
      <c r="BA6" s="16" t="s">
        <v>4</v>
      </c>
      <c r="BB6" s="34" t="s">
        <v>19</v>
      </c>
      <c r="BC6" s="34"/>
      <c r="BD6" s="56"/>
      <c r="BE6" s="50" t="s">
        <v>21</v>
      </c>
      <c r="BF6" s="37"/>
      <c r="BG6" s="37"/>
      <c r="BH6" s="37"/>
      <c r="BI6" s="57"/>
    </row>
    <row r="7" spans="1:63" ht="15">
      <c r="A7" s="237"/>
      <c r="B7" s="237"/>
      <c r="C7" s="237"/>
      <c r="D7" s="237"/>
      <c r="E7" s="237"/>
      <c r="F7" s="237"/>
      <c r="G7" s="59">
        <v>1</v>
      </c>
      <c r="H7" s="60"/>
      <c r="I7" s="52" t="s">
        <v>22</v>
      </c>
      <c r="J7" s="52" t="s">
        <v>22</v>
      </c>
      <c r="L7" s="43" t="s">
        <v>22</v>
      </c>
      <c r="M7" s="43"/>
      <c r="N7" s="43" t="s">
        <v>23</v>
      </c>
      <c r="O7" s="43"/>
      <c r="P7" s="43" t="s">
        <v>24</v>
      </c>
      <c r="Q7" s="43"/>
      <c r="R7" s="43" t="s">
        <v>24</v>
      </c>
      <c r="S7" s="43"/>
      <c r="T7" s="43" t="s">
        <v>25</v>
      </c>
      <c r="U7" s="43"/>
      <c r="V7" s="43" t="s">
        <v>24</v>
      </c>
      <c r="W7" s="43"/>
      <c r="X7" s="43" t="s">
        <v>22</v>
      </c>
      <c r="Y7" s="43"/>
      <c r="Z7" s="53" t="s">
        <v>15</v>
      </c>
      <c r="AA7" s="43"/>
      <c r="AB7" s="53" t="s">
        <v>26</v>
      </c>
      <c r="AC7" s="53"/>
      <c r="AD7" s="53"/>
      <c r="AE7" s="53"/>
      <c r="AF7" s="53" t="s">
        <v>4</v>
      </c>
      <c r="AG7" s="43" t="s">
        <v>26</v>
      </c>
      <c r="AH7" s="43" t="s">
        <v>27</v>
      </c>
      <c r="AI7" s="43"/>
      <c r="AJ7" s="43" t="s">
        <v>4</v>
      </c>
      <c r="AK7" s="24"/>
      <c r="AL7" s="43" t="s">
        <v>26</v>
      </c>
      <c r="AM7" s="43"/>
      <c r="AN7" s="43" t="s">
        <v>22</v>
      </c>
      <c r="AO7" s="61" t="s">
        <v>22</v>
      </c>
      <c r="AP7" s="43" t="s">
        <v>22</v>
      </c>
      <c r="AQ7" s="54"/>
      <c r="AR7" s="54" t="s">
        <v>26</v>
      </c>
      <c r="AS7" s="54"/>
      <c r="AT7" s="54"/>
      <c r="AU7" s="54"/>
      <c r="AV7" s="54" t="s">
        <v>4</v>
      </c>
      <c r="AW7" s="53"/>
      <c r="AX7" s="55" t="s">
        <v>26</v>
      </c>
      <c r="AY7" s="53"/>
      <c r="AZ7" s="16" t="s">
        <v>15</v>
      </c>
      <c r="BA7" s="16" t="s">
        <v>1068</v>
      </c>
      <c r="BB7" s="34" t="s">
        <v>15</v>
      </c>
      <c r="BC7" s="34"/>
      <c r="BD7" s="56"/>
      <c r="BE7" s="50" t="s">
        <v>28</v>
      </c>
      <c r="BF7" s="62"/>
      <c r="BG7" s="62"/>
      <c r="BH7" s="62"/>
      <c r="BI7" s="57"/>
      <c r="BJ7" s="63"/>
    </row>
    <row r="8" spans="1:63" ht="15">
      <c r="A8" s="237" t="s">
        <v>29</v>
      </c>
      <c r="B8" s="237"/>
      <c r="C8" s="237"/>
      <c r="D8" s="237"/>
      <c r="E8" s="237"/>
      <c r="F8" s="64" t="s">
        <v>30</v>
      </c>
      <c r="G8" s="64" t="s">
        <v>31</v>
      </c>
      <c r="H8" s="60"/>
      <c r="I8" s="65" t="s">
        <v>32</v>
      </c>
      <c r="J8" s="65" t="s">
        <v>32</v>
      </c>
      <c r="L8" s="66" t="s">
        <v>32</v>
      </c>
      <c r="M8" s="36"/>
      <c r="N8" s="36" t="s">
        <v>2</v>
      </c>
      <c r="O8" s="36"/>
      <c r="P8" s="36" t="s">
        <v>33</v>
      </c>
      <c r="Q8" s="36"/>
      <c r="R8" s="36" t="s">
        <v>34</v>
      </c>
      <c r="S8" s="36"/>
      <c r="T8" s="36" t="s">
        <v>35</v>
      </c>
      <c r="U8" s="36"/>
      <c r="V8" s="36" t="s">
        <v>36</v>
      </c>
      <c r="W8" s="36"/>
      <c r="X8" s="66" t="s">
        <v>32</v>
      </c>
      <c r="Y8" s="36"/>
      <c r="Z8" s="44" t="s">
        <v>24</v>
      </c>
      <c r="AA8" s="36"/>
      <c r="AB8" s="44" t="s">
        <v>35</v>
      </c>
      <c r="AC8" s="44"/>
      <c r="AD8" s="44" t="s">
        <v>37</v>
      </c>
      <c r="AE8" s="44"/>
      <c r="AF8" s="44" t="s">
        <v>38</v>
      </c>
      <c r="AG8" s="36" t="s">
        <v>35</v>
      </c>
      <c r="AH8" s="36" t="s">
        <v>39</v>
      </c>
      <c r="AI8" s="36"/>
      <c r="AJ8" s="36" t="s">
        <v>40</v>
      </c>
      <c r="AK8" s="24"/>
      <c r="AL8" s="36" t="s">
        <v>35</v>
      </c>
      <c r="AM8" s="36"/>
      <c r="AN8" s="36" t="s">
        <v>32</v>
      </c>
      <c r="AO8" s="67" t="s">
        <v>32</v>
      </c>
      <c r="AP8" s="36" t="s">
        <v>32</v>
      </c>
      <c r="AQ8" s="48"/>
      <c r="AR8" s="48" t="s">
        <v>35</v>
      </c>
      <c r="AS8" s="48"/>
      <c r="AT8" s="48" t="s">
        <v>37</v>
      </c>
      <c r="AU8" s="48"/>
      <c r="AV8" s="48" t="s">
        <v>38</v>
      </c>
      <c r="AW8" s="44"/>
      <c r="AX8" s="49" t="s">
        <v>35</v>
      </c>
      <c r="AY8" s="44"/>
      <c r="AZ8" s="36" t="s">
        <v>2</v>
      </c>
      <c r="BA8" s="36" t="s">
        <v>2</v>
      </c>
      <c r="BB8" s="44" t="s">
        <v>2</v>
      </c>
      <c r="BC8" s="44"/>
      <c r="BD8" s="56"/>
      <c r="BE8" s="50" t="s">
        <v>41</v>
      </c>
      <c r="BF8" s="68"/>
      <c r="BG8" s="68"/>
      <c r="BH8" s="68"/>
      <c r="BI8" s="69"/>
    </row>
    <row r="9" spans="1:63" ht="15">
      <c r="A9" s="58"/>
      <c r="B9" s="58"/>
      <c r="C9" s="58"/>
      <c r="D9" s="64"/>
      <c r="E9" s="64"/>
      <c r="F9" s="64"/>
      <c r="G9" s="70"/>
      <c r="H9" s="60"/>
      <c r="J9" s="71"/>
      <c r="AK9" s="24"/>
      <c r="BB9" s="34"/>
      <c r="BC9" s="34"/>
      <c r="BD9" s="56"/>
      <c r="BI9" s="72">
        <v>2</v>
      </c>
    </row>
    <row r="10" spans="1:63" ht="20.100000000000001" customHeight="1" outlineLevel="1">
      <c r="A10" s="75" t="s">
        <v>42</v>
      </c>
      <c r="B10" s="74"/>
      <c r="C10" s="74"/>
      <c r="D10" s="3"/>
      <c r="E10" s="3"/>
      <c r="F10" s="3"/>
      <c r="H10" s="5"/>
      <c r="AK10" s="24"/>
      <c r="BB10" s="83"/>
      <c r="BC10" s="83"/>
      <c r="BD10" s="56"/>
    </row>
    <row r="11" spans="1:63" ht="20.100000000000001" customHeight="1" outlineLevel="1">
      <c r="A11" s="218" t="s">
        <v>43</v>
      </c>
      <c r="B11" s="218" t="s">
        <v>44</v>
      </c>
      <c r="C11" s="218" t="s">
        <v>1071</v>
      </c>
      <c r="D11" s="219" t="s">
        <v>46</v>
      </c>
      <c r="E11" s="219" t="str">
        <f>+D11</f>
        <v>000</v>
      </c>
      <c r="F11" s="79">
        <v>611111</v>
      </c>
      <c r="G11" s="220" t="s">
        <v>47</v>
      </c>
      <c r="H11" s="81"/>
      <c r="I11" s="221">
        <v>145200</v>
      </c>
      <c r="J11" s="221">
        <v>145200</v>
      </c>
      <c r="K11" s="222"/>
      <c r="L11" s="175">
        <v>145200</v>
      </c>
      <c r="M11" s="175"/>
      <c r="N11" s="175">
        <v>145200</v>
      </c>
      <c r="O11" s="175"/>
      <c r="P11" s="175">
        <v>145200</v>
      </c>
      <c r="Q11" s="175"/>
      <c r="R11" s="175">
        <v>145200</v>
      </c>
      <c r="S11" s="175"/>
      <c r="T11" s="175">
        <v>0</v>
      </c>
      <c r="U11" s="175"/>
      <c r="V11" s="175">
        <v>145200</v>
      </c>
      <c r="W11" s="175"/>
      <c r="X11" s="175">
        <v>145200</v>
      </c>
      <c r="Y11" s="175"/>
      <c r="Z11" s="84">
        <v>145200</v>
      </c>
      <c r="AA11" s="175"/>
      <c r="AB11" s="84"/>
      <c r="AC11" s="175"/>
      <c r="AD11" s="84"/>
      <c r="AE11" s="175"/>
      <c r="AF11" s="84">
        <f t="shared" ref="AF11:AF24" si="0">SUM(Z11:AE11)</f>
        <v>145200</v>
      </c>
      <c r="AG11" s="84">
        <v>0</v>
      </c>
      <c r="AH11" s="84">
        <v>0</v>
      </c>
      <c r="AI11" s="175"/>
      <c r="AJ11" s="84">
        <f t="shared" ref="AJ11:AJ24" si="1">SUM(AE11:AI11)</f>
        <v>145200</v>
      </c>
      <c r="AK11" s="96"/>
      <c r="AL11" s="84">
        <v>0</v>
      </c>
      <c r="AM11" s="175"/>
      <c r="AN11" s="86">
        <f>SUM(AI11:AM11)</f>
        <v>145200</v>
      </c>
      <c r="AO11" s="86">
        <v>0</v>
      </c>
      <c r="AP11" s="86">
        <v>145200</v>
      </c>
      <c r="AQ11" s="175"/>
      <c r="AR11" s="84">
        <v>0</v>
      </c>
      <c r="AS11" s="175"/>
      <c r="AT11" s="84">
        <v>0</v>
      </c>
      <c r="AU11" s="175"/>
      <c r="AV11" s="84">
        <f t="shared" ref="AV11:AV24" si="2">SUM(AP11:AU11)</f>
        <v>145200</v>
      </c>
      <c r="AW11" s="84"/>
      <c r="AX11" s="84">
        <v>0</v>
      </c>
      <c r="AY11" s="84"/>
      <c r="AZ11" s="84">
        <f>SUM(AV11:AY11)</f>
        <v>145200</v>
      </c>
      <c r="BA11" s="84">
        <v>145200</v>
      </c>
      <c r="BB11" s="214"/>
      <c r="BC11" s="86"/>
      <c r="BD11" s="56"/>
      <c r="BE11" s="84">
        <f t="shared" ref="BE11:BE25" si="3">+AP11-AN11</f>
        <v>0</v>
      </c>
      <c r="BF11" s="84"/>
      <c r="BG11" s="84"/>
      <c r="BH11" s="84"/>
      <c r="BI11" s="72">
        <v>0</v>
      </c>
      <c r="BK11">
        <v>0</v>
      </c>
    </row>
    <row r="12" spans="1:63" ht="20.100000000000001" customHeight="1" outlineLevel="1">
      <c r="A12" s="218" t="s">
        <v>43</v>
      </c>
      <c r="B12" s="218" t="s">
        <v>44</v>
      </c>
      <c r="C12" s="218" t="str">
        <f>+C11</f>
        <v>AA·</v>
      </c>
      <c r="D12" s="219" t="s">
        <v>46</v>
      </c>
      <c r="E12" s="219" t="str">
        <f t="shared" ref="E12:E24" si="4">+D12</f>
        <v>000</v>
      </c>
      <c r="F12" s="195">
        <v>632015</v>
      </c>
      <c r="G12" s="220" t="s">
        <v>48</v>
      </c>
      <c r="H12" s="141"/>
      <c r="I12" s="139">
        <v>265</v>
      </c>
      <c r="J12" s="139">
        <v>4046</v>
      </c>
      <c r="K12" s="222"/>
      <c r="L12" s="146">
        <v>3908</v>
      </c>
      <c r="M12" s="146"/>
      <c r="N12" s="146">
        <v>0</v>
      </c>
      <c r="O12" s="146"/>
      <c r="P12" s="146">
        <v>0</v>
      </c>
      <c r="Q12" s="146"/>
      <c r="R12" s="146">
        <v>0</v>
      </c>
      <c r="S12" s="146"/>
      <c r="T12" s="146">
        <v>0</v>
      </c>
      <c r="U12" s="146"/>
      <c r="V12" s="146">
        <v>0</v>
      </c>
      <c r="W12" s="146"/>
      <c r="X12" s="146">
        <v>3175</v>
      </c>
      <c r="Y12" s="146"/>
      <c r="Z12" s="146">
        <f>+[1]Board!W13</f>
        <v>0</v>
      </c>
      <c r="AA12" s="146"/>
      <c r="AB12" s="146"/>
      <c r="AC12" s="146"/>
      <c r="AD12" s="146"/>
      <c r="AE12" s="146"/>
      <c r="AF12" s="146">
        <f t="shared" si="0"/>
        <v>0</v>
      </c>
      <c r="AG12" s="146">
        <v>0</v>
      </c>
      <c r="AH12" s="146">
        <v>0</v>
      </c>
      <c r="AI12" s="146"/>
      <c r="AJ12" s="146">
        <f t="shared" si="1"/>
        <v>0</v>
      </c>
      <c r="AK12" s="96"/>
      <c r="AL12" s="146">
        <v>0</v>
      </c>
      <c r="AM12" s="146"/>
      <c r="AN12" s="223">
        <v>1000</v>
      </c>
      <c r="AO12" s="223">
        <v>0</v>
      </c>
      <c r="AP12" s="223">
        <v>0</v>
      </c>
      <c r="AQ12" s="146"/>
      <c r="AR12" s="146">
        <v>0</v>
      </c>
      <c r="AS12" s="146"/>
      <c r="AT12" s="146">
        <v>0</v>
      </c>
      <c r="AU12" s="146"/>
      <c r="AV12" s="146">
        <f t="shared" si="2"/>
        <v>0</v>
      </c>
      <c r="AW12" s="146"/>
      <c r="AX12" s="146">
        <v>0</v>
      </c>
      <c r="AY12" s="146"/>
      <c r="AZ12" s="146">
        <v>2000</v>
      </c>
      <c r="BA12" s="146">
        <v>2000</v>
      </c>
      <c r="BB12" s="214"/>
      <c r="BC12" s="86"/>
      <c r="BD12" s="56"/>
      <c r="BE12" s="84">
        <f t="shared" si="3"/>
        <v>-1000</v>
      </c>
      <c r="BF12" s="56"/>
      <c r="BG12" s="56"/>
      <c r="BH12" s="56"/>
      <c r="BI12" s="72"/>
    </row>
    <row r="13" spans="1:63" ht="20.100000000000001" customHeight="1" outlineLevel="1">
      <c r="A13" s="218" t="s">
        <v>43</v>
      </c>
      <c r="B13" s="218" t="s">
        <v>44</v>
      </c>
      <c r="C13" s="218" t="str">
        <f t="shared" ref="C13:C24" si="5">+C12</f>
        <v>AA·</v>
      </c>
      <c r="D13" s="219" t="s">
        <v>46</v>
      </c>
      <c r="E13" s="219" t="str">
        <f t="shared" si="4"/>
        <v>000</v>
      </c>
      <c r="F13" s="195">
        <v>633211</v>
      </c>
      <c r="G13" s="220" t="s">
        <v>49</v>
      </c>
      <c r="H13" s="141"/>
      <c r="I13" s="139">
        <v>88458</v>
      </c>
      <c r="J13" s="139">
        <v>92034</v>
      </c>
      <c r="K13" s="222"/>
      <c r="L13" s="146">
        <v>84185</v>
      </c>
      <c r="M13" s="146"/>
      <c r="N13" s="146">
        <v>110000</v>
      </c>
      <c r="O13" s="146"/>
      <c r="P13" s="146">
        <v>110000</v>
      </c>
      <c r="Q13" s="146"/>
      <c r="R13" s="146">
        <v>110000</v>
      </c>
      <c r="S13" s="146"/>
      <c r="T13" s="146">
        <v>0</v>
      </c>
      <c r="U13" s="146"/>
      <c r="V13" s="146">
        <v>110000</v>
      </c>
      <c r="W13" s="146"/>
      <c r="X13" s="146">
        <v>85633</v>
      </c>
      <c r="Y13" s="146"/>
      <c r="Z13" s="146">
        <v>110000</v>
      </c>
      <c r="AA13" s="146"/>
      <c r="AB13" s="146"/>
      <c r="AC13" s="146"/>
      <c r="AD13" s="146"/>
      <c r="AE13" s="146"/>
      <c r="AF13" s="146">
        <f t="shared" si="0"/>
        <v>110000</v>
      </c>
      <c r="AG13" s="146">
        <v>0</v>
      </c>
      <c r="AH13" s="146">
        <v>0</v>
      </c>
      <c r="AI13" s="146"/>
      <c r="AJ13" s="146">
        <f t="shared" si="1"/>
        <v>110000</v>
      </c>
      <c r="AK13" s="96"/>
      <c r="AL13" s="159">
        <v>12500</v>
      </c>
      <c r="AM13" s="146"/>
      <c r="AN13" s="223">
        <v>122243.7</v>
      </c>
      <c r="AO13" s="223">
        <v>0</v>
      </c>
      <c r="AP13" s="223">
        <v>124621.07</v>
      </c>
      <c r="AQ13" s="146"/>
      <c r="AR13" s="146">
        <v>0</v>
      </c>
      <c r="AS13" s="146"/>
      <c r="AT13" s="146">
        <v>0</v>
      </c>
      <c r="AU13" s="146"/>
      <c r="AV13" s="146">
        <f t="shared" si="2"/>
        <v>124621.07</v>
      </c>
      <c r="AW13" s="146"/>
      <c r="AX13" s="146">
        <v>0</v>
      </c>
      <c r="AY13" s="146"/>
      <c r="AZ13" s="146">
        <v>110000</v>
      </c>
      <c r="BA13" s="146">
        <v>110000</v>
      </c>
      <c r="BB13" s="214"/>
      <c r="BC13" s="86"/>
      <c r="BD13" s="56"/>
      <c r="BE13" s="84">
        <f t="shared" si="3"/>
        <v>2377.3700000000099</v>
      </c>
      <c r="BF13" s="56"/>
      <c r="BG13" s="56"/>
      <c r="BH13" s="56"/>
      <c r="BI13" s="72"/>
    </row>
    <row r="14" spans="1:63" ht="20.100000000000001" customHeight="1" outlineLevel="1">
      <c r="A14" s="218" t="s">
        <v>43</v>
      </c>
      <c r="B14" s="218" t="s">
        <v>44</v>
      </c>
      <c r="C14" s="218" t="str">
        <f t="shared" si="5"/>
        <v>AA·</v>
      </c>
      <c r="D14" s="219" t="s">
        <v>46</v>
      </c>
      <c r="E14" s="219" t="str">
        <f t="shared" si="4"/>
        <v>000</v>
      </c>
      <c r="F14" s="195">
        <v>633311</v>
      </c>
      <c r="G14" s="220" t="s">
        <v>50</v>
      </c>
      <c r="H14" s="141"/>
      <c r="I14" s="139">
        <v>36399</v>
      </c>
      <c r="J14" s="139">
        <v>57075</v>
      </c>
      <c r="K14" s="222"/>
      <c r="L14" s="146">
        <v>71050</v>
      </c>
      <c r="M14" s="146"/>
      <c r="N14" s="146">
        <v>62500</v>
      </c>
      <c r="O14" s="146"/>
      <c r="P14" s="146">
        <v>69500</v>
      </c>
      <c r="Q14" s="146"/>
      <c r="R14" s="146">
        <v>69500</v>
      </c>
      <c r="S14" s="146"/>
      <c r="T14" s="146">
        <v>0</v>
      </c>
      <c r="U14" s="146"/>
      <c r="V14" s="146">
        <v>69500</v>
      </c>
      <c r="W14" s="146"/>
      <c r="X14" s="146">
        <v>47139</v>
      </c>
      <c r="Y14" s="146"/>
      <c r="Z14" s="146">
        <v>75000</v>
      </c>
      <c r="AA14" s="146"/>
      <c r="AB14" s="146"/>
      <c r="AC14" s="146"/>
      <c r="AD14" s="146"/>
      <c r="AE14" s="146"/>
      <c r="AF14" s="146">
        <f t="shared" si="0"/>
        <v>75000</v>
      </c>
      <c r="AG14" s="146">
        <v>0</v>
      </c>
      <c r="AH14" s="146">
        <v>0</v>
      </c>
      <c r="AI14" s="146"/>
      <c r="AJ14" s="146">
        <f t="shared" si="1"/>
        <v>75000</v>
      </c>
      <c r="AK14" s="96"/>
      <c r="AL14" s="159">
        <v>0</v>
      </c>
      <c r="AM14" s="146"/>
      <c r="AN14" s="223">
        <v>71600</v>
      </c>
      <c r="AO14" s="223">
        <v>0</v>
      </c>
      <c r="AP14" s="223">
        <v>63910</v>
      </c>
      <c r="AQ14" s="146"/>
      <c r="AR14" s="146">
        <v>0</v>
      </c>
      <c r="AS14" s="146"/>
      <c r="AT14" s="146">
        <v>0</v>
      </c>
      <c r="AU14" s="146"/>
      <c r="AV14" s="146">
        <f t="shared" si="2"/>
        <v>63910</v>
      </c>
      <c r="AW14" s="146"/>
      <c r="AX14" s="146">
        <v>0</v>
      </c>
      <c r="AY14" s="146"/>
      <c r="AZ14" s="146">
        <v>78000</v>
      </c>
      <c r="BA14" s="146">
        <v>78000</v>
      </c>
      <c r="BB14" s="214"/>
      <c r="BC14" s="86"/>
      <c r="BD14" s="56"/>
      <c r="BE14" s="84">
        <f t="shared" si="3"/>
        <v>-7690</v>
      </c>
      <c r="BF14" s="56"/>
      <c r="BG14" s="56"/>
      <c r="BH14" s="56"/>
      <c r="BI14" s="72"/>
    </row>
    <row r="15" spans="1:63" ht="20.100000000000001" customHeight="1" outlineLevel="1">
      <c r="A15" s="218" t="s">
        <v>43</v>
      </c>
      <c r="B15" s="218" t="s">
        <v>44</v>
      </c>
      <c r="C15" s="218" t="str">
        <f t="shared" si="5"/>
        <v>AA·</v>
      </c>
      <c r="D15" s="219" t="s">
        <v>46</v>
      </c>
      <c r="E15" s="219" t="str">
        <f t="shared" si="4"/>
        <v>000</v>
      </c>
      <c r="F15" s="195">
        <v>633911</v>
      </c>
      <c r="G15" s="220" t="s">
        <v>51</v>
      </c>
      <c r="H15" s="141"/>
      <c r="I15" s="139">
        <v>200</v>
      </c>
      <c r="J15" s="139">
        <v>5800</v>
      </c>
      <c r="K15" s="222"/>
      <c r="L15" s="146">
        <v>2600</v>
      </c>
      <c r="M15" s="146"/>
      <c r="N15" s="146">
        <v>10000</v>
      </c>
      <c r="O15" s="146"/>
      <c r="P15" s="146">
        <v>10000</v>
      </c>
      <c r="Q15" s="146"/>
      <c r="R15" s="146">
        <v>10000</v>
      </c>
      <c r="S15" s="146"/>
      <c r="T15" s="146">
        <v>0</v>
      </c>
      <c r="U15" s="146"/>
      <c r="V15" s="146">
        <v>10000</v>
      </c>
      <c r="W15" s="146"/>
      <c r="X15" s="146">
        <v>3140</v>
      </c>
      <c r="Y15" s="146"/>
      <c r="Z15" s="146">
        <v>10000</v>
      </c>
      <c r="AA15" s="146"/>
      <c r="AB15" s="146"/>
      <c r="AC15" s="146"/>
      <c r="AD15" s="146"/>
      <c r="AE15" s="146"/>
      <c r="AF15" s="146">
        <f t="shared" si="0"/>
        <v>10000</v>
      </c>
      <c r="AG15" s="146">
        <v>0</v>
      </c>
      <c r="AH15" s="146">
        <v>0</v>
      </c>
      <c r="AI15" s="146"/>
      <c r="AJ15" s="146">
        <f t="shared" si="1"/>
        <v>10000</v>
      </c>
      <c r="AK15" s="96"/>
      <c r="AL15" s="159">
        <v>0</v>
      </c>
      <c r="AM15" s="146"/>
      <c r="AN15" s="223">
        <v>3750</v>
      </c>
      <c r="AO15" s="223">
        <v>0</v>
      </c>
      <c r="AP15" s="223">
        <v>0</v>
      </c>
      <c r="AQ15" s="146"/>
      <c r="AR15" s="146">
        <v>0</v>
      </c>
      <c r="AS15" s="146"/>
      <c r="AT15" s="146">
        <v>0</v>
      </c>
      <c r="AU15" s="146"/>
      <c r="AV15" s="146">
        <f t="shared" si="2"/>
        <v>0</v>
      </c>
      <c r="AW15" s="146"/>
      <c r="AX15" s="146">
        <v>0</v>
      </c>
      <c r="AY15" s="146"/>
      <c r="AZ15" s="146">
        <v>7500</v>
      </c>
      <c r="BA15" s="146">
        <v>10500</v>
      </c>
      <c r="BB15" s="214"/>
      <c r="BC15" s="86"/>
      <c r="BD15" s="56"/>
      <c r="BE15" s="84">
        <f t="shared" si="3"/>
        <v>-3750</v>
      </c>
      <c r="BF15" s="56"/>
      <c r="BG15" s="56"/>
      <c r="BH15" s="56"/>
      <c r="BI15" s="72"/>
    </row>
    <row r="16" spans="1:63" ht="20.100000000000001" customHeight="1" outlineLevel="1">
      <c r="A16" s="218" t="s">
        <v>43</v>
      </c>
      <c r="B16" s="218" t="s">
        <v>44</v>
      </c>
      <c r="C16" s="218" t="str">
        <f t="shared" si="5"/>
        <v>AA·</v>
      </c>
      <c r="D16" s="219" t="s">
        <v>46</v>
      </c>
      <c r="E16" s="219" t="str">
        <f t="shared" si="4"/>
        <v>000</v>
      </c>
      <c r="F16" s="195">
        <v>633921</v>
      </c>
      <c r="G16" s="220" t="s">
        <v>52</v>
      </c>
      <c r="H16" s="141"/>
      <c r="I16" s="139">
        <v>4500</v>
      </c>
      <c r="J16" s="139">
        <v>0</v>
      </c>
      <c r="K16" s="222"/>
      <c r="L16" s="146">
        <v>5000</v>
      </c>
      <c r="M16" s="146"/>
      <c r="N16" s="146">
        <v>10000</v>
      </c>
      <c r="O16" s="146"/>
      <c r="P16" s="146">
        <v>12800</v>
      </c>
      <c r="Q16" s="146"/>
      <c r="R16" s="146">
        <v>12800</v>
      </c>
      <c r="S16" s="146"/>
      <c r="T16" s="146">
        <v>0</v>
      </c>
      <c r="U16" s="146"/>
      <c r="V16" s="146">
        <v>12800</v>
      </c>
      <c r="W16" s="146"/>
      <c r="X16" s="146">
        <v>16000</v>
      </c>
      <c r="Y16" s="146"/>
      <c r="Z16" s="146">
        <v>12800</v>
      </c>
      <c r="AA16" s="146"/>
      <c r="AB16" s="146"/>
      <c r="AC16" s="146"/>
      <c r="AD16" s="146">
        <v>6800</v>
      </c>
      <c r="AE16" s="146"/>
      <c r="AF16" s="146">
        <f t="shared" si="0"/>
        <v>19600</v>
      </c>
      <c r="AG16" s="146">
        <v>0</v>
      </c>
      <c r="AH16" s="146">
        <v>0</v>
      </c>
      <c r="AI16" s="146"/>
      <c r="AJ16" s="146">
        <f t="shared" si="1"/>
        <v>19600</v>
      </c>
      <c r="AK16" s="96"/>
      <c r="AL16" s="159">
        <v>0</v>
      </c>
      <c r="AM16" s="146"/>
      <c r="AN16" s="223">
        <v>6800</v>
      </c>
      <c r="AO16" s="223">
        <v>0</v>
      </c>
      <c r="AP16" s="223">
        <v>7200</v>
      </c>
      <c r="AQ16" s="146"/>
      <c r="AR16" s="146">
        <v>0</v>
      </c>
      <c r="AS16" s="146"/>
      <c r="AT16" s="146">
        <v>0</v>
      </c>
      <c r="AU16" s="146"/>
      <c r="AV16" s="146">
        <f t="shared" si="2"/>
        <v>7200</v>
      </c>
      <c r="AW16" s="146"/>
      <c r="AX16" s="146">
        <v>0</v>
      </c>
      <c r="AY16" s="146"/>
      <c r="AZ16" s="146">
        <v>7500</v>
      </c>
      <c r="BA16" s="146">
        <v>7500</v>
      </c>
      <c r="BB16" s="214"/>
      <c r="BC16" s="86"/>
      <c r="BD16" s="56"/>
      <c r="BE16" s="84">
        <f t="shared" si="3"/>
        <v>400</v>
      </c>
      <c r="BF16" s="56"/>
      <c r="BG16" s="56"/>
      <c r="BH16" s="56"/>
      <c r="BI16" s="72"/>
    </row>
    <row r="17" spans="1:62" ht="20.100000000000001" customHeight="1" outlineLevel="1">
      <c r="A17" s="218" t="s">
        <v>43</v>
      </c>
      <c r="B17" s="218" t="s">
        <v>44</v>
      </c>
      <c r="C17" s="218" t="str">
        <f t="shared" si="5"/>
        <v>AA·</v>
      </c>
      <c r="D17" s="219" t="s">
        <v>46</v>
      </c>
      <c r="E17" s="219" t="str">
        <f t="shared" si="4"/>
        <v>000</v>
      </c>
      <c r="F17" s="195">
        <v>654011</v>
      </c>
      <c r="G17" s="220" t="s">
        <v>53</v>
      </c>
      <c r="H17" s="141"/>
      <c r="I17" s="139">
        <v>21144</v>
      </c>
      <c r="J17" s="139">
        <v>6851</v>
      </c>
      <c r="K17" s="222"/>
      <c r="L17" s="146">
        <v>3848</v>
      </c>
      <c r="M17" s="146"/>
      <c r="N17" s="146">
        <v>10000</v>
      </c>
      <c r="O17" s="146"/>
      <c r="P17" s="146">
        <v>10000</v>
      </c>
      <c r="Q17" s="146"/>
      <c r="R17" s="146">
        <v>10000</v>
      </c>
      <c r="S17" s="146"/>
      <c r="T17" s="146">
        <v>0</v>
      </c>
      <c r="U17" s="146"/>
      <c r="V17" s="146">
        <v>10000</v>
      </c>
      <c r="W17" s="146"/>
      <c r="X17" s="146">
        <v>6301</v>
      </c>
      <c r="Y17" s="146"/>
      <c r="Z17" s="146">
        <v>10000</v>
      </c>
      <c r="AA17" s="146"/>
      <c r="AB17" s="146"/>
      <c r="AC17" s="146"/>
      <c r="AD17" s="146"/>
      <c r="AE17" s="146"/>
      <c r="AF17" s="146">
        <f t="shared" si="0"/>
        <v>10000</v>
      </c>
      <c r="AG17" s="146">
        <v>0</v>
      </c>
      <c r="AH17" s="146">
        <v>0</v>
      </c>
      <c r="AI17" s="146"/>
      <c r="AJ17" s="146">
        <f t="shared" si="1"/>
        <v>10000</v>
      </c>
      <c r="AK17" s="96"/>
      <c r="AL17" s="159">
        <v>0</v>
      </c>
      <c r="AM17" s="146"/>
      <c r="AN17" s="223">
        <v>7695.7</v>
      </c>
      <c r="AO17" s="223">
        <v>0</v>
      </c>
      <c r="AP17" s="223">
        <v>9839</v>
      </c>
      <c r="AQ17" s="146"/>
      <c r="AR17" s="146">
        <v>0</v>
      </c>
      <c r="AS17" s="146"/>
      <c r="AT17" s="146">
        <v>0</v>
      </c>
      <c r="AU17" s="146"/>
      <c r="AV17" s="146">
        <f t="shared" si="2"/>
        <v>9839</v>
      </c>
      <c r="AW17" s="146"/>
      <c r="AX17" s="146">
        <v>0</v>
      </c>
      <c r="AY17" s="146"/>
      <c r="AZ17" s="146">
        <v>7500</v>
      </c>
      <c r="BA17" s="146">
        <v>7500</v>
      </c>
      <c r="BB17" s="214"/>
      <c r="BC17" s="86"/>
      <c r="BD17" s="56"/>
      <c r="BE17" s="84">
        <f t="shared" si="3"/>
        <v>2143.3000000000002</v>
      </c>
      <c r="BF17" s="56"/>
      <c r="BG17" s="56"/>
      <c r="BH17" s="56"/>
      <c r="BI17" s="72"/>
    </row>
    <row r="18" spans="1:62" ht="20.100000000000001" customHeight="1" outlineLevel="1">
      <c r="A18" s="218" t="s">
        <v>43</v>
      </c>
      <c r="B18" s="218" t="s">
        <v>44</v>
      </c>
      <c r="C18" s="218" t="str">
        <f t="shared" si="5"/>
        <v>AA·</v>
      </c>
      <c r="D18" s="219" t="s">
        <v>46</v>
      </c>
      <c r="E18" s="219" t="str">
        <f t="shared" si="4"/>
        <v>000</v>
      </c>
      <c r="F18" s="195">
        <v>655011</v>
      </c>
      <c r="G18" s="220" t="s">
        <v>54</v>
      </c>
      <c r="H18" s="141"/>
      <c r="I18" s="139">
        <v>0</v>
      </c>
      <c r="J18" s="139">
        <v>0</v>
      </c>
      <c r="K18" s="222"/>
      <c r="L18" s="146">
        <v>50</v>
      </c>
      <c r="M18" s="146"/>
      <c r="N18" s="146">
        <v>500</v>
      </c>
      <c r="O18" s="146"/>
      <c r="P18" s="146">
        <v>500</v>
      </c>
      <c r="Q18" s="146"/>
      <c r="R18" s="146">
        <v>500</v>
      </c>
      <c r="S18" s="146"/>
      <c r="T18" s="146">
        <v>0</v>
      </c>
      <c r="U18" s="146"/>
      <c r="V18" s="146">
        <v>500</v>
      </c>
      <c r="W18" s="146"/>
      <c r="X18" s="146">
        <v>0</v>
      </c>
      <c r="Y18" s="146"/>
      <c r="Z18" s="146">
        <v>500</v>
      </c>
      <c r="AA18" s="146"/>
      <c r="AB18" s="146"/>
      <c r="AC18" s="146"/>
      <c r="AD18" s="146"/>
      <c r="AE18" s="146"/>
      <c r="AF18" s="146">
        <f t="shared" si="0"/>
        <v>500</v>
      </c>
      <c r="AG18" s="146">
        <v>0</v>
      </c>
      <c r="AH18" s="146">
        <v>0</v>
      </c>
      <c r="AI18" s="146"/>
      <c r="AJ18" s="146">
        <f t="shared" si="1"/>
        <v>500</v>
      </c>
      <c r="AK18" s="96"/>
      <c r="AL18" s="159">
        <v>0</v>
      </c>
      <c r="AM18" s="146"/>
      <c r="AN18" s="223">
        <v>472.8</v>
      </c>
      <c r="AO18" s="223">
        <v>0</v>
      </c>
      <c r="AP18" s="223">
        <v>0</v>
      </c>
      <c r="AQ18" s="146"/>
      <c r="AR18" s="146">
        <v>0</v>
      </c>
      <c r="AS18" s="146"/>
      <c r="AT18" s="146">
        <v>0</v>
      </c>
      <c r="AU18" s="146"/>
      <c r="AV18" s="146">
        <f t="shared" si="2"/>
        <v>0</v>
      </c>
      <c r="AW18" s="146"/>
      <c r="AX18" s="146">
        <v>0</v>
      </c>
      <c r="AY18" s="146"/>
      <c r="AZ18" s="146">
        <v>500</v>
      </c>
      <c r="BA18" s="146">
        <v>500</v>
      </c>
      <c r="BB18" s="214"/>
      <c r="BC18" s="86"/>
      <c r="BD18" s="56"/>
      <c r="BE18" s="84">
        <f t="shared" si="3"/>
        <v>-472.8</v>
      </c>
      <c r="BF18" s="56"/>
      <c r="BG18" s="56"/>
      <c r="BH18" s="56"/>
      <c r="BI18" s="72"/>
    </row>
    <row r="19" spans="1:62" ht="20.100000000000001" customHeight="1" outlineLevel="1">
      <c r="A19" s="218" t="s">
        <v>43</v>
      </c>
      <c r="B19" s="218" t="s">
        <v>44</v>
      </c>
      <c r="C19" s="218" t="str">
        <f t="shared" si="5"/>
        <v>AA·</v>
      </c>
      <c r="D19" s="219" t="s">
        <v>46</v>
      </c>
      <c r="E19" s="219" t="str">
        <f t="shared" si="4"/>
        <v>000</v>
      </c>
      <c r="F19" s="195">
        <v>658211</v>
      </c>
      <c r="G19" s="220" t="s">
        <v>55</v>
      </c>
      <c r="H19" s="141"/>
      <c r="I19" s="139">
        <v>36111</v>
      </c>
      <c r="J19" s="139">
        <v>43295</v>
      </c>
      <c r="K19" s="222"/>
      <c r="L19" s="146">
        <v>55267</v>
      </c>
      <c r="M19" s="146"/>
      <c r="N19" s="146">
        <v>30000</v>
      </c>
      <c r="O19" s="146"/>
      <c r="P19" s="146">
        <v>30000</v>
      </c>
      <c r="Q19" s="146"/>
      <c r="R19" s="146">
        <v>30000</v>
      </c>
      <c r="S19" s="146"/>
      <c r="T19" s="146">
        <v>0</v>
      </c>
      <c r="U19" s="146"/>
      <c r="V19" s="146">
        <v>30000</v>
      </c>
      <c r="W19" s="146"/>
      <c r="X19" s="146">
        <v>50452.73</v>
      </c>
      <c r="Y19" s="146"/>
      <c r="Z19" s="146">
        <v>40000</v>
      </c>
      <c r="AA19" s="146"/>
      <c r="AB19" s="146"/>
      <c r="AC19" s="146"/>
      <c r="AD19" s="146"/>
      <c r="AE19" s="146"/>
      <c r="AF19" s="146">
        <f t="shared" si="0"/>
        <v>40000</v>
      </c>
      <c r="AG19" s="146">
        <v>0</v>
      </c>
      <c r="AH19" s="146">
        <v>0</v>
      </c>
      <c r="AI19" s="146"/>
      <c r="AJ19" s="146">
        <f t="shared" si="1"/>
        <v>40000</v>
      </c>
      <c r="AK19" s="96"/>
      <c r="AL19" s="159">
        <v>14000</v>
      </c>
      <c r="AM19" s="146"/>
      <c r="AN19" s="223">
        <v>54682.34</v>
      </c>
      <c r="AO19" s="223">
        <v>0</v>
      </c>
      <c r="AP19" s="223">
        <v>26349.87</v>
      </c>
      <c r="AQ19" s="146"/>
      <c r="AR19" s="146">
        <v>0</v>
      </c>
      <c r="AS19" s="146"/>
      <c r="AT19" s="146">
        <v>0</v>
      </c>
      <c r="AU19" s="146"/>
      <c r="AV19" s="146">
        <f t="shared" si="2"/>
        <v>26349.87</v>
      </c>
      <c r="AW19" s="146"/>
      <c r="AX19" s="146">
        <v>0</v>
      </c>
      <c r="AY19" s="146"/>
      <c r="AZ19" s="146">
        <v>35000</v>
      </c>
      <c r="BA19" s="146">
        <v>35000</v>
      </c>
      <c r="BB19" s="214"/>
      <c r="BC19" s="86"/>
      <c r="BD19" s="56"/>
      <c r="BE19" s="84">
        <f t="shared" si="3"/>
        <v>-28332.469999999998</v>
      </c>
      <c r="BF19" s="56"/>
      <c r="BG19" s="56"/>
      <c r="BH19" s="56"/>
      <c r="BI19" s="72"/>
    </row>
    <row r="20" spans="1:62" ht="20.100000000000001" customHeight="1" outlineLevel="1">
      <c r="A20" s="218" t="s">
        <v>43</v>
      </c>
      <c r="B20" s="218" t="s">
        <v>44</v>
      </c>
      <c r="C20" s="218" t="str">
        <f t="shared" si="5"/>
        <v>AA·</v>
      </c>
      <c r="D20" s="219" t="s">
        <v>46</v>
      </c>
      <c r="E20" s="219" t="str">
        <f t="shared" si="4"/>
        <v>000</v>
      </c>
      <c r="F20" s="195">
        <v>661001</v>
      </c>
      <c r="G20" s="220" t="s">
        <v>56</v>
      </c>
      <c r="H20" s="141"/>
      <c r="I20" s="139">
        <v>3840</v>
      </c>
      <c r="J20" s="139">
        <v>12631</v>
      </c>
      <c r="K20" s="222"/>
      <c r="L20" s="146">
        <v>7168</v>
      </c>
      <c r="M20" s="146"/>
      <c r="N20" s="146">
        <v>3000</v>
      </c>
      <c r="O20" s="146"/>
      <c r="P20" s="146">
        <v>3000</v>
      </c>
      <c r="Q20" s="146"/>
      <c r="R20" s="146">
        <v>3000</v>
      </c>
      <c r="S20" s="146"/>
      <c r="T20" s="146">
        <v>0</v>
      </c>
      <c r="U20" s="146"/>
      <c r="V20" s="146">
        <v>3000</v>
      </c>
      <c r="W20" s="146"/>
      <c r="X20" s="146">
        <v>4131.5200000000004</v>
      </c>
      <c r="Y20" s="146"/>
      <c r="Z20" s="146">
        <v>3000</v>
      </c>
      <c r="AA20" s="146"/>
      <c r="AB20" s="146"/>
      <c r="AC20" s="146"/>
      <c r="AD20" s="146"/>
      <c r="AE20" s="146"/>
      <c r="AF20" s="146">
        <f t="shared" si="0"/>
        <v>3000</v>
      </c>
      <c r="AG20" s="146">
        <v>0</v>
      </c>
      <c r="AH20" s="146">
        <v>0</v>
      </c>
      <c r="AI20" s="146"/>
      <c r="AJ20" s="146">
        <f t="shared" si="1"/>
        <v>3000</v>
      </c>
      <c r="AK20" s="96"/>
      <c r="AL20" s="159">
        <v>0</v>
      </c>
      <c r="AM20" s="146"/>
      <c r="AN20" s="223">
        <v>3547.87</v>
      </c>
      <c r="AO20" s="223">
        <v>0</v>
      </c>
      <c r="AP20" s="223">
        <v>6485.25</v>
      </c>
      <c r="AQ20" s="146"/>
      <c r="AR20" s="146">
        <v>0</v>
      </c>
      <c r="AS20" s="146"/>
      <c r="AT20" s="146">
        <v>4378.5</v>
      </c>
      <c r="AU20" s="146"/>
      <c r="AV20" s="146">
        <f t="shared" si="2"/>
        <v>10863.75</v>
      </c>
      <c r="AW20" s="146"/>
      <c r="AX20" s="146">
        <v>0</v>
      </c>
      <c r="AY20" s="146"/>
      <c r="AZ20" s="146">
        <v>8879</v>
      </c>
      <c r="BA20" s="146">
        <v>8879</v>
      </c>
      <c r="BB20" s="214"/>
      <c r="BC20" s="86"/>
      <c r="BD20" s="56"/>
      <c r="BE20" s="84">
        <f t="shared" si="3"/>
        <v>2937.38</v>
      </c>
      <c r="BF20" s="56"/>
      <c r="BG20" s="56"/>
      <c r="BH20" s="56"/>
      <c r="BI20" s="72"/>
    </row>
    <row r="21" spans="1:62" ht="20.100000000000001" customHeight="1" outlineLevel="1">
      <c r="A21" s="218" t="s">
        <v>43</v>
      </c>
      <c r="B21" s="218" t="s">
        <v>44</v>
      </c>
      <c r="C21" s="218" t="str">
        <f t="shared" si="5"/>
        <v>AA·</v>
      </c>
      <c r="D21" s="219" t="s">
        <v>46</v>
      </c>
      <c r="E21" s="219" t="str">
        <f t="shared" si="4"/>
        <v>000</v>
      </c>
      <c r="F21" s="195">
        <v>673001</v>
      </c>
      <c r="G21" s="220" t="s">
        <v>57</v>
      </c>
      <c r="H21" s="141"/>
      <c r="I21" s="139">
        <v>0</v>
      </c>
      <c r="J21" s="139">
        <v>0</v>
      </c>
      <c r="K21" s="222"/>
      <c r="L21" s="146">
        <v>7986</v>
      </c>
      <c r="M21" s="146"/>
      <c r="N21" s="146">
        <v>0</v>
      </c>
      <c r="O21" s="146"/>
      <c r="P21" s="146">
        <v>0</v>
      </c>
      <c r="Q21" s="146"/>
      <c r="R21" s="146">
        <v>0</v>
      </c>
      <c r="S21" s="146"/>
      <c r="T21" s="146">
        <v>0</v>
      </c>
      <c r="U21" s="146"/>
      <c r="V21" s="146">
        <v>0</v>
      </c>
      <c r="W21" s="146"/>
      <c r="X21" s="146">
        <v>0</v>
      </c>
      <c r="Y21" s="146"/>
      <c r="Z21" s="146">
        <f>+[1]Board!W22</f>
        <v>0</v>
      </c>
      <c r="AA21" s="146"/>
      <c r="AB21" s="146"/>
      <c r="AC21" s="146"/>
      <c r="AD21" s="146"/>
      <c r="AE21" s="146"/>
      <c r="AF21" s="146">
        <f t="shared" si="0"/>
        <v>0</v>
      </c>
      <c r="AG21" s="146">
        <v>0</v>
      </c>
      <c r="AH21" s="146">
        <v>0</v>
      </c>
      <c r="AI21" s="146"/>
      <c r="AJ21" s="146">
        <f t="shared" si="1"/>
        <v>0</v>
      </c>
      <c r="AK21" s="96"/>
      <c r="AL21" s="159">
        <v>0</v>
      </c>
      <c r="AM21" s="146"/>
      <c r="AN21" s="146">
        <f>SUM(AI21:AM21)</f>
        <v>0</v>
      </c>
      <c r="AO21" s="223">
        <v>0</v>
      </c>
      <c r="AP21" s="223">
        <v>0</v>
      </c>
      <c r="AQ21" s="146"/>
      <c r="AR21" s="146">
        <v>0</v>
      </c>
      <c r="AS21" s="146"/>
      <c r="AT21" s="146">
        <v>0</v>
      </c>
      <c r="AU21" s="146"/>
      <c r="AV21" s="146">
        <f t="shared" si="2"/>
        <v>0</v>
      </c>
      <c r="AW21" s="146"/>
      <c r="AX21" s="146">
        <v>0</v>
      </c>
      <c r="AY21" s="146"/>
      <c r="AZ21" s="146">
        <f>SUM(AV21:AY21)</f>
        <v>0</v>
      </c>
      <c r="BA21" s="146">
        <v>0</v>
      </c>
      <c r="BB21" s="214"/>
      <c r="BC21" s="86"/>
      <c r="BD21" s="56"/>
      <c r="BE21" s="84">
        <f t="shared" si="3"/>
        <v>0</v>
      </c>
      <c r="BF21" s="56"/>
      <c r="BG21" s="56"/>
      <c r="BH21" s="56"/>
      <c r="BI21" s="72"/>
    </row>
    <row r="22" spans="1:62" ht="20.100000000000001" customHeight="1" outlineLevel="1">
      <c r="A22" s="218" t="s">
        <v>43</v>
      </c>
      <c r="B22" s="218" t="s">
        <v>44</v>
      </c>
      <c r="C22" s="218" t="str">
        <f t="shared" si="5"/>
        <v>AA·</v>
      </c>
      <c r="D22" s="219" t="s">
        <v>46</v>
      </c>
      <c r="E22" s="219" t="str">
        <f t="shared" si="4"/>
        <v>000</v>
      </c>
      <c r="F22" s="195">
        <v>681011</v>
      </c>
      <c r="G22" s="220" t="s">
        <v>58</v>
      </c>
      <c r="H22" s="141"/>
      <c r="I22" s="139">
        <v>11340</v>
      </c>
      <c r="J22" s="139">
        <v>15988</v>
      </c>
      <c r="K22" s="222"/>
      <c r="L22" s="146">
        <v>17957</v>
      </c>
      <c r="M22" s="146"/>
      <c r="N22" s="146">
        <v>16000</v>
      </c>
      <c r="O22" s="146"/>
      <c r="P22" s="146">
        <v>16000</v>
      </c>
      <c r="Q22" s="146"/>
      <c r="R22" s="146">
        <v>16000</v>
      </c>
      <c r="S22" s="146"/>
      <c r="T22" s="146">
        <v>0</v>
      </c>
      <c r="U22" s="146"/>
      <c r="V22" s="146">
        <v>16000</v>
      </c>
      <c r="W22" s="146"/>
      <c r="X22" s="146">
        <v>20690</v>
      </c>
      <c r="Y22" s="146"/>
      <c r="Z22" s="146">
        <v>16000</v>
      </c>
      <c r="AA22" s="146"/>
      <c r="AB22" s="146"/>
      <c r="AC22" s="146"/>
      <c r="AD22" s="146"/>
      <c r="AE22" s="146"/>
      <c r="AF22" s="146">
        <f t="shared" si="0"/>
        <v>16000</v>
      </c>
      <c r="AG22" s="146">
        <v>0</v>
      </c>
      <c r="AH22" s="146">
        <v>0</v>
      </c>
      <c r="AI22" s="146"/>
      <c r="AJ22" s="146">
        <f t="shared" si="1"/>
        <v>16000</v>
      </c>
      <c r="AK22" s="96"/>
      <c r="AL22" s="159">
        <v>4000</v>
      </c>
      <c r="AM22" s="146"/>
      <c r="AN22" s="223">
        <v>19980</v>
      </c>
      <c r="AO22" s="223">
        <v>0</v>
      </c>
      <c r="AP22" s="223">
        <v>20175</v>
      </c>
      <c r="AQ22" s="146"/>
      <c r="AR22" s="146">
        <v>0</v>
      </c>
      <c r="AS22" s="146"/>
      <c r="AT22" s="146">
        <v>0</v>
      </c>
      <c r="AU22" s="146"/>
      <c r="AV22" s="146">
        <f t="shared" si="2"/>
        <v>20175</v>
      </c>
      <c r="AW22" s="146"/>
      <c r="AX22" s="146">
        <v>0</v>
      </c>
      <c r="AY22" s="146"/>
      <c r="AZ22" s="146">
        <v>21000</v>
      </c>
      <c r="BA22" s="146">
        <v>21000</v>
      </c>
      <c r="BB22" s="214"/>
      <c r="BC22" s="86"/>
      <c r="BD22" s="56"/>
      <c r="BE22" s="84">
        <f t="shared" si="3"/>
        <v>195</v>
      </c>
      <c r="BF22" s="56"/>
      <c r="BG22" s="56"/>
      <c r="BH22" s="56"/>
      <c r="BI22" s="72"/>
    </row>
    <row r="23" spans="1:62" ht="20.100000000000001" customHeight="1" outlineLevel="1">
      <c r="A23" s="218" t="s">
        <v>43</v>
      </c>
      <c r="B23" s="218" t="s">
        <v>59</v>
      </c>
      <c r="C23" s="218" t="str">
        <f t="shared" si="5"/>
        <v>AA·</v>
      </c>
      <c r="D23" s="219" t="s">
        <v>46</v>
      </c>
      <c r="E23" s="219" t="str">
        <f t="shared" si="4"/>
        <v>000</v>
      </c>
      <c r="F23" s="195">
        <v>631611</v>
      </c>
      <c r="G23" s="220" t="s">
        <v>60</v>
      </c>
      <c r="H23" s="141"/>
      <c r="I23" s="139">
        <v>15926</v>
      </c>
      <c r="J23" s="139">
        <v>58622</v>
      </c>
      <c r="K23" s="222"/>
      <c r="L23" s="146">
        <v>0</v>
      </c>
      <c r="M23" s="146"/>
      <c r="N23" s="146">
        <v>0</v>
      </c>
      <c r="O23" s="146"/>
      <c r="P23" s="146">
        <v>0</v>
      </c>
      <c r="Q23" s="146"/>
      <c r="R23" s="146">
        <v>0</v>
      </c>
      <c r="S23" s="146"/>
      <c r="T23" s="146">
        <v>0</v>
      </c>
      <c r="U23" s="146"/>
      <c r="V23" s="146">
        <v>0</v>
      </c>
      <c r="W23" s="146"/>
      <c r="X23" s="146">
        <v>0</v>
      </c>
      <c r="Y23" s="146"/>
      <c r="Z23" s="146">
        <f>+[1]Board!W12</f>
        <v>0</v>
      </c>
      <c r="AA23" s="146"/>
      <c r="AB23" s="146"/>
      <c r="AC23" s="146"/>
      <c r="AD23" s="146"/>
      <c r="AE23" s="146"/>
      <c r="AF23" s="146">
        <f t="shared" si="0"/>
        <v>0</v>
      </c>
      <c r="AG23" s="146">
        <v>0</v>
      </c>
      <c r="AH23" s="146">
        <v>0</v>
      </c>
      <c r="AI23" s="146"/>
      <c r="AJ23" s="146">
        <f t="shared" si="1"/>
        <v>0</v>
      </c>
      <c r="AK23" s="96"/>
      <c r="AL23" s="159">
        <v>0</v>
      </c>
      <c r="AM23" s="146"/>
      <c r="AN23" s="223">
        <f>SUM(AI23:AM23)</f>
        <v>0</v>
      </c>
      <c r="AO23" s="223">
        <v>0</v>
      </c>
      <c r="AP23" s="223">
        <v>26189.17</v>
      </c>
      <c r="AQ23" s="146"/>
      <c r="AR23" s="146">
        <v>0</v>
      </c>
      <c r="AS23" s="146"/>
      <c r="AT23" s="146">
        <v>0</v>
      </c>
      <c r="AU23" s="146"/>
      <c r="AV23" s="146">
        <f t="shared" si="2"/>
        <v>26189.17</v>
      </c>
      <c r="AW23" s="146"/>
      <c r="AX23" s="146">
        <v>0</v>
      </c>
      <c r="AY23" s="146"/>
      <c r="AZ23" s="146">
        <v>40000</v>
      </c>
      <c r="BA23" s="146">
        <v>40000</v>
      </c>
      <c r="BB23" s="214"/>
      <c r="BC23" s="86"/>
      <c r="BD23" s="56"/>
      <c r="BE23" s="84">
        <f t="shared" si="3"/>
        <v>26189.17</v>
      </c>
      <c r="BF23" s="56"/>
      <c r="BG23" s="56"/>
      <c r="BH23" s="56"/>
      <c r="BI23" s="72"/>
    </row>
    <row r="24" spans="1:62" ht="20.100000000000001" customHeight="1" outlineLevel="1">
      <c r="A24" s="77" t="s">
        <v>43</v>
      </c>
      <c r="B24" s="77" t="s">
        <v>61</v>
      </c>
      <c r="C24" s="218" t="str">
        <f t="shared" si="5"/>
        <v>AA·</v>
      </c>
      <c r="D24" s="78" t="s">
        <v>46</v>
      </c>
      <c r="E24" s="219" t="str">
        <f t="shared" si="4"/>
        <v>000</v>
      </c>
      <c r="F24" s="3">
        <v>632015</v>
      </c>
      <c r="G24" s="80" t="s">
        <v>62</v>
      </c>
      <c r="H24" s="87"/>
      <c r="I24" s="13">
        <v>0</v>
      </c>
      <c r="J24" s="13">
        <v>1319</v>
      </c>
      <c r="L24" s="56">
        <v>2137</v>
      </c>
      <c r="M24" s="56"/>
      <c r="N24" s="56">
        <v>5000</v>
      </c>
      <c r="O24" s="56"/>
      <c r="P24" s="56">
        <v>5000</v>
      </c>
      <c r="Q24" s="56"/>
      <c r="R24" s="56">
        <v>5000</v>
      </c>
      <c r="S24" s="56"/>
      <c r="T24" s="56">
        <v>0</v>
      </c>
      <c r="U24" s="56"/>
      <c r="V24" s="56">
        <v>5000</v>
      </c>
      <c r="W24" s="56"/>
      <c r="X24" s="56">
        <v>3773.31</v>
      </c>
      <c r="Y24" s="56"/>
      <c r="Z24" s="56">
        <v>5000</v>
      </c>
      <c r="AA24" s="56"/>
      <c r="AB24" s="56"/>
      <c r="AC24" s="56"/>
      <c r="AD24" s="56"/>
      <c r="AE24" s="56"/>
      <c r="AF24" s="56">
        <f t="shared" si="0"/>
        <v>5000</v>
      </c>
      <c r="AG24" s="56">
        <v>0</v>
      </c>
      <c r="AH24" s="56">
        <v>0</v>
      </c>
      <c r="AI24" s="56"/>
      <c r="AJ24" s="56">
        <f t="shared" si="1"/>
        <v>5000</v>
      </c>
      <c r="AK24" s="85"/>
      <c r="AL24" s="89">
        <v>4000</v>
      </c>
      <c r="AM24" s="56"/>
      <c r="AN24" s="88">
        <v>9037.74</v>
      </c>
      <c r="AO24" s="88">
        <v>0</v>
      </c>
      <c r="AP24" s="88">
        <v>26053.83</v>
      </c>
      <c r="AQ24" s="56"/>
      <c r="AR24" s="56">
        <v>0</v>
      </c>
      <c r="AS24" s="56"/>
      <c r="AT24" s="56">
        <v>0</v>
      </c>
      <c r="AU24" s="56"/>
      <c r="AV24" s="56">
        <f t="shared" si="2"/>
        <v>26053.83</v>
      </c>
      <c r="AW24" s="56"/>
      <c r="AX24" s="56">
        <v>0</v>
      </c>
      <c r="AY24" s="56"/>
      <c r="AZ24" s="56">
        <v>9000</v>
      </c>
      <c r="BA24" s="56">
        <v>9000</v>
      </c>
      <c r="BB24" s="214"/>
      <c r="BC24" s="86"/>
      <c r="BD24" s="146"/>
      <c r="BE24" s="84">
        <f t="shared" si="3"/>
        <v>17016.090000000004</v>
      </c>
      <c r="BF24" s="56"/>
      <c r="BG24" s="56"/>
      <c r="BH24" s="56"/>
      <c r="BI24" s="72"/>
    </row>
    <row r="25" spans="1:62" ht="20.100000000000001" customHeight="1">
      <c r="B25" s="77"/>
      <c r="C25" s="77"/>
      <c r="D25" s="90"/>
      <c r="E25" s="90"/>
      <c r="F25" s="3"/>
      <c r="G25" s="91" t="s">
        <v>63</v>
      </c>
      <c r="H25" s="87"/>
      <c r="I25" s="92">
        <v>363383</v>
      </c>
      <c r="J25" s="93">
        <v>442861</v>
      </c>
      <c r="L25" s="94">
        <v>406356</v>
      </c>
      <c r="M25" s="95"/>
      <c r="N25" s="94">
        <v>402200</v>
      </c>
      <c r="O25" s="95"/>
      <c r="P25" s="94">
        <v>412000</v>
      </c>
      <c r="Q25" s="95"/>
      <c r="R25" s="94">
        <v>412000</v>
      </c>
      <c r="S25" s="95"/>
      <c r="T25" s="94">
        <v>0</v>
      </c>
      <c r="U25" s="95"/>
      <c r="V25" s="94">
        <v>412000</v>
      </c>
      <c r="W25" s="95"/>
      <c r="X25" s="94">
        <f>SUBTOTAL(9,X11:X24)</f>
        <v>385635.56</v>
      </c>
      <c r="Y25" s="95"/>
      <c r="Z25" s="94">
        <f>SUBTOTAL(9,Z11:Z24)</f>
        <v>427500</v>
      </c>
      <c r="AA25" s="95"/>
      <c r="AB25" s="94">
        <f>SUBTOTAL(9,AB11:AB24)</f>
        <v>0</v>
      </c>
      <c r="AC25" s="95"/>
      <c r="AD25" s="94">
        <f>SUBTOTAL(9,AD11:AD24)</f>
        <v>6800</v>
      </c>
      <c r="AE25" s="95"/>
      <c r="AF25" s="94">
        <f>SUBTOTAL(9,AF11:AF24)</f>
        <v>434300</v>
      </c>
      <c r="AG25" s="92">
        <f>SUBTOTAL(9,AG11:AG24)</f>
        <v>0</v>
      </c>
      <c r="AH25" s="92">
        <f>SUBTOTAL(9,AH11:AH24)</f>
        <v>0</v>
      </c>
      <c r="AI25" s="95"/>
      <c r="AJ25" s="94">
        <f>SUBTOTAL(9,AJ11:AJ24)</f>
        <v>434300</v>
      </c>
      <c r="AK25" s="96"/>
      <c r="AL25" s="92">
        <f>SUBTOTAL(9,AL11:AL24)</f>
        <v>34500</v>
      </c>
      <c r="AM25" s="95"/>
      <c r="AN25" s="97">
        <f>SUBTOTAL(9,AN11:AN24)</f>
        <v>446010.15</v>
      </c>
      <c r="AO25" s="97">
        <f>SUBTOTAL(9,AO11:AO24)</f>
        <v>0</v>
      </c>
      <c r="AP25" s="97">
        <f>SUBTOTAL(9,AP11:AP24)</f>
        <v>456023.19</v>
      </c>
      <c r="AQ25" s="95"/>
      <c r="AR25" s="94">
        <f>SUBTOTAL(9,AR11:AR24)</f>
        <v>0</v>
      </c>
      <c r="AS25" s="95"/>
      <c r="AT25" s="94">
        <f>SUBTOTAL(9,AT11:AT24)</f>
        <v>4378.5</v>
      </c>
      <c r="AU25" s="95"/>
      <c r="AV25" s="94">
        <f>SUBTOTAL(9,AV11:AV24)</f>
        <v>460401.69</v>
      </c>
      <c r="AW25" s="95"/>
      <c r="AX25" s="94">
        <f>SUBTOTAL(9,AX11:AX24)</f>
        <v>0</v>
      </c>
      <c r="AY25" s="95"/>
      <c r="AZ25" s="94">
        <f>SUBTOTAL(9,AZ11:AZ24)</f>
        <v>472079</v>
      </c>
      <c r="BA25" s="94">
        <f>SUBTOTAL(9,BA11:BA24)</f>
        <v>475079</v>
      </c>
      <c r="BB25" s="214"/>
      <c r="BC25" s="86"/>
      <c r="BD25" s="56"/>
      <c r="BE25" s="98">
        <f t="shared" si="3"/>
        <v>10013.039999999979</v>
      </c>
      <c r="BF25" s="95"/>
      <c r="BG25" s="95"/>
      <c r="BH25" s="95"/>
      <c r="BI25" s="99"/>
    </row>
    <row r="26" spans="1:62" ht="9" customHeight="1">
      <c r="A26" s="77"/>
      <c r="B26" s="77"/>
      <c r="C26" s="77"/>
      <c r="D26" s="90"/>
      <c r="E26" s="90"/>
      <c r="F26" s="3"/>
      <c r="G26" s="80"/>
      <c r="H26" s="87"/>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5"/>
      <c r="AL26" s="83"/>
      <c r="AM26" s="83"/>
      <c r="AN26" s="100"/>
      <c r="AO26" s="100"/>
      <c r="AP26" s="100"/>
      <c r="AQ26" s="83"/>
      <c r="AR26" s="83"/>
      <c r="AS26" s="83"/>
      <c r="AT26" s="83"/>
      <c r="AU26" s="83"/>
      <c r="AV26" s="83"/>
      <c r="AW26" s="83"/>
      <c r="AX26" s="83"/>
      <c r="AY26" s="83"/>
      <c r="AZ26" s="83"/>
      <c r="BA26" s="83"/>
      <c r="BB26" s="34"/>
      <c r="BC26" s="34"/>
      <c r="BD26" s="56"/>
      <c r="BE26" s="83"/>
      <c r="BF26" s="83"/>
      <c r="BG26" s="83"/>
      <c r="BH26" s="83"/>
      <c r="BI26" s="19"/>
    </row>
    <row r="27" spans="1:62">
      <c r="A27" s="74"/>
      <c r="B27" s="74"/>
      <c r="C27" s="74"/>
      <c r="D27" s="3"/>
      <c r="E27" s="3"/>
      <c r="F27" s="3"/>
      <c r="G27" s="188"/>
      <c r="AH27" s="209" t="e">
        <f>SUM(#REF!)</f>
        <v>#REF!</v>
      </c>
      <c r="AK27" s="24"/>
      <c r="AL27" s="209" t="e">
        <f>SUM(#REF!)</f>
        <v>#REF!</v>
      </c>
    </row>
    <row r="28" spans="1:62">
      <c r="A28" s="74"/>
      <c r="B28" s="74"/>
      <c r="C28" s="74"/>
      <c r="D28" s="3"/>
      <c r="E28" s="3"/>
      <c r="F28" s="3"/>
      <c r="G28" s="188"/>
      <c r="AK28" s="210"/>
      <c r="BJ28" s="211"/>
    </row>
    <row r="29" spans="1:62">
      <c r="AK29" s="212"/>
    </row>
    <row r="30" spans="1:62">
      <c r="AK30" s="212"/>
    </row>
    <row r="31" spans="1:62">
      <c r="L31" s="168"/>
      <c r="M31" s="168"/>
      <c r="N31" s="168"/>
      <c r="O31" s="168"/>
      <c r="P31" s="168"/>
      <c r="Q31" s="168"/>
      <c r="S31" s="168"/>
      <c r="T31" s="168"/>
      <c r="U31" s="168"/>
      <c r="W31" s="168"/>
      <c r="X31" s="168"/>
      <c r="Y31" s="168"/>
      <c r="AA31" s="168"/>
      <c r="AC31" s="168"/>
      <c r="AE31" s="168"/>
      <c r="AI31" s="168"/>
      <c r="AK31" s="210"/>
      <c r="AM31" s="168"/>
      <c r="AQ31" s="168"/>
      <c r="AS31" s="168"/>
      <c r="AU31" s="168"/>
    </row>
    <row r="32" spans="1:62">
      <c r="L32" s="168"/>
      <c r="M32" s="168"/>
      <c r="N32" s="168"/>
      <c r="O32" s="168"/>
      <c r="P32" s="168"/>
      <c r="Q32" s="168"/>
      <c r="S32" s="168"/>
      <c r="T32" s="168"/>
      <c r="U32" s="168"/>
      <c r="W32" s="168"/>
      <c r="X32" s="168"/>
      <c r="Y32" s="168"/>
      <c r="AA32" s="168"/>
      <c r="AC32" s="168"/>
      <c r="AE32" s="168"/>
      <c r="AI32" s="168"/>
      <c r="AK32" s="210"/>
      <c r="AM32" s="168"/>
      <c r="AQ32" s="168"/>
      <c r="AS32" s="168"/>
      <c r="AU32" s="168"/>
    </row>
    <row r="33" spans="37:37">
      <c r="AK33" s="212"/>
    </row>
    <row r="68" spans="18:64">
      <c r="R68" s="7">
        <v>420044982</v>
      </c>
      <c r="BJ68" s="211"/>
      <c r="BK68" s="7"/>
      <c r="BL68" s="7"/>
    </row>
    <row r="69" spans="18:64">
      <c r="BJ69" s="211"/>
      <c r="BK69" s="7"/>
    </row>
  </sheetData>
  <autoFilter ref="A9:BI26"/>
  <mergeCells count="8">
    <mergeCell ref="A8:E8"/>
    <mergeCell ref="AG2:AH2"/>
    <mergeCell ref="AG3:AH3"/>
    <mergeCell ref="AG4:AH4"/>
    <mergeCell ref="AB4:AD4"/>
    <mergeCell ref="A6:F6"/>
    <mergeCell ref="A7:F7"/>
    <mergeCell ref="AB5:AD5"/>
  </mergeCells>
  <phoneticPr fontId="3" type="noConversion"/>
  <conditionalFormatting sqref="F1:F1048576">
    <cfRule type="cellIs" dxfId="38" priority="1" stopIfTrue="1" operator="between">
      <formula>610000</formula>
      <formula>619999</formula>
    </cfRule>
  </conditionalFormatting>
  <pageMargins left="0.54" right="0.25" top="0.24" bottom="0.49" header="0.25" footer="0"/>
  <pageSetup scale="76" fitToHeight="0" orientation="landscape" r:id="rId1"/>
  <headerFooter alignWithMargins="0">
    <oddFooter>&amp;C&amp;8Detail of Expenditures Budget By Department, Page &amp;P of &amp;N</oddFooter>
  </headerFooter>
  <legacyDrawing r:id="rId2"/>
</worksheet>
</file>

<file path=xl/worksheets/sheet2.xml><?xml version="1.0" encoding="utf-8"?>
<worksheet xmlns="http://schemas.openxmlformats.org/spreadsheetml/2006/main" xmlns:r="http://schemas.openxmlformats.org/officeDocument/2006/relationships">
  <sheetPr codeName="Sheet2" enableFormatConditionsCalculation="0">
    <tabColor indexed="17"/>
    <pageSetUpPr fitToPage="1"/>
  </sheetPr>
  <dimension ref="A1:BK59"/>
  <sheetViews>
    <sheetView zoomScale="87" zoomScaleNormal="90" workbookViewId="0">
      <pane xSplit="8" ySplit="9" topLeftCell="AN10" activePane="bottomRight" state="frozen"/>
      <selection activeCell="A28" sqref="A28"/>
      <selection pane="topRight" activeCell="A28" sqref="A28"/>
      <selection pane="bottomLeft" activeCell="A28" sqref="A28"/>
      <selection pane="bottomRight"/>
    </sheetView>
  </sheetViews>
  <sheetFormatPr defaultRowHeight="12.75" outlineLevelRow="1" outlineLevelCol="1"/>
  <cols>
    <col min="1" max="1" width="7" style="39" customWidth="1" outlineLevel="1"/>
    <col min="2" max="2" width="6.140625" style="39" customWidth="1" outlineLevel="1"/>
    <col min="3" max="3" width="3.7109375" style="39" customWidth="1" outlineLevel="1"/>
    <col min="4" max="5" width="4.85546875" style="168" customWidth="1" outlineLevel="1"/>
    <col min="6" max="6" width="8.7109375" style="40" customWidth="1" outlineLevel="1"/>
    <col min="7" max="7" width="28.5703125" style="4" customWidth="1"/>
    <col min="8" max="8" width="16.5703125" style="4" hidden="1" customWidth="1"/>
    <col min="9" max="10" width="15.140625" style="4" hidden="1" customWidth="1" collapsed="1"/>
    <col min="11" max="11" width="39.5703125" style="4" hidden="1" customWidth="1"/>
    <col min="12" max="12" width="15.140625" style="7" bestFit="1" customWidth="1" collapsed="1"/>
    <col min="13" max="13" width="31.7109375" style="7" hidden="1" customWidth="1"/>
    <col min="14" max="14" width="35.5703125" style="7" hidden="1" customWidth="1" collapsed="1"/>
    <col min="15" max="15" width="0.140625" style="7" customWidth="1"/>
    <col min="16" max="16" width="25.28515625" style="7" hidden="1" customWidth="1" outlineLevel="1" collapsed="1"/>
    <col min="17" max="17" width="23.42578125" style="7" hidden="1" customWidth="1" outlineLevel="1"/>
    <col min="18" max="18" width="20.5703125" style="7" hidden="1" customWidth="1" outlineLevel="1" collapsed="1"/>
    <col min="19" max="19" width="18" style="7" hidden="1" customWidth="1" outlineLevel="1"/>
    <col min="20" max="20" width="19.5703125" style="7" hidden="1" customWidth="1" outlineLevel="1"/>
    <col min="21" max="21" width="18.42578125" style="7" hidden="1" customWidth="1" outlineLevel="1"/>
    <col min="22" max="22" width="13.140625" style="7" hidden="1" customWidth="1"/>
    <col min="23" max="23" width="14.140625" style="7" hidden="1" customWidth="1"/>
    <col min="24" max="24" width="14.5703125" style="7" customWidth="1" collapsed="1"/>
    <col min="25" max="25" width="0.85546875" style="7" hidden="1" customWidth="1"/>
    <col min="26" max="26" width="16.140625" style="7" hidden="1" customWidth="1"/>
    <col min="27" max="27" width="0.140625" style="7" hidden="1" customWidth="1"/>
    <col min="28" max="28" width="16.140625" style="7" hidden="1" customWidth="1" outlineLevel="1"/>
    <col min="29" max="29" width="0.42578125" style="7" hidden="1" customWidth="1" outlineLevel="1"/>
    <col min="30" max="30" width="17.85546875" style="7" hidden="1" customWidth="1" outlineLevel="1"/>
    <col min="31" max="31" width="0.42578125" style="7" hidden="1" customWidth="1" outlineLevel="1"/>
    <col min="32" max="32" width="16.140625" style="7" hidden="1" customWidth="1" collapsed="1"/>
    <col min="33" max="33" width="16" style="7" hidden="1" customWidth="1" outlineLevel="1"/>
    <col min="34" max="34" width="17" style="7" hidden="1" customWidth="1" outlineLevel="1"/>
    <col min="35" max="35" width="10.5703125" style="7" hidden="1" customWidth="1" outlineLevel="1"/>
    <col min="36" max="36" width="16.140625" style="7" hidden="1" customWidth="1" collapsed="1"/>
    <col min="37" max="37" width="0.7109375" style="7" hidden="1" customWidth="1"/>
    <col min="38" max="38" width="16.140625" style="7" hidden="1" customWidth="1" outlineLevel="1"/>
    <col min="39" max="39" width="4.140625" style="7" hidden="1" customWidth="1" outlineLevel="1"/>
    <col min="40" max="40" width="16.140625" style="17" customWidth="1" collapsed="1"/>
    <col min="41" max="41" width="16.140625" style="17" hidden="1" customWidth="1" collapsed="1"/>
    <col min="42" max="42" width="16.140625" style="17" customWidth="1" collapsed="1"/>
    <col min="43" max="43" width="0.7109375" style="7" hidden="1" customWidth="1" outlineLevel="1"/>
    <col min="44" max="44" width="22.140625" style="7" hidden="1" customWidth="1" outlineLevel="1"/>
    <col min="45" max="45" width="0.42578125" style="7" hidden="1" customWidth="1" outlineLevel="1"/>
    <col min="46" max="46" width="17.85546875" style="7" hidden="1" customWidth="1" outlineLevel="1"/>
    <col min="47" max="47" width="0.42578125" style="7" hidden="1" customWidth="1" outlineLevel="1"/>
    <col min="48" max="48" width="18" style="7" hidden="1" customWidth="1" collapsed="1"/>
    <col min="49" max="49" width="0.5703125" style="7" hidden="1" customWidth="1"/>
    <col min="50" max="50" width="18" style="7" hidden="1" customWidth="1"/>
    <col min="51" max="51" width="0.5703125" style="7" customWidth="1"/>
    <col min="52" max="52" width="15.7109375" style="7" bestFit="1" customWidth="1"/>
    <col min="53" max="54" width="15.140625" style="7" customWidth="1"/>
    <col min="55" max="55" width="23.140625" style="7" customWidth="1"/>
    <col min="56" max="56" width="19.85546875" style="7" bestFit="1" customWidth="1"/>
    <col min="57" max="59" width="12.42578125" style="7" customWidth="1"/>
    <col min="60" max="60" width="3.85546875" style="76" customWidth="1"/>
    <col min="61" max="61" width="14.5703125" style="12" bestFit="1" customWidth="1"/>
  </cols>
  <sheetData>
    <row r="1" spans="1:62" ht="15">
      <c r="A1" s="1" t="s">
        <v>0</v>
      </c>
      <c r="B1" s="2"/>
      <c r="C1" s="2"/>
      <c r="D1" s="1"/>
      <c r="E1" s="1"/>
      <c r="F1" s="3"/>
      <c r="H1" s="5"/>
      <c r="I1" s="6"/>
      <c r="T1" s="8"/>
      <c r="Z1" s="9"/>
      <c r="AB1" s="9"/>
      <c r="AD1" s="9"/>
      <c r="AF1" s="9"/>
      <c r="AH1" s="10" t="e">
        <f>+#REF!</f>
        <v>#REF!</v>
      </c>
      <c r="AJ1" s="9"/>
      <c r="AK1" s="9"/>
      <c r="AN1" s="9"/>
      <c r="AO1" s="9"/>
      <c r="AP1" s="9"/>
      <c r="AR1" s="9"/>
      <c r="AT1" s="9"/>
      <c r="AV1" s="9"/>
      <c r="AW1" s="9"/>
      <c r="AX1" s="9"/>
      <c r="AY1" s="9"/>
      <c r="AZ1" s="9"/>
      <c r="BA1" s="9"/>
      <c r="BB1" s="9"/>
      <c r="BC1" s="9"/>
      <c r="BD1" s="9"/>
      <c r="BE1" s="9"/>
      <c r="BF1" s="9"/>
      <c r="BG1" s="9"/>
      <c r="BH1" s="11"/>
    </row>
    <row r="2" spans="1:62" ht="15">
      <c r="A2" s="1" t="s">
        <v>1053</v>
      </c>
      <c r="B2" s="2"/>
      <c r="C2" s="2"/>
      <c r="D2" s="1"/>
      <c r="E2" s="1"/>
      <c r="F2" s="3"/>
      <c r="H2" s="5"/>
      <c r="I2" s="13"/>
      <c r="J2" s="14"/>
      <c r="K2" s="14"/>
      <c r="L2" s="15"/>
      <c r="M2" s="15"/>
      <c r="N2" s="15"/>
      <c r="O2" s="15"/>
      <c r="P2" s="15"/>
      <c r="R2" s="15"/>
      <c r="T2" s="8"/>
      <c r="V2" s="15"/>
      <c r="X2" s="15"/>
      <c r="Z2" s="15"/>
      <c r="AB2" s="15"/>
      <c r="AD2" s="15"/>
      <c r="AF2" s="15"/>
      <c r="AG2" s="238" t="s">
        <v>1</v>
      </c>
      <c r="AH2" s="238"/>
      <c r="AI2" s="17"/>
      <c r="AJ2" s="18"/>
      <c r="AK2" s="15"/>
      <c r="AL2" s="10" t="e">
        <f>+#REF!</f>
        <v>#REF!</v>
      </c>
      <c r="AN2" s="18"/>
      <c r="AO2" s="18"/>
      <c r="AP2" s="18"/>
      <c r="AR2" s="15"/>
      <c r="AT2" s="15"/>
      <c r="AV2" s="15"/>
      <c r="AW2" s="15"/>
      <c r="AX2" s="15"/>
      <c r="AY2" s="15"/>
      <c r="AZ2" s="15"/>
      <c r="BA2" s="15"/>
      <c r="BB2" s="15"/>
      <c r="BC2" s="15"/>
      <c r="BD2" s="15"/>
      <c r="BE2" s="15"/>
      <c r="BF2" s="15"/>
      <c r="BG2" s="15"/>
      <c r="BH2" s="19"/>
    </row>
    <row r="3" spans="1:62">
      <c r="A3" s="20" t="str">
        <f>IF(G7=1,"DETAIL OF EXPENDITURES BUDGET BY DEPARTMENT WITH COMPARATIVE AMOUNTS", "SUMMARY OF EXPENDITURES BUDGET BY DEPARTMENT WITH COMPARATIVE AMOUNTS")</f>
        <v>DETAIL OF EXPENDITURES BUDGET BY DEPARTMENT WITH COMPARATIVE AMOUNTS</v>
      </c>
      <c r="B3" s="21"/>
      <c r="C3" s="21"/>
      <c r="D3" s="22"/>
      <c r="E3" s="22"/>
      <c r="F3" s="3"/>
      <c r="H3" s="5"/>
      <c r="I3" s="23"/>
      <c r="J3" s="15"/>
      <c r="L3" s="15"/>
      <c r="M3" s="10"/>
      <c r="N3" s="10"/>
      <c r="O3" s="10"/>
      <c r="P3" s="24"/>
      <c r="R3" s="24"/>
      <c r="V3" s="24"/>
      <c r="W3" s="24"/>
      <c r="X3" s="15"/>
      <c r="Y3" s="24"/>
      <c r="AA3" s="24"/>
      <c r="AB3" s="24" t="e">
        <f>+#REF!</f>
        <v>#REF!</v>
      </c>
      <c r="AC3" s="24"/>
      <c r="AD3" s="24" t="e">
        <f>+#REF!</f>
        <v>#REF!</v>
      </c>
      <c r="AE3" s="24"/>
      <c r="AF3" s="10" t="e">
        <f>+#REF!</f>
        <v>#REF!</v>
      </c>
      <c r="AG3" s="239" t="s">
        <v>2</v>
      </c>
      <c r="AH3" s="239"/>
      <c r="AI3" s="25"/>
      <c r="AJ3" s="25" t="e">
        <f>+#REF!</f>
        <v>#REF!</v>
      </c>
      <c r="AK3" s="24"/>
      <c r="AL3" s="16" t="s">
        <v>1</v>
      </c>
      <c r="AM3" s="25"/>
      <c r="AN3" s="25"/>
      <c r="AO3" s="25"/>
      <c r="AP3" s="25"/>
      <c r="AQ3" s="24"/>
      <c r="AR3" s="24" t="e">
        <f>+#REF!</f>
        <v>#REF!</v>
      </c>
      <c r="AS3" s="24"/>
      <c r="AT3" s="24" t="e">
        <f>+#REF!</f>
        <v>#REF!</v>
      </c>
      <c r="AU3" s="24"/>
      <c r="AV3" s="24" t="e">
        <f>+#REF!</f>
        <v>#REF!</v>
      </c>
      <c r="AW3" s="24"/>
      <c r="AX3" s="24" t="e">
        <f>+#REF!</f>
        <v>#REF!</v>
      </c>
      <c r="AY3" s="24"/>
      <c r="AZ3" s="24"/>
      <c r="BA3" s="24"/>
      <c r="BB3" s="24"/>
      <c r="BC3" s="24"/>
      <c r="BD3" s="26"/>
      <c r="BE3" s="26"/>
      <c r="BF3" s="26"/>
      <c r="BG3" s="26"/>
      <c r="BH3" s="27"/>
    </row>
    <row r="4" spans="1:62" ht="15">
      <c r="A4" s="28" t="s">
        <v>1070</v>
      </c>
      <c r="B4" s="29"/>
      <c r="C4" s="29"/>
      <c r="D4" s="28"/>
      <c r="E4" s="28"/>
      <c r="F4" s="3"/>
      <c r="H4" s="30"/>
      <c r="I4" s="31" t="e">
        <f>+#REF!</f>
        <v>#REF!</v>
      </c>
      <c r="J4" s="31" t="e">
        <f>+#REF!</f>
        <v>#REF!</v>
      </c>
      <c r="L4" s="31"/>
      <c r="M4" s="32"/>
      <c r="N4" s="33"/>
      <c r="O4" s="32"/>
      <c r="P4" s="33"/>
      <c r="R4" s="33"/>
      <c r="T4" s="33"/>
      <c r="X4" s="31"/>
      <c r="Z4" s="10"/>
      <c r="AB4" s="241"/>
      <c r="AC4" s="241"/>
      <c r="AD4" s="241"/>
      <c r="AE4" s="35"/>
      <c r="AF4" s="34"/>
      <c r="AG4" s="240"/>
      <c r="AH4" s="240"/>
      <c r="AI4" s="17"/>
      <c r="AJ4" s="16"/>
      <c r="AK4" s="24"/>
      <c r="AL4" s="16"/>
      <c r="AM4" s="17"/>
      <c r="AN4" s="31"/>
      <c r="AO4" s="31"/>
      <c r="AP4" s="31"/>
      <c r="AR4" s="34" t="s">
        <v>5</v>
      </c>
      <c r="AU4" s="35"/>
      <c r="AV4" s="34"/>
      <c r="AW4" s="34"/>
      <c r="AX4" s="34" t="s">
        <v>5</v>
      </c>
      <c r="AY4" s="34"/>
      <c r="AZ4" s="34"/>
      <c r="BA4" s="34"/>
      <c r="BB4" s="34"/>
      <c r="BC4" s="34"/>
      <c r="BD4" s="37"/>
      <c r="BE4" s="37"/>
      <c r="BF4" s="37"/>
      <c r="BG4" s="37"/>
      <c r="BH4" s="38"/>
    </row>
    <row r="5" spans="1:62" ht="15">
      <c r="B5" s="29"/>
      <c r="C5" s="29"/>
      <c r="D5" s="28"/>
      <c r="E5" s="28"/>
      <c r="G5" s="28"/>
      <c r="H5" s="5"/>
      <c r="I5" s="41" t="s">
        <v>6</v>
      </c>
      <c r="J5" s="42" t="s">
        <v>7</v>
      </c>
      <c r="L5" s="16" t="s">
        <v>8</v>
      </c>
      <c r="M5" s="16"/>
      <c r="N5" s="16" t="s">
        <v>9</v>
      </c>
      <c r="O5" s="16"/>
      <c r="P5" s="16" t="s">
        <v>9</v>
      </c>
      <c r="Q5" s="17"/>
      <c r="R5" s="43"/>
      <c r="S5" s="17"/>
      <c r="T5" s="16"/>
      <c r="U5" s="17"/>
      <c r="V5" s="16" t="s">
        <v>9</v>
      </c>
      <c r="X5" s="16" t="s">
        <v>9</v>
      </c>
      <c r="Z5" s="34" t="s">
        <v>1</v>
      </c>
      <c r="AB5" s="243" t="s">
        <v>10</v>
      </c>
      <c r="AC5" s="243"/>
      <c r="AD5" s="243"/>
      <c r="AE5" s="35"/>
      <c r="AF5" s="34" t="s">
        <v>1</v>
      </c>
      <c r="AG5" s="17"/>
      <c r="AH5" s="16" t="s">
        <v>11</v>
      </c>
      <c r="AI5" s="17"/>
      <c r="AJ5" s="16" t="s">
        <v>1</v>
      </c>
      <c r="AK5" s="24"/>
      <c r="AL5" s="43" t="s">
        <v>12</v>
      </c>
      <c r="AM5" s="17"/>
      <c r="AN5" s="16" t="s">
        <v>1</v>
      </c>
      <c r="AO5" s="45" t="s">
        <v>1</v>
      </c>
      <c r="AP5" s="46" t="s">
        <v>5</v>
      </c>
      <c r="AQ5" s="47"/>
      <c r="AR5" s="48" t="s">
        <v>10</v>
      </c>
      <c r="AS5" s="47"/>
      <c r="AT5" s="47"/>
      <c r="AU5" s="47"/>
      <c r="AV5" s="46" t="s">
        <v>5</v>
      </c>
      <c r="AW5" s="34"/>
      <c r="AX5" s="49" t="s">
        <v>3</v>
      </c>
      <c r="AY5" s="34"/>
      <c r="AZ5" s="16" t="s">
        <v>1054</v>
      </c>
      <c r="BA5" s="16" t="s">
        <v>1054</v>
      </c>
      <c r="BB5" s="34" t="s">
        <v>1069</v>
      </c>
      <c r="BC5" s="34"/>
      <c r="BD5" s="50" t="s">
        <v>13</v>
      </c>
      <c r="BE5" s="37"/>
      <c r="BF5" s="37"/>
      <c r="BG5" s="37"/>
      <c r="BH5" s="51"/>
    </row>
    <row r="6" spans="1:62">
      <c r="A6" s="242"/>
      <c r="B6" s="242"/>
      <c r="C6" s="242"/>
      <c r="D6" s="242"/>
      <c r="E6" s="242"/>
      <c r="F6" s="242"/>
      <c r="G6" s="22"/>
      <c r="H6" s="5"/>
      <c r="I6" s="52" t="s">
        <v>14</v>
      </c>
      <c r="J6" s="52" t="s">
        <v>14</v>
      </c>
      <c r="L6" s="43" t="s">
        <v>14</v>
      </c>
      <c r="M6" s="43"/>
      <c r="N6" s="43" t="s">
        <v>15</v>
      </c>
      <c r="O6" s="43"/>
      <c r="P6" s="43" t="s">
        <v>4</v>
      </c>
      <c r="Q6" s="17"/>
      <c r="R6" s="43" t="s">
        <v>4</v>
      </c>
      <c r="S6" s="43"/>
      <c r="T6" s="43" t="s">
        <v>16</v>
      </c>
      <c r="U6" s="43"/>
      <c r="V6" s="43" t="s">
        <v>4</v>
      </c>
      <c r="W6" s="43"/>
      <c r="X6" s="43" t="s">
        <v>14</v>
      </c>
      <c r="Y6" s="43"/>
      <c r="Z6" s="34" t="s">
        <v>17</v>
      </c>
      <c r="AA6" s="43"/>
      <c r="AB6" s="53" t="s">
        <v>16</v>
      </c>
      <c r="AC6" s="53"/>
      <c r="AD6" s="34"/>
      <c r="AE6" s="53"/>
      <c r="AF6" s="34" t="s">
        <v>17</v>
      </c>
      <c r="AG6" s="43" t="s">
        <v>16</v>
      </c>
      <c r="AH6" s="16" t="s">
        <v>18</v>
      </c>
      <c r="AI6" s="43"/>
      <c r="AJ6" s="16" t="s">
        <v>19</v>
      </c>
      <c r="AK6" s="24"/>
      <c r="AL6" s="43" t="s">
        <v>16</v>
      </c>
      <c r="AM6" s="43"/>
      <c r="AN6" s="43" t="s">
        <v>14</v>
      </c>
      <c r="AO6" s="45" t="s">
        <v>20</v>
      </c>
      <c r="AP6" s="43" t="s">
        <v>14</v>
      </c>
      <c r="AQ6" s="54"/>
      <c r="AR6" s="54" t="s">
        <v>16</v>
      </c>
      <c r="AS6" s="54"/>
      <c r="AT6" s="46"/>
      <c r="AU6" s="54"/>
      <c r="AV6" s="46" t="s">
        <v>19</v>
      </c>
      <c r="AW6" s="34"/>
      <c r="AX6" s="55" t="s">
        <v>16</v>
      </c>
      <c r="AY6" s="34"/>
      <c r="AZ6" s="16" t="s">
        <v>17</v>
      </c>
      <c r="BA6" s="16" t="s">
        <v>17</v>
      </c>
      <c r="BB6" s="34" t="s">
        <v>19</v>
      </c>
      <c r="BC6" s="56"/>
      <c r="BD6" s="50" t="s">
        <v>21</v>
      </c>
      <c r="BE6" s="37"/>
      <c r="BF6" s="37"/>
      <c r="BG6" s="37"/>
      <c r="BH6" s="57"/>
    </row>
    <row r="7" spans="1:62" ht="15">
      <c r="A7" s="237"/>
      <c r="B7" s="237"/>
      <c r="C7" s="237"/>
      <c r="D7" s="237"/>
      <c r="E7" s="237"/>
      <c r="F7" s="237"/>
      <c r="G7" s="59">
        <v>1</v>
      </c>
      <c r="H7" s="60"/>
      <c r="I7" s="52" t="s">
        <v>22</v>
      </c>
      <c r="J7" s="52" t="s">
        <v>22</v>
      </c>
      <c r="L7" s="43" t="s">
        <v>22</v>
      </c>
      <c r="M7" s="43"/>
      <c r="N7" s="43" t="s">
        <v>23</v>
      </c>
      <c r="O7" s="43"/>
      <c r="P7" s="43" t="s">
        <v>24</v>
      </c>
      <c r="Q7" s="43"/>
      <c r="R7" s="43" t="s">
        <v>24</v>
      </c>
      <c r="S7" s="43"/>
      <c r="T7" s="43" t="s">
        <v>25</v>
      </c>
      <c r="U7" s="43"/>
      <c r="V7" s="43" t="s">
        <v>24</v>
      </c>
      <c r="W7" s="43"/>
      <c r="X7" s="43" t="s">
        <v>22</v>
      </c>
      <c r="Y7" s="43"/>
      <c r="Z7" s="53" t="s">
        <v>15</v>
      </c>
      <c r="AA7" s="43"/>
      <c r="AB7" s="53" t="s">
        <v>26</v>
      </c>
      <c r="AC7" s="53"/>
      <c r="AD7" s="53"/>
      <c r="AE7" s="53"/>
      <c r="AF7" s="53" t="s">
        <v>4</v>
      </c>
      <c r="AG7" s="43" t="s">
        <v>26</v>
      </c>
      <c r="AH7" s="43" t="s">
        <v>27</v>
      </c>
      <c r="AI7" s="43"/>
      <c r="AJ7" s="43" t="s">
        <v>4</v>
      </c>
      <c r="AK7" s="24"/>
      <c r="AL7" s="43" t="s">
        <v>26</v>
      </c>
      <c r="AM7" s="43"/>
      <c r="AN7" s="43" t="s">
        <v>22</v>
      </c>
      <c r="AO7" s="61" t="s">
        <v>22</v>
      </c>
      <c r="AP7" s="43" t="s">
        <v>22</v>
      </c>
      <c r="AQ7" s="54"/>
      <c r="AR7" s="54" t="s">
        <v>26</v>
      </c>
      <c r="AS7" s="54"/>
      <c r="AT7" s="54"/>
      <c r="AU7" s="54"/>
      <c r="AV7" s="54" t="s">
        <v>4</v>
      </c>
      <c r="AW7" s="53"/>
      <c r="AX7" s="55" t="s">
        <v>26</v>
      </c>
      <c r="AY7" s="53"/>
      <c r="AZ7" s="16" t="s">
        <v>15</v>
      </c>
      <c r="BA7" s="16" t="s">
        <v>1072</v>
      </c>
      <c r="BB7" s="34" t="s">
        <v>15</v>
      </c>
      <c r="BC7" s="56"/>
      <c r="BD7" s="50" t="s">
        <v>28</v>
      </c>
      <c r="BE7" s="62"/>
      <c r="BF7" s="62"/>
      <c r="BG7" s="62"/>
      <c r="BH7" s="57"/>
      <c r="BI7" s="63"/>
    </row>
    <row r="8" spans="1:62" ht="15">
      <c r="A8" s="237" t="s">
        <v>29</v>
      </c>
      <c r="B8" s="237"/>
      <c r="C8" s="237"/>
      <c r="D8" s="237"/>
      <c r="E8" s="237"/>
      <c r="F8" s="64" t="s">
        <v>30</v>
      </c>
      <c r="G8" s="64" t="s">
        <v>31</v>
      </c>
      <c r="H8" s="60"/>
      <c r="I8" s="65" t="s">
        <v>32</v>
      </c>
      <c r="J8" s="65" t="s">
        <v>32</v>
      </c>
      <c r="L8" s="66" t="s">
        <v>32</v>
      </c>
      <c r="M8" s="36"/>
      <c r="N8" s="36" t="s">
        <v>2</v>
      </c>
      <c r="O8" s="36"/>
      <c r="P8" s="36" t="s">
        <v>33</v>
      </c>
      <c r="Q8" s="36"/>
      <c r="R8" s="36" t="s">
        <v>34</v>
      </c>
      <c r="S8" s="36"/>
      <c r="T8" s="36" t="s">
        <v>35</v>
      </c>
      <c r="U8" s="36"/>
      <c r="V8" s="36" t="s">
        <v>36</v>
      </c>
      <c r="W8" s="36"/>
      <c r="X8" s="66" t="s">
        <v>32</v>
      </c>
      <c r="Y8" s="36"/>
      <c r="Z8" s="44" t="s">
        <v>24</v>
      </c>
      <c r="AA8" s="36"/>
      <c r="AB8" s="44" t="s">
        <v>35</v>
      </c>
      <c r="AC8" s="44"/>
      <c r="AD8" s="44" t="s">
        <v>37</v>
      </c>
      <c r="AE8" s="44"/>
      <c r="AF8" s="44" t="s">
        <v>38</v>
      </c>
      <c r="AG8" s="36" t="s">
        <v>35</v>
      </c>
      <c r="AH8" s="36" t="s">
        <v>39</v>
      </c>
      <c r="AI8" s="36"/>
      <c r="AJ8" s="36" t="s">
        <v>40</v>
      </c>
      <c r="AK8" s="24"/>
      <c r="AL8" s="36" t="s">
        <v>35</v>
      </c>
      <c r="AM8" s="36"/>
      <c r="AN8" s="36" t="s">
        <v>32</v>
      </c>
      <c r="AO8" s="67" t="s">
        <v>32</v>
      </c>
      <c r="AP8" s="36" t="s">
        <v>32</v>
      </c>
      <c r="AQ8" s="48"/>
      <c r="AR8" s="48" t="s">
        <v>35</v>
      </c>
      <c r="AS8" s="48"/>
      <c r="AT8" s="48" t="s">
        <v>37</v>
      </c>
      <c r="AU8" s="48"/>
      <c r="AV8" s="48" t="s">
        <v>38</v>
      </c>
      <c r="AW8" s="44"/>
      <c r="AX8" s="49" t="s">
        <v>35</v>
      </c>
      <c r="AY8" s="44"/>
      <c r="AZ8" s="36" t="s">
        <v>2</v>
      </c>
      <c r="BA8" s="36" t="s">
        <v>2</v>
      </c>
      <c r="BB8" s="44" t="s">
        <v>2</v>
      </c>
      <c r="BC8" s="56"/>
      <c r="BD8" s="50" t="s">
        <v>41</v>
      </c>
      <c r="BE8" s="68"/>
      <c r="BF8" s="68"/>
      <c r="BG8" s="68"/>
      <c r="BH8" s="69"/>
    </row>
    <row r="9" spans="1:62" ht="15">
      <c r="A9" s="58"/>
      <c r="B9" s="58"/>
      <c r="C9" s="58"/>
      <c r="D9" s="64"/>
      <c r="E9" s="64"/>
      <c r="F9" s="64"/>
      <c r="G9" s="70"/>
      <c r="H9" s="60"/>
      <c r="J9" s="71"/>
      <c r="AK9" s="24"/>
      <c r="BA9" s="34"/>
      <c r="BB9" s="34"/>
      <c r="BC9" s="56"/>
      <c r="BH9" s="72">
        <v>2</v>
      </c>
    </row>
    <row r="10" spans="1:62" ht="15" outlineLevel="1">
      <c r="A10" s="75" t="s">
        <v>64</v>
      </c>
      <c r="B10" s="77"/>
      <c r="C10" s="77"/>
      <c r="D10" s="90"/>
      <c r="E10" s="90"/>
      <c r="F10" s="3"/>
      <c r="H10" s="87"/>
      <c r="L10" s="44"/>
      <c r="AK10" s="85"/>
      <c r="BA10" s="83"/>
      <c r="BB10" s="83"/>
      <c r="BC10" s="56"/>
    </row>
    <row r="11" spans="1:62" ht="20.100000000000001" customHeight="1" outlineLevel="1">
      <c r="A11" s="77" t="s">
        <v>43</v>
      </c>
      <c r="B11" s="77" t="s">
        <v>65</v>
      </c>
      <c r="C11" s="77" t="s">
        <v>1073</v>
      </c>
      <c r="D11" s="78" t="s">
        <v>46</v>
      </c>
      <c r="E11" s="78" t="str">
        <f>+D11</f>
        <v>000</v>
      </c>
      <c r="F11" s="79">
        <v>611112</v>
      </c>
      <c r="G11" s="102" t="s">
        <v>66</v>
      </c>
      <c r="H11" s="81"/>
      <c r="I11" s="82">
        <v>105278</v>
      </c>
      <c r="J11" s="82">
        <v>117732</v>
      </c>
      <c r="L11" s="83">
        <v>134971</v>
      </c>
      <c r="M11" s="83"/>
      <c r="N11" s="83">
        <v>134771</v>
      </c>
      <c r="O11" s="83"/>
      <c r="P11" s="83">
        <v>134771</v>
      </c>
      <c r="Q11" s="83"/>
      <c r="R11" s="83">
        <v>140702</v>
      </c>
      <c r="S11" s="83"/>
      <c r="T11" s="83">
        <v>0</v>
      </c>
      <c r="U11" s="83"/>
      <c r="V11" s="83">
        <v>140702</v>
      </c>
      <c r="W11" s="83"/>
      <c r="X11" s="83">
        <v>140701.48000000001</v>
      </c>
      <c r="Y11" s="83"/>
      <c r="Z11" s="83">
        <v>140034</v>
      </c>
      <c r="AA11" s="83"/>
      <c r="AB11" s="83">
        <v>0</v>
      </c>
      <c r="AC11" s="83"/>
      <c r="AD11" s="83"/>
      <c r="AE11" s="83"/>
      <c r="AF11" s="84">
        <f t="shared" ref="AF11:AF20" si="0">SUM(Z11:AE11)</f>
        <v>140034</v>
      </c>
      <c r="AG11" s="103">
        <v>4249</v>
      </c>
      <c r="AH11" s="83">
        <v>0</v>
      </c>
      <c r="AI11" s="83"/>
      <c r="AJ11" s="84">
        <f t="shared" ref="AJ11:AJ20" si="1">SUM(AE11:AI11)</f>
        <v>144283</v>
      </c>
      <c r="AK11" s="85"/>
      <c r="AL11" s="83">
        <v>0</v>
      </c>
      <c r="AM11" s="83"/>
      <c r="AN11" s="86">
        <v>144417.48000000001</v>
      </c>
      <c r="AO11" s="86">
        <v>0</v>
      </c>
      <c r="AP11" s="86">
        <v>146033</v>
      </c>
      <c r="AQ11" s="83"/>
      <c r="AR11" s="83">
        <v>0</v>
      </c>
      <c r="AS11" s="83"/>
      <c r="AT11" s="83">
        <v>0</v>
      </c>
      <c r="AU11" s="83"/>
      <c r="AV11" s="84">
        <f t="shared" ref="AV11:AV20" si="2">SUM(AP11:AU11)</f>
        <v>146033</v>
      </c>
      <c r="AW11" s="84"/>
      <c r="AX11" s="84">
        <v>0</v>
      </c>
      <c r="AY11" s="84"/>
      <c r="AZ11" s="84">
        <v>146033</v>
      </c>
      <c r="BA11" s="84">
        <v>147177</v>
      </c>
      <c r="BB11" s="214"/>
      <c r="BC11" s="56"/>
      <c r="BD11" s="84">
        <f t="shared" ref="BD11:BD21" si="3">+AP11-AN11</f>
        <v>1615.5199999999895</v>
      </c>
      <c r="BE11" s="84"/>
      <c r="BF11" s="84"/>
      <c r="BG11" s="84"/>
      <c r="BH11" s="72">
        <v>1</v>
      </c>
      <c r="BJ11">
        <v>1</v>
      </c>
    </row>
    <row r="12" spans="1:62" ht="20.100000000000001" customHeight="1" outlineLevel="1">
      <c r="A12" s="77" t="s">
        <v>43</v>
      </c>
      <c r="B12" s="77" t="s">
        <v>65</v>
      </c>
      <c r="C12" s="77" t="str">
        <f>+C11</f>
        <v>AB·</v>
      </c>
      <c r="D12" s="78" t="s">
        <v>46</v>
      </c>
      <c r="E12" s="78" t="str">
        <f t="shared" ref="E12:E20" si="4">+D12</f>
        <v>000</v>
      </c>
      <c r="F12" s="3">
        <v>611411</v>
      </c>
      <c r="G12" s="102" t="s">
        <v>67</v>
      </c>
      <c r="H12" s="87"/>
      <c r="I12" s="13">
        <v>34588</v>
      </c>
      <c r="J12" s="13">
        <v>42723</v>
      </c>
      <c r="L12" s="56">
        <v>34817</v>
      </c>
      <c r="M12" s="56"/>
      <c r="N12" s="56">
        <v>34253</v>
      </c>
      <c r="O12" s="56"/>
      <c r="P12" s="56">
        <v>34253</v>
      </c>
      <c r="Q12" s="56"/>
      <c r="R12" s="56">
        <v>36271</v>
      </c>
      <c r="S12" s="56"/>
      <c r="T12" s="56">
        <v>0</v>
      </c>
      <c r="U12" s="56"/>
      <c r="V12" s="56">
        <v>36271</v>
      </c>
      <c r="W12" s="56"/>
      <c r="X12" s="56">
        <v>36271</v>
      </c>
      <c r="Y12" s="56"/>
      <c r="Z12" s="56">
        <v>35113</v>
      </c>
      <c r="AA12" s="56"/>
      <c r="AB12" s="56">
        <v>0</v>
      </c>
      <c r="AC12" s="56"/>
      <c r="AD12" s="56"/>
      <c r="AE12" s="56"/>
      <c r="AF12" s="56">
        <f t="shared" si="0"/>
        <v>35113</v>
      </c>
      <c r="AG12" s="56">
        <v>0</v>
      </c>
      <c r="AH12" s="56">
        <v>2250</v>
      </c>
      <c r="AI12" s="56"/>
      <c r="AJ12" s="56">
        <f t="shared" si="1"/>
        <v>37363</v>
      </c>
      <c r="AK12" s="85"/>
      <c r="AL12" s="56">
        <v>0</v>
      </c>
      <c r="AM12" s="56"/>
      <c r="AN12" s="88">
        <v>37362.959999999999</v>
      </c>
      <c r="AO12" s="88">
        <v>0</v>
      </c>
      <c r="AP12" s="88">
        <v>35706</v>
      </c>
      <c r="AQ12" s="56"/>
      <c r="AR12" s="56">
        <v>0</v>
      </c>
      <c r="AS12" s="56"/>
      <c r="AT12" s="56">
        <v>0</v>
      </c>
      <c r="AU12" s="56"/>
      <c r="AV12" s="56">
        <f t="shared" si="2"/>
        <v>35706</v>
      </c>
      <c r="AW12" s="56"/>
      <c r="AX12" s="56">
        <v>0</v>
      </c>
      <c r="AY12" s="56"/>
      <c r="AZ12" s="56">
        <v>35706</v>
      </c>
      <c r="BA12" s="56">
        <v>36328</v>
      </c>
      <c r="BB12" s="214"/>
      <c r="BC12" s="56"/>
      <c r="BD12" s="84">
        <f t="shared" si="3"/>
        <v>-1656.9599999999991</v>
      </c>
      <c r="BE12" s="56"/>
      <c r="BF12" s="56"/>
      <c r="BG12" s="56"/>
      <c r="BH12" s="72">
        <v>1</v>
      </c>
      <c r="BJ12">
        <v>1</v>
      </c>
    </row>
    <row r="13" spans="1:62" ht="20.100000000000001" customHeight="1" outlineLevel="1">
      <c r="A13" s="77" t="s">
        <v>43</v>
      </c>
      <c r="B13" s="77" t="s">
        <v>65</v>
      </c>
      <c r="C13" s="77" t="str">
        <f t="shared" ref="C13:C20" si="5">+C12</f>
        <v>AB·</v>
      </c>
      <c r="D13" s="78" t="s">
        <v>46</v>
      </c>
      <c r="E13" s="78" t="str">
        <f t="shared" si="4"/>
        <v>000</v>
      </c>
      <c r="F13" s="3">
        <v>632015</v>
      </c>
      <c r="G13" s="102" t="s">
        <v>68</v>
      </c>
      <c r="H13" s="87"/>
      <c r="I13" s="13">
        <v>1716</v>
      </c>
      <c r="J13" s="13">
        <v>556</v>
      </c>
      <c r="L13" s="56">
        <v>0</v>
      </c>
      <c r="M13" s="56"/>
      <c r="N13" s="56">
        <v>0</v>
      </c>
      <c r="O13" s="56"/>
      <c r="P13" s="56">
        <v>0</v>
      </c>
      <c r="Q13" s="56"/>
      <c r="R13" s="56">
        <v>0</v>
      </c>
      <c r="S13" s="56"/>
      <c r="T13" s="56">
        <v>0</v>
      </c>
      <c r="U13" s="56"/>
      <c r="V13" s="56">
        <v>0</v>
      </c>
      <c r="W13" s="56"/>
      <c r="X13" s="56">
        <v>326.51</v>
      </c>
      <c r="Y13" s="56"/>
      <c r="Z13" s="56">
        <v>0</v>
      </c>
      <c r="AA13" s="56"/>
      <c r="AB13" s="56">
        <v>0</v>
      </c>
      <c r="AC13" s="56"/>
      <c r="AD13" s="56"/>
      <c r="AE13" s="56"/>
      <c r="AF13" s="56">
        <f t="shared" si="0"/>
        <v>0</v>
      </c>
      <c r="AG13" s="56">
        <v>0</v>
      </c>
      <c r="AH13" s="56">
        <v>0</v>
      </c>
      <c r="AI13" s="56"/>
      <c r="AJ13" s="56">
        <f t="shared" si="1"/>
        <v>0</v>
      </c>
      <c r="AK13" s="85"/>
      <c r="AL13" s="56">
        <v>0</v>
      </c>
      <c r="AM13" s="56"/>
      <c r="AN13" s="88">
        <f>SUM(AI13:AM13)</f>
        <v>0</v>
      </c>
      <c r="AO13" s="88">
        <v>0</v>
      </c>
      <c r="AP13" s="88">
        <v>0</v>
      </c>
      <c r="AQ13" s="56"/>
      <c r="AR13" s="56">
        <v>0</v>
      </c>
      <c r="AS13" s="56"/>
      <c r="AT13" s="56">
        <v>0</v>
      </c>
      <c r="AU13" s="56"/>
      <c r="AV13" s="56">
        <f t="shared" si="2"/>
        <v>0</v>
      </c>
      <c r="AW13" s="56"/>
      <c r="AX13" s="56">
        <v>0</v>
      </c>
      <c r="AY13" s="56"/>
      <c r="AZ13" s="56">
        <v>0</v>
      </c>
      <c r="BA13" s="56">
        <v>0</v>
      </c>
      <c r="BB13" s="214"/>
      <c r="BC13" s="56"/>
      <c r="BD13" s="84">
        <f t="shared" si="3"/>
        <v>0</v>
      </c>
      <c r="BE13" s="56"/>
      <c r="BF13" s="56"/>
      <c r="BG13" s="56"/>
      <c r="BH13" s="72"/>
    </row>
    <row r="14" spans="1:62" ht="20.100000000000001" customHeight="1" outlineLevel="1">
      <c r="A14" s="77" t="s">
        <v>43</v>
      </c>
      <c r="B14" s="77" t="s">
        <v>65</v>
      </c>
      <c r="C14" s="77" t="str">
        <f t="shared" si="5"/>
        <v>AB·</v>
      </c>
      <c r="D14" s="78" t="s">
        <v>46</v>
      </c>
      <c r="E14" s="78" t="str">
        <f t="shared" si="4"/>
        <v>000</v>
      </c>
      <c r="F14" s="3">
        <v>644211</v>
      </c>
      <c r="G14" s="102" t="s">
        <v>69</v>
      </c>
      <c r="H14" s="87"/>
      <c r="I14" s="13">
        <v>7594</v>
      </c>
      <c r="J14" s="13">
        <v>9591</v>
      </c>
      <c r="L14" s="56">
        <v>7216</v>
      </c>
      <c r="M14" s="56"/>
      <c r="N14" s="56">
        <v>8500</v>
      </c>
      <c r="O14" s="56"/>
      <c r="P14" s="56">
        <v>8500</v>
      </c>
      <c r="Q14" s="56"/>
      <c r="R14" s="56">
        <v>8500</v>
      </c>
      <c r="S14" s="56"/>
      <c r="T14" s="56">
        <v>0</v>
      </c>
      <c r="U14" s="56"/>
      <c r="V14" s="56">
        <v>8500</v>
      </c>
      <c r="W14" s="56"/>
      <c r="X14" s="56">
        <v>5858.58</v>
      </c>
      <c r="Y14" s="56"/>
      <c r="Z14" s="56">
        <v>8500</v>
      </c>
      <c r="AA14" s="56"/>
      <c r="AB14" s="56"/>
      <c r="AC14" s="56"/>
      <c r="AD14" s="56"/>
      <c r="AE14" s="56"/>
      <c r="AF14" s="56">
        <f t="shared" si="0"/>
        <v>8500</v>
      </c>
      <c r="AG14" s="56">
        <v>0</v>
      </c>
      <c r="AH14" s="56">
        <v>0</v>
      </c>
      <c r="AI14" s="56"/>
      <c r="AJ14" s="56">
        <f t="shared" si="1"/>
        <v>8500</v>
      </c>
      <c r="AK14" s="85"/>
      <c r="AL14" s="56">
        <v>0</v>
      </c>
      <c r="AM14" s="56"/>
      <c r="AN14" s="88">
        <v>7184.27</v>
      </c>
      <c r="AO14" s="88">
        <v>0</v>
      </c>
      <c r="AP14" s="88">
        <v>4537.8500000000004</v>
      </c>
      <c r="AQ14" s="56"/>
      <c r="AR14" s="56">
        <v>0</v>
      </c>
      <c r="AS14" s="56"/>
      <c r="AT14" s="56">
        <v>0</v>
      </c>
      <c r="AU14" s="56"/>
      <c r="AV14" s="56">
        <f t="shared" si="2"/>
        <v>4537.8500000000004</v>
      </c>
      <c r="AW14" s="56"/>
      <c r="AX14" s="56">
        <v>0</v>
      </c>
      <c r="AY14" s="56"/>
      <c r="AZ14" s="56">
        <v>8500</v>
      </c>
      <c r="BA14" s="56">
        <v>8500</v>
      </c>
      <c r="BB14" s="214"/>
      <c r="BC14" s="56"/>
      <c r="BD14" s="84">
        <f t="shared" si="3"/>
        <v>-2646.42</v>
      </c>
      <c r="BE14" s="56"/>
      <c r="BF14" s="56"/>
      <c r="BG14" s="56"/>
      <c r="BH14" s="72"/>
    </row>
    <row r="15" spans="1:62" ht="20.100000000000001" customHeight="1" outlineLevel="1">
      <c r="A15" s="77" t="s">
        <v>43</v>
      </c>
      <c r="B15" s="77" t="s">
        <v>65</v>
      </c>
      <c r="C15" s="77" t="str">
        <f t="shared" si="5"/>
        <v>AB·</v>
      </c>
      <c r="D15" s="78" t="s">
        <v>46</v>
      </c>
      <c r="E15" s="78" t="str">
        <f t="shared" si="4"/>
        <v>000</v>
      </c>
      <c r="F15" s="3">
        <v>644212</v>
      </c>
      <c r="G15" s="102" t="s">
        <v>1055</v>
      </c>
      <c r="H15" s="87"/>
      <c r="I15" s="13">
        <v>5337</v>
      </c>
      <c r="J15" s="13">
        <v>4353</v>
      </c>
      <c r="L15" s="56">
        <v>4105</v>
      </c>
      <c r="M15" s="56"/>
      <c r="N15" s="56">
        <v>5000</v>
      </c>
      <c r="O15" s="56"/>
      <c r="P15" s="56">
        <v>5000</v>
      </c>
      <c r="Q15" s="56"/>
      <c r="R15" s="56">
        <v>5000</v>
      </c>
      <c r="S15" s="56"/>
      <c r="T15" s="56">
        <v>0</v>
      </c>
      <c r="U15" s="56"/>
      <c r="V15" s="56">
        <v>5000</v>
      </c>
      <c r="W15" s="56"/>
      <c r="X15" s="56">
        <v>4105.2</v>
      </c>
      <c r="Y15" s="56"/>
      <c r="Z15" s="56">
        <v>5000</v>
      </c>
      <c r="AA15" s="56"/>
      <c r="AB15" s="56"/>
      <c r="AC15" s="56"/>
      <c r="AD15" s="56"/>
      <c r="AE15" s="56"/>
      <c r="AF15" s="56">
        <f t="shared" si="0"/>
        <v>5000</v>
      </c>
      <c r="AG15" s="56">
        <v>0</v>
      </c>
      <c r="AH15" s="56">
        <v>0</v>
      </c>
      <c r="AI15" s="56"/>
      <c r="AJ15" s="56">
        <f t="shared" si="1"/>
        <v>5000</v>
      </c>
      <c r="AK15" s="85"/>
      <c r="AL15" s="56">
        <v>0</v>
      </c>
      <c r="AM15" s="56"/>
      <c r="AN15" s="88">
        <v>4103.1000000000004</v>
      </c>
      <c r="AO15" s="88">
        <v>0</v>
      </c>
      <c r="AP15" s="88">
        <v>4053.57</v>
      </c>
      <c r="AQ15" s="56"/>
      <c r="AR15" s="56">
        <v>0</v>
      </c>
      <c r="AS15" s="56"/>
      <c r="AT15" s="56">
        <v>0</v>
      </c>
      <c r="AU15" s="56"/>
      <c r="AV15" s="56">
        <f t="shared" si="2"/>
        <v>4053.57</v>
      </c>
      <c r="AW15" s="56"/>
      <c r="AX15" s="56">
        <v>0</v>
      </c>
      <c r="AY15" s="56"/>
      <c r="AZ15" s="56">
        <v>5000</v>
      </c>
      <c r="BA15" s="56">
        <v>5000</v>
      </c>
      <c r="BB15" s="214"/>
      <c r="BC15" s="56"/>
      <c r="BD15" s="84">
        <f t="shared" si="3"/>
        <v>-49.5300000000002</v>
      </c>
      <c r="BE15" s="56"/>
      <c r="BF15" s="56"/>
      <c r="BG15" s="56"/>
      <c r="BH15" s="72"/>
    </row>
    <row r="16" spans="1:62" ht="20.100000000000001" customHeight="1" outlineLevel="1">
      <c r="A16" s="77" t="s">
        <v>43</v>
      </c>
      <c r="B16" s="77" t="s">
        <v>65</v>
      </c>
      <c r="C16" s="77" t="str">
        <f t="shared" si="5"/>
        <v>AB·</v>
      </c>
      <c r="D16" s="78" t="s">
        <v>46</v>
      </c>
      <c r="E16" s="78" t="str">
        <f t="shared" si="4"/>
        <v>000</v>
      </c>
      <c r="F16" s="3">
        <v>653051</v>
      </c>
      <c r="G16" s="102" t="s">
        <v>71</v>
      </c>
      <c r="H16" s="87"/>
      <c r="I16" s="13">
        <v>384</v>
      </c>
      <c r="J16" s="13">
        <v>306</v>
      </c>
      <c r="L16" s="56">
        <v>295</v>
      </c>
      <c r="M16" s="56"/>
      <c r="N16" s="56">
        <v>650</v>
      </c>
      <c r="O16" s="56"/>
      <c r="P16" s="56">
        <v>650</v>
      </c>
      <c r="Q16" s="56"/>
      <c r="R16" s="56">
        <v>650</v>
      </c>
      <c r="S16" s="56"/>
      <c r="T16" s="56">
        <v>0</v>
      </c>
      <c r="U16" s="56"/>
      <c r="V16" s="56">
        <v>650</v>
      </c>
      <c r="W16" s="56"/>
      <c r="X16" s="56">
        <v>432.84</v>
      </c>
      <c r="Y16" s="56"/>
      <c r="Z16" s="56">
        <v>650</v>
      </c>
      <c r="AA16" s="56"/>
      <c r="AB16" s="56"/>
      <c r="AC16" s="56"/>
      <c r="AD16" s="56"/>
      <c r="AE16" s="56"/>
      <c r="AF16" s="56">
        <f t="shared" si="0"/>
        <v>650</v>
      </c>
      <c r="AG16" s="56">
        <v>0</v>
      </c>
      <c r="AH16" s="56">
        <v>0</v>
      </c>
      <c r="AI16" s="56"/>
      <c r="AJ16" s="56">
        <f t="shared" si="1"/>
        <v>650</v>
      </c>
      <c r="AK16" s="85"/>
      <c r="AL16" s="56">
        <v>0</v>
      </c>
      <c r="AM16" s="56"/>
      <c r="AN16" s="88">
        <v>481.94</v>
      </c>
      <c r="AO16" s="88">
        <v>0</v>
      </c>
      <c r="AP16" s="88">
        <v>324.81</v>
      </c>
      <c r="AQ16" s="56"/>
      <c r="AR16" s="56">
        <v>0</v>
      </c>
      <c r="AS16" s="56"/>
      <c r="AT16" s="56">
        <v>0</v>
      </c>
      <c r="AU16" s="56"/>
      <c r="AV16" s="56">
        <f t="shared" si="2"/>
        <v>324.81</v>
      </c>
      <c r="AW16" s="56"/>
      <c r="AX16" s="56">
        <v>0</v>
      </c>
      <c r="AY16" s="56"/>
      <c r="AZ16" s="56">
        <v>650</v>
      </c>
      <c r="BA16" s="56">
        <v>650</v>
      </c>
      <c r="BB16" s="214"/>
      <c r="BC16" s="56"/>
      <c r="BD16" s="84">
        <f t="shared" si="3"/>
        <v>-157.13</v>
      </c>
      <c r="BE16" s="56"/>
      <c r="BF16" s="56"/>
      <c r="BG16" s="56"/>
      <c r="BH16" s="72"/>
    </row>
    <row r="17" spans="1:60" ht="20.100000000000001" customHeight="1" outlineLevel="1">
      <c r="A17" s="77" t="s">
        <v>43</v>
      </c>
      <c r="B17" s="77" t="s">
        <v>65</v>
      </c>
      <c r="C17" s="77" t="str">
        <f t="shared" si="5"/>
        <v>AB·</v>
      </c>
      <c r="D17" s="78" t="s">
        <v>46</v>
      </c>
      <c r="E17" s="78" t="str">
        <f t="shared" si="4"/>
        <v>000</v>
      </c>
      <c r="F17" s="3">
        <v>658211</v>
      </c>
      <c r="G17" s="102" t="s">
        <v>72</v>
      </c>
      <c r="H17" s="87"/>
      <c r="I17" s="13">
        <v>14176</v>
      </c>
      <c r="J17" s="13">
        <v>11730</v>
      </c>
      <c r="L17" s="56">
        <v>10602</v>
      </c>
      <c r="M17" s="56"/>
      <c r="N17" s="56">
        <v>8000</v>
      </c>
      <c r="O17" s="56"/>
      <c r="P17" s="56">
        <v>8000</v>
      </c>
      <c r="Q17" s="56"/>
      <c r="R17" s="56">
        <v>8000</v>
      </c>
      <c r="S17" s="56"/>
      <c r="T17" s="56">
        <v>0</v>
      </c>
      <c r="U17" s="56"/>
      <c r="V17" s="56">
        <v>8000</v>
      </c>
      <c r="W17" s="56"/>
      <c r="X17" s="56">
        <v>5774.8</v>
      </c>
      <c r="Y17" s="56"/>
      <c r="Z17" s="56">
        <v>8000</v>
      </c>
      <c r="AA17" s="56"/>
      <c r="AB17" s="56"/>
      <c r="AC17" s="56"/>
      <c r="AD17" s="56"/>
      <c r="AE17" s="56"/>
      <c r="AF17" s="56">
        <f t="shared" si="0"/>
        <v>8000</v>
      </c>
      <c r="AG17" s="56">
        <v>0</v>
      </c>
      <c r="AH17" s="56">
        <v>0</v>
      </c>
      <c r="AI17" s="56"/>
      <c r="AJ17" s="56">
        <f t="shared" si="1"/>
        <v>8000</v>
      </c>
      <c r="AK17" s="85"/>
      <c r="AL17" s="56">
        <v>0</v>
      </c>
      <c r="AM17" s="56"/>
      <c r="AN17" s="88">
        <v>8021.38</v>
      </c>
      <c r="AO17" s="88">
        <v>0</v>
      </c>
      <c r="AP17" s="88">
        <v>4934.92</v>
      </c>
      <c r="AQ17" s="56"/>
      <c r="AR17" s="56">
        <v>0</v>
      </c>
      <c r="AS17" s="56"/>
      <c r="AT17" s="56">
        <v>0</v>
      </c>
      <c r="AU17" s="56"/>
      <c r="AV17" s="56">
        <f t="shared" si="2"/>
        <v>4934.92</v>
      </c>
      <c r="AW17" s="56"/>
      <c r="AX17" s="56">
        <v>0</v>
      </c>
      <c r="AY17" s="56"/>
      <c r="AZ17" s="56">
        <v>8000</v>
      </c>
      <c r="BA17" s="56">
        <v>8000</v>
      </c>
      <c r="BB17" s="214"/>
      <c r="BC17" s="56"/>
      <c r="BD17" s="84">
        <f t="shared" si="3"/>
        <v>-3086.46</v>
      </c>
      <c r="BE17" s="56"/>
      <c r="BF17" s="56"/>
      <c r="BG17" s="56"/>
      <c r="BH17" s="72"/>
    </row>
    <row r="18" spans="1:60" ht="20.100000000000001" customHeight="1" outlineLevel="1">
      <c r="A18" s="77" t="s">
        <v>43</v>
      </c>
      <c r="B18" s="77" t="s">
        <v>65</v>
      </c>
      <c r="C18" s="77" t="str">
        <f t="shared" si="5"/>
        <v>AB·</v>
      </c>
      <c r="D18" s="78" t="s">
        <v>46</v>
      </c>
      <c r="E18" s="78" t="str">
        <f t="shared" si="4"/>
        <v>000</v>
      </c>
      <c r="F18" s="3">
        <v>661001</v>
      </c>
      <c r="G18" s="102" t="s">
        <v>73</v>
      </c>
      <c r="H18" s="87"/>
      <c r="I18" s="13">
        <v>3934</v>
      </c>
      <c r="J18" s="13">
        <v>11044</v>
      </c>
      <c r="L18" s="56">
        <v>6354</v>
      </c>
      <c r="M18" s="56"/>
      <c r="N18" s="56">
        <v>6000</v>
      </c>
      <c r="O18" s="56"/>
      <c r="P18" s="56">
        <v>7358</v>
      </c>
      <c r="Q18" s="56"/>
      <c r="R18" s="56">
        <v>7358</v>
      </c>
      <c r="S18" s="56"/>
      <c r="T18" s="56">
        <v>0</v>
      </c>
      <c r="U18" s="56"/>
      <c r="V18" s="56">
        <v>7358</v>
      </c>
      <c r="W18" s="56"/>
      <c r="X18" s="56">
        <v>5334.94</v>
      </c>
      <c r="Y18" s="56"/>
      <c r="Z18" s="56">
        <v>7250</v>
      </c>
      <c r="AA18" s="56"/>
      <c r="AB18" s="56"/>
      <c r="AC18" s="56"/>
      <c r="AD18" s="56"/>
      <c r="AE18" s="56"/>
      <c r="AF18" s="56">
        <f t="shared" si="0"/>
        <v>7250</v>
      </c>
      <c r="AG18" s="56">
        <v>0</v>
      </c>
      <c r="AH18" s="56">
        <v>0</v>
      </c>
      <c r="AI18" s="56"/>
      <c r="AJ18" s="56">
        <f t="shared" si="1"/>
        <v>7250</v>
      </c>
      <c r="AK18" s="85"/>
      <c r="AL18" s="56">
        <v>0</v>
      </c>
      <c r="AM18" s="56"/>
      <c r="AN18" s="88">
        <v>5504.89</v>
      </c>
      <c r="AO18" s="88">
        <v>0</v>
      </c>
      <c r="AP18" s="88">
        <v>6267.6</v>
      </c>
      <c r="AQ18" s="56"/>
      <c r="AR18" s="56">
        <v>0</v>
      </c>
      <c r="AS18" s="56"/>
      <c r="AT18" s="56">
        <v>0</v>
      </c>
      <c r="AU18" s="56"/>
      <c r="AV18" s="56">
        <f t="shared" si="2"/>
        <v>6267.6</v>
      </c>
      <c r="AW18" s="56"/>
      <c r="AX18" s="56">
        <v>0</v>
      </c>
      <c r="AY18" s="56"/>
      <c r="AZ18" s="56">
        <v>2500</v>
      </c>
      <c r="BA18" s="56">
        <v>2500</v>
      </c>
      <c r="BB18" s="214"/>
      <c r="BC18" s="56"/>
      <c r="BD18" s="84">
        <f t="shared" si="3"/>
        <v>762.71</v>
      </c>
      <c r="BE18" s="56"/>
      <c r="BF18" s="56"/>
      <c r="BG18" s="56"/>
      <c r="BH18" s="72"/>
    </row>
    <row r="19" spans="1:60" ht="20.100000000000001" customHeight="1" outlineLevel="1">
      <c r="A19" s="77" t="s">
        <v>43</v>
      </c>
      <c r="B19" s="77" t="s">
        <v>65</v>
      </c>
      <c r="C19" s="77" t="str">
        <f t="shared" si="5"/>
        <v>AB·</v>
      </c>
      <c r="D19" s="78" t="s">
        <v>46</v>
      </c>
      <c r="E19" s="78" t="str">
        <f t="shared" si="4"/>
        <v>000</v>
      </c>
      <c r="F19" s="3">
        <v>673001</v>
      </c>
      <c r="G19" s="102" t="s">
        <v>57</v>
      </c>
      <c r="H19" s="87"/>
      <c r="I19" s="13">
        <v>0</v>
      </c>
      <c r="J19" s="13">
        <v>0</v>
      </c>
      <c r="L19" s="56">
        <v>0</v>
      </c>
      <c r="M19" s="56"/>
      <c r="N19" s="56">
        <v>0</v>
      </c>
      <c r="O19" s="56"/>
      <c r="P19" s="56">
        <v>0</v>
      </c>
      <c r="Q19" s="56"/>
      <c r="R19" s="56">
        <v>0</v>
      </c>
      <c r="S19" s="56"/>
      <c r="T19" s="56">
        <v>0</v>
      </c>
      <c r="U19" s="56"/>
      <c r="V19" s="56">
        <v>0</v>
      </c>
      <c r="W19" s="56"/>
      <c r="X19" s="56">
        <v>0</v>
      </c>
      <c r="Y19" s="56"/>
      <c r="Z19" s="56">
        <v>0</v>
      </c>
      <c r="AA19" s="56"/>
      <c r="AB19" s="56"/>
      <c r="AC19" s="56"/>
      <c r="AD19" s="56"/>
      <c r="AE19" s="56"/>
      <c r="AF19" s="56">
        <f t="shared" si="0"/>
        <v>0</v>
      </c>
      <c r="AG19" s="56">
        <v>0</v>
      </c>
      <c r="AH19" s="56">
        <v>0</v>
      </c>
      <c r="AI19" s="56"/>
      <c r="AJ19" s="56">
        <f t="shared" si="1"/>
        <v>0</v>
      </c>
      <c r="AK19" s="85"/>
      <c r="AL19" s="56">
        <v>0</v>
      </c>
      <c r="AM19" s="56"/>
      <c r="AN19" s="88">
        <f>SUM(AI19:AM19)</f>
        <v>0</v>
      </c>
      <c r="AO19" s="88">
        <v>0</v>
      </c>
      <c r="AP19" s="88">
        <v>0</v>
      </c>
      <c r="AQ19" s="56"/>
      <c r="AR19" s="56">
        <v>0</v>
      </c>
      <c r="AS19" s="56"/>
      <c r="AT19" s="56">
        <v>0</v>
      </c>
      <c r="AU19" s="56"/>
      <c r="AV19" s="56">
        <f t="shared" si="2"/>
        <v>0</v>
      </c>
      <c r="AW19" s="56"/>
      <c r="AX19" s="56">
        <v>0</v>
      </c>
      <c r="AY19" s="56"/>
      <c r="AZ19" s="56">
        <v>0</v>
      </c>
      <c r="BA19" s="56">
        <v>0</v>
      </c>
      <c r="BB19" s="214"/>
      <c r="BC19" s="56"/>
      <c r="BD19" s="84">
        <f t="shared" si="3"/>
        <v>0</v>
      </c>
      <c r="BE19" s="56"/>
      <c r="BF19" s="56"/>
      <c r="BG19" s="56"/>
      <c r="BH19" s="72"/>
    </row>
    <row r="20" spans="1:60" ht="20.100000000000001" customHeight="1" outlineLevel="1">
      <c r="A20" s="77" t="s">
        <v>43</v>
      </c>
      <c r="B20" s="77" t="s">
        <v>65</v>
      </c>
      <c r="C20" s="77" t="str">
        <f t="shared" si="5"/>
        <v>AB·</v>
      </c>
      <c r="D20" s="78" t="s">
        <v>46</v>
      </c>
      <c r="E20" s="78" t="str">
        <f t="shared" si="4"/>
        <v>000</v>
      </c>
      <c r="F20" s="3">
        <v>681011</v>
      </c>
      <c r="G20" s="102" t="s">
        <v>74</v>
      </c>
      <c r="H20" s="87"/>
      <c r="I20" s="13">
        <v>1820</v>
      </c>
      <c r="J20" s="13">
        <v>794</v>
      </c>
      <c r="L20" s="56">
        <v>1820</v>
      </c>
      <c r="M20" s="56"/>
      <c r="N20" s="56">
        <v>2200</v>
      </c>
      <c r="O20" s="56"/>
      <c r="P20" s="56">
        <v>2200</v>
      </c>
      <c r="Q20" s="56"/>
      <c r="R20" s="56">
        <v>2200</v>
      </c>
      <c r="S20" s="56"/>
      <c r="T20" s="56">
        <v>0</v>
      </c>
      <c r="U20" s="56"/>
      <c r="V20" s="56">
        <v>2200</v>
      </c>
      <c r="W20" s="56"/>
      <c r="X20" s="56">
        <v>1237</v>
      </c>
      <c r="Y20" s="56"/>
      <c r="Z20" s="56">
        <v>2200</v>
      </c>
      <c r="AA20" s="56"/>
      <c r="AB20" s="56"/>
      <c r="AC20" s="56"/>
      <c r="AD20" s="56"/>
      <c r="AE20" s="56"/>
      <c r="AF20" s="56">
        <f t="shared" si="0"/>
        <v>2200</v>
      </c>
      <c r="AG20" s="56">
        <v>0</v>
      </c>
      <c r="AH20" s="56">
        <v>0</v>
      </c>
      <c r="AI20" s="56"/>
      <c r="AJ20" s="56">
        <f t="shared" si="1"/>
        <v>2200</v>
      </c>
      <c r="AK20" s="85"/>
      <c r="AL20" s="56">
        <v>0</v>
      </c>
      <c r="AM20" s="56"/>
      <c r="AN20" s="88">
        <v>828</v>
      </c>
      <c r="AO20" s="88">
        <v>0</v>
      </c>
      <c r="AP20" s="88">
        <v>553</v>
      </c>
      <c r="AQ20" s="56"/>
      <c r="AR20" s="56">
        <v>0</v>
      </c>
      <c r="AS20" s="56"/>
      <c r="AT20" s="56">
        <v>0</v>
      </c>
      <c r="AU20" s="56"/>
      <c r="AV20" s="56">
        <f t="shared" si="2"/>
        <v>553</v>
      </c>
      <c r="AW20" s="56"/>
      <c r="AX20" s="56">
        <v>0</v>
      </c>
      <c r="AY20" s="56"/>
      <c r="AZ20" s="56">
        <v>2200</v>
      </c>
      <c r="BA20" s="56">
        <v>2200</v>
      </c>
      <c r="BB20" s="214"/>
      <c r="BC20" s="56"/>
      <c r="BD20" s="84">
        <f t="shared" si="3"/>
        <v>-275</v>
      </c>
      <c r="BE20" s="56"/>
      <c r="BF20" s="56"/>
      <c r="BG20" s="56"/>
      <c r="BH20" s="72"/>
    </row>
    <row r="21" spans="1:60">
      <c r="B21" s="77"/>
      <c r="C21" s="77"/>
      <c r="D21" s="90"/>
      <c r="E21" s="90"/>
      <c r="F21" s="3"/>
      <c r="G21" s="91" t="s">
        <v>75</v>
      </c>
      <c r="H21" s="87"/>
      <c r="I21" s="92">
        <v>174827</v>
      </c>
      <c r="J21" s="93">
        <v>198829</v>
      </c>
      <c r="L21" s="94">
        <v>200180</v>
      </c>
      <c r="M21" s="95"/>
      <c r="N21" s="94">
        <v>199374</v>
      </c>
      <c r="O21" s="95"/>
      <c r="P21" s="94">
        <v>200732</v>
      </c>
      <c r="Q21" s="95"/>
      <c r="R21" s="94">
        <v>208681</v>
      </c>
      <c r="S21" s="95"/>
      <c r="T21" s="94">
        <v>0</v>
      </c>
      <c r="U21" s="95"/>
      <c r="V21" s="94">
        <v>208681</v>
      </c>
      <c r="W21" s="95"/>
      <c r="X21" s="94">
        <f>SUBTOTAL(9,X11:X20)</f>
        <v>200042.35</v>
      </c>
      <c r="Y21" s="95"/>
      <c r="Z21" s="94">
        <f>SUBTOTAL(9,Z11:Z20)</f>
        <v>206747</v>
      </c>
      <c r="AA21" s="95"/>
      <c r="AB21" s="94">
        <f>SUBTOTAL(9,AB11:AB20)</f>
        <v>0</v>
      </c>
      <c r="AC21" s="95"/>
      <c r="AD21" s="94">
        <f>SUBTOTAL(9,AD11:AD20)</f>
        <v>0</v>
      </c>
      <c r="AE21" s="95"/>
      <c r="AF21" s="94">
        <f>SUBTOTAL(9,AF11:AF20)</f>
        <v>206747</v>
      </c>
      <c r="AG21" s="94">
        <f>SUBTOTAL(9,AG11:AG20)</f>
        <v>4249</v>
      </c>
      <c r="AH21" s="94">
        <f>SUBTOTAL(9,AH11:AH20)</f>
        <v>2250</v>
      </c>
      <c r="AI21" s="95"/>
      <c r="AJ21" s="94">
        <f>SUBTOTAL(9,AJ11:AJ20)</f>
        <v>213246</v>
      </c>
      <c r="AK21" s="96"/>
      <c r="AL21" s="94">
        <f>SUBTOTAL(9,AL11:AL20)</f>
        <v>0</v>
      </c>
      <c r="AM21" s="95"/>
      <c r="AN21" s="97">
        <f>SUBTOTAL(9,AN11:AN20)</f>
        <v>207904.02000000002</v>
      </c>
      <c r="AO21" s="97">
        <f>SUBTOTAL(9,AO11:AO20)</f>
        <v>0</v>
      </c>
      <c r="AP21" s="97">
        <f>SUBTOTAL(9,AP11:AP20)</f>
        <v>202410.75000000003</v>
      </c>
      <c r="AQ21" s="95"/>
      <c r="AR21" s="94">
        <f>SUBTOTAL(9,AR11:AR20)</f>
        <v>0</v>
      </c>
      <c r="AS21" s="95"/>
      <c r="AT21" s="94">
        <f>SUBTOTAL(9,AT11:AT20)</f>
        <v>0</v>
      </c>
      <c r="AU21" s="95"/>
      <c r="AV21" s="94">
        <f>SUBTOTAL(9,AV11:AV20)</f>
        <v>202410.75000000003</v>
      </c>
      <c r="AW21" s="95"/>
      <c r="AX21" s="94">
        <f>SUBTOTAL(9,AX11:AX20)</f>
        <v>0</v>
      </c>
      <c r="AY21" s="95"/>
      <c r="AZ21" s="94">
        <f>SUBTOTAL(9,AZ11:AZ20)</f>
        <v>208589</v>
      </c>
      <c r="BA21" s="94">
        <f>SUBTOTAL(9,BA11:BA20)</f>
        <v>210355</v>
      </c>
      <c r="BB21" s="214"/>
      <c r="BC21" s="56"/>
      <c r="BD21" s="98">
        <f t="shared" si="3"/>
        <v>-5493.2699999999895</v>
      </c>
      <c r="BE21" s="95"/>
      <c r="BF21" s="95"/>
      <c r="BG21" s="95"/>
      <c r="BH21" s="99"/>
    </row>
    <row r="22" spans="1:60" ht="9" customHeight="1">
      <c r="A22" s="77"/>
      <c r="B22" s="77"/>
      <c r="C22" s="77"/>
      <c r="D22" s="90"/>
      <c r="E22" s="90"/>
      <c r="F22" s="3"/>
      <c r="G22" s="80"/>
      <c r="H22" s="87"/>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5"/>
      <c r="AL22" s="83"/>
      <c r="AM22" s="83"/>
      <c r="AN22" s="100"/>
      <c r="AO22" s="100"/>
      <c r="AP22" s="100"/>
      <c r="AQ22" s="83"/>
      <c r="AR22" s="83"/>
      <c r="AS22" s="83"/>
      <c r="AT22" s="83"/>
      <c r="AU22" s="83"/>
      <c r="AV22" s="83"/>
      <c r="AW22" s="83"/>
      <c r="AX22" s="83"/>
      <c r="AY22" s="83"/>
      <c r="AZ22" s="83"/>
      <c r="BA22" s="34"/>
      <c r="BB22" s="34"/>
      <c r="BC22" s="56"/>
      <c r="BD22" s="83"/>
      <c r="BE22" s="83"/>
      <c r="BF22" s="83"/>
      <c r="BG22" s="83"/>
      <c r="BH22" s="19"/>
    </row>
    <row r="23" spans="1:60">
      <c r="AK23" s="212"/>
    </row>
    <row r="58" spans="18:63">
      <c r="R58" s="7">
        <v>420044982</v>
      </c>
      <c r="BI58" s="211"/>
      <c r="BJ58" s="7"/>
      <c r="BK58" s="7"/>
    </row>
    <row r="59" spans="18:63">
      <c r="BI59" s="211"/>
      <c r="BJ59" s="7"/>
    </row>
  </sheetData>
  <autoFilter ref="A9:BH22"/>
  <mergeCells count="8">
    <mergeCell ref="A6:F6"/>
    <mergeCell ref="A7:F7"/>
    <mergeCell ref="AB5:AD5"/>
    <mergeCell ref="A8:E8"/>
    <mergeCell ref="AG2:AH2"/>
    <mergeCell ref="AG3:AH3"/>
    <mergeCell ref="AG4:AH4"/>
    <mergeCell ref="AB4:AD4"/>
  </mergeCells>
  <phoneticPr fontId="3" type="noConversion"/>
  <conditionalFormatting sqref="F1:F1048576">
    <cfRule type="cellIs" dxfId="37" priority="1" stopIfTrue="1" operator="between">
      <formula>610000</formula>
      <formula>619999</formula>
    </cfRule>
  </conditionalFormatting>
  <pageMargins left="0.54" right="0.25" top="0.24" bottom="0.49" header="0.25" footer="0"/>
  <pageSetup scale="77" fitToHeight="0" orientation="landscape" r:id="rId1"/>
  <headerFooter alignWithMargins="0">
    <oddFooter>&amp;C&amp;8Detail of Expenditures Budget By Department, Page &amp;P of &amp;N</oddFooter>
  </headerFooter>
  <legacyDrawing r:id="rId2"/>
</worksheet>
</file>

<file path=xl/worksheets/sheet3.xml><?xml version="1.0" encoding="utf-8"?>
<worksheet xmlns="http://schemas.openxmlformats.org/spreadsheetml/2006/main" xmlns:r="http://schemas.openxmlformats.org/officeDocument/2006/relationships">
  <sheetPr codeName="Sheet3" enableFormatConditionsCalculation="0">
    <tabColor indexed="17"/>
    <pageSetUpPr fitToPage="1"/>
  </sheetPr>
  <dimension ref="A1:BJ21"/>
  <sheetViews>
    <sheetView zoomScale="87" zoomScaleNormal="90" workbookViewId="0">
      <pane xSplit="8" ySplit="9" topLeftCell="AN10" activePane="bottomRight" state="frozen"/>
      <selection activeCell="A28" sqref="A28"/>
      <selection pane="topRight" activeCell="A28" sqref="A28"/>
      <selection pane="bottomLeft" activeCell="A28" sqref="A28"/>
      <selection pane="bottomRight"/>
    </sheetView>
  </sheetViews>
  <sheetFormatPr defaultRowHeight="12.75" outlineLevelRow="1" outlineLevelCol="1"/>
  <cols>
    <col min="1" max="1" width="7" style="39" customWidth="1" outlineLevel="1"/>
    <col min="2" max="2" width="6.140625" style="39" customWidth="1" outlineLevel="1"/>
    <col min="3" max="3" width="3.7109375" style="39" customWidth="1" outlineLevel="1"/>
    <col min="4" max="5" width="4.85546875" style="168" customWidth="1" outlineLevel="1"/>
    <col min="6" max="6" width="8.7109375" style="40" customWidth="1" outlineLevel="1"/>
    <col min="7" max="7" width="28.5703125" style="4" customWidth="1"/>
    <col min="8" max="8" width="16.5703125" style="4" hidden="1" customWidth="1"/>
    <col min="9" max="10" width="15.140625" style="4" hidden="1" customWidth="1" collapsed="1"/>
    <col min="11" max="11" width="39.5703125" style="4" hidden="1" customWidth="1"/>
    <col min="12" max="12" width="15.140625" style="7" bestFit="1" customWidth="1" collapsed="1"/>
    <col min="13" max="13" width="31.7109375" style="7" hidden="1" customWidth="1"/>
    <col min="14" max="14" width="35.5703125" style="7" hidden="1" customWidth="1" collapsed="1"/>
    <col min="15" max="15" width="0.140625" style="7" customWidth="1"/>
    <col min="16" max="16" width="25.28515625" style="7" hidden="1" customWidth="1" outlineLevel="1" collapsed="1"/>
    <col min="17" max="17" width="23.42578125" style="7" hidden="1" customWidth="1" outlineLevel="1"/>
    <col min="18" max="18" width="20.5703125" style="7" hidden="1" customWidth="1" outlineLevel="1" collapsed="1"/>
    <col min="19" max="19" width="18" style="7" hidden="1" customWidth="1" outlineLevel="1"/>
    <col min="20" max="20" width="19.5703125" style="7" hidden="1" customWidth="1" outlineLevel="1"/>
    <col min="21" max="21" width="18.42578125" style="7" hidden="1" customWidth="1" outlineLevel="1"/>
    <col min="22" max="22" width="13.140625" style="7" hidden="1" customWidth="1"/>
    <col min="23" max="23" width="14.140625" style="7" hidden="1" customWidth="1"/>
    <col min="24" max="24" width="14.5703125" style="7" customWidth="1" collapsed="1"/>
    <col min="25" max="25" width="0.85546875" style="7" hidden="1" customWidth="1"/>
    <col min="26" max="26" width="16.140625" style="7" hidden="1" customWidth="1"/>
    <col min="27" max="27" width="0.140625" style="7" hidden="1" customWidth="1"/>
    <col min="28" max="28" width="16.140625" style="7" hidden="1" customWidth="1" outlineLevel="1"/>
    <col min="29" max="29" width="0.42578125" style="7" hidden="1" customWidth="1" outlineLevel="1"/>
    <col min="30" max="30" width="17.85546875" style="7" hidden="1" customWidth="1" outlineLevel="1"/>
    <col min="31" max="31" width="0.42578125" style="7" hidden="1" customWidth="1" outlineLevel="1"/>
    <col min="32" max="32" width="16.140625" style="7" hidden="1" customWidth="1" collapsed="1"/>
    <col min="33" max="33" width="16" style="7" hidden="1" customWidth="1" outlineLevel="1"/>
    <col min="34" max="34" width="17" style="7" hidden="1" customWidth="1" outlineLevel="1"/>
    <col min="35" max="35" width="10.5703125" style="7" hidden="1" customWidth="1" outlineLevel="1"/>
    <col min="36" max="36" width="16.140625" style="7" hidden="1" customWidth="1" collapsed="1"/>
    <col min="37" max="37" width="0.7109375" style="7" hidden="1" customWidth="1"/>
    <col min="38" max="38" width="16.140625" style="7" hidden="1" customWidth="1" outlineLevel="1"/>
    <col min="39" max="39" width="4.140625" style="7" hidden="1" customWidth="1" outlineLevel="1"/>
    <col min="40" max="40" width="16.140625" style="17" customWidth="1" collapsed="1"/>
    <col min="41" max="41" width="16.140625" style="17" hidden="1" customWidth="1" collapsed="1"/>
    <col min="42" max="42" width="16.140625" style="17" customWidth="1" collapsed="1"/>
    <col min="43" max="43" width="0.7109375" style="7" hidden="1" customWidth="1" outlineLevel="1"/>
    <col min="44" max="44" width="22.140625" style="7" hidden="1" customWidth="1" outlineLevel="1"/>
    <col min="45" max="45" width="0.42578125" style="7" hidden="1" customWidth="1" outlineLevel="1"/>
    <col min="46" max="46" width="17.85546875" style="7" hidden="1" customWidth="1" outlineLevel="1"/>
    <col min="47" max="47" width="0.42578125" style="7" hidden="1" customWidth="1" outlineLevel="1"/>
    <col min="48" max="48" width="18" style="7" hidden="1" customWidth="1" collapsed="1"/>
    <col min="49" max="49" width="0.5703125" style="7" hidden="1" customWidth="1"/>
    <col min="50" max="50" width="18" style="7" hidden="1" customWidth="1"/>
    <col min="51" max="51" width="0.5703125" style="7" customWidth="1"/>
    <col min="52" max="52" width="15.7109375" style="7" bestFit="1" customWidth="1"/>
    <col min="53" max="54" width="15.140625" style="7" customWidth="1"/>
    <col min="55" max="55" width="23.140625" style="7" customWidth="1"/>
    <col min="56" max="56" width="19.85546875" style="7" bestFit="1" customWidth="1"/>
    <col min="57" max="59" width="12.42578125" style="7" customWidth="1"/>
    <col min="60" max="60" width="3.85546875" style="76" customWidth="1"/>
    <col min="61" max="61" width="14.5703125" style="12" bestFit="1" customWidth="1"/>
  </cols>
  <sheetData>
    <row r="1" spans="1:62" ht="15">
      <c r="A1" s="1" t="s">
        <v>0</v>
      </c>
      <c r="B1" s="2"/>
      <c r="C1" s="2"/>
      <c r="D1" s="1"/>
      <c r="E1" s="1"/>
      <c r="F1" s="3"/>
      <c r="H1" s="5"/>
      <c r="I1" s="6"/>
      <c r="T1" s="8"/>
      <c r="Z1" s="9"/>
      <c r="AB1" s="9"/>
      <c r="AD1" s="9"/>
      <c r="AF1" s="9"/>
      <c r="AH1" s="10" t="e">
        <f>+#REF!</f>
        <v>#REF!</v>
      </c>
      <c r="AJ1" s="9"/>
      <c r="AK1" s="9"/>
      <c r="AN1" s="9"/>
      <c r="AO1" s="9"/>
      <c r="AP1" s="9"/>
      <c r="AR1" s="9"/>
      <c r="AT1" s="9"/>
      <c r="AV1" s="9"/>
      <c r="AW1" s="9"/>
      <c r="AX1" s="9"/>
      <c r="AY1" s="9"/>
      <c r="AZ1" s="9"/>
      <c r="BA1" s="9"/>
      <c r="BB1" s="9"/>
      <c r="BC1" s="9"/>
      <c r="BD1" s="9"/>
      <c r="BE1" s="9"/>
      <c r="BF1" s="9"/>
      <c r="BG1" s="9"/>
      <c r="BH1" s="11"/>
    </row>
    <row r="2" spans="1:62" ht="15">
      <c r="A2" s="1" t="s">
        <v>1053</v>
      </c>
      <c r="B2" s="2"/>
      <c r="C2" s="2"/>
      <c r="D2" s="1"/>
      <c r="E2" s="1"/>
      <c r="F2" s="3"/>
      <c r="H2" s="5"/>
      <c r="I2" s="13"/>
      <c r="J2" s="14"/>
      <c r="K2" s="14"/>
      <c r="L2" s="15"/>
      <c r="M2" s="15"/>
      <c r="N2" s="15"/>
      <c r="O2" s="15"/>
      <c r="P2" s="15"/>
      <c r="R2" s="15"/>
      <c r="T2" s="8"/>
      <c r="V2" s="15"/>
      <c r="X2" s="15"/>
      <c r="Z2" s="15"/>
      <c r="AB2" s="15"/>
      <c r="AD2" s="15"/>
      <c r="AF2" s="15"/>
      <c r="AG2" s="238" t="s">
        <v>1</v>
      </c>
      <c r="AH2" s="238"/>
      <c r="AI2" s="17"/>
      <c r="AJ2" s="18"/>
      <c r="AK2" s="15"/>
      <c r="AL2" s="10" t="e">
        <f>+#REF!</f>
        <v>#REF!</v>
      </c>
      <c r="AN2" s="18"/>
      <c r="AO2" s="18"/>
      <c r="AP2" s="18"/>
      <c r="AR2" s="15"/>
      <c r="AT2" s="15"/>
      <c r="AV2" s="15"/>
      <c r="AW2" s="15"/>
      <c r="AX2" s="15"/>
      <c r="AY2" s="15"/>
      <c r="AZ2" s="15"/>
      <c r="BA2" s="15"/>
      <c r="BB2" s="15"/>
      <c r="BC2" s="15"/>
      <c r="BD2" s="15"/>
      <c r="BE2" s="15"/>
      <c r="BF2" s="15"/>
      <c r="BG2" s="15"/>
      <c r="BH2" s="19"/>
    </row>
    <row r="3" spans="1:62">
      <c r="A3" s="20" t="str">
        <f>IF(G7=1,"DETAIL OF EXPENDITURES BUDGET BY DEPARTMENT WITH COMPARATIVE AMOUNTS", "SUMMARY OF EXPENDITURES BUDGET BY DEPARTMENT WITH COMPARATIVE AMOUNTS")</f>
        <v>DETAIL OF EXPENDITURES BUDGET BY DEPARTMENT WITH COMPARATIVE AMOUNTS</v>
      </c>
      <c r="B3" s="21"/>
      <c r="C3" s="21"/>
      <c r="D3" s="22"/>
      <c r="E3" s="22"/>
      <c r="F3" s="3"/>
      <c r="H3" s="5"/>
      <c r="I3" s="23"/>
      <c r="J3" s="15"/>
      <c r="L3" s="15"/>
      <c r="M3" s="10"/>
      <c r="N3" s="10"/>
      <c r="O3" s="10"/>
      <c r="P3" s="24"/>
      <c r="R3" s="24"/>
      <c r="V3" s="24"/>
      <c r="W3" s="24"/>
      <c r="X3" s="15"/>
      <c r="Y3" s="24"/>
      <c r="AA3" s="24"/>
      <c r="AB3" s="24" t="e">
        <f>+#REF!</f>
        <v>#REF!</v>
      </c>
      <c r="AC3" s="24"/>
      <c r="AD3" s="24" t="e">
        <f>+#REF!</f>
        <v>#REF!</v>
      </c>
      <c r="AE3" s="24"/>
      <c r="AF3" s="10" t="e">
        <f>+#REF!</f>
        <v>#REF!</v>
      </c>
      <c r="AG3" s="239" t="s">
        <v>2</v>
      </c>
      <c r="AH3" s="239"/>
      <c r="AI3" s="25"/>
      <c r="AJ3" s="25" t="e">
        <f>+#REF!</f>
        <v>#REF!</v>
      </c>
      <c r="AK3" s="24"/>
      <c r="AL3" s="16" t="s">
        <v>1</v>
      </c>
      <c r="AM3" s="25"/>
      <c r="AN3" s="25"/>
      <c r="AO3" s="25"/>
      <c r="AP3" s="25"/>
      <c r="AQ3" s="24"/>
      <c r="AR3" s="24" t="e">
        <f>+#REF!</f>
        <v>#REF!</v>
      </c>
      <c r="AS3" s="24"/>
      <c r="AT3" s="24" t="e">
        <f>+#REF!</f>
        <v>#REF!</v>
      </c>
      <c r="AU3" s="24"/>
      <c r="AV3" s="24" t="e">
        <f>+#REF!</f>
        <v>#REF!</v>
      </c>
      <c r="AW3" s="24"/>
      <c r="AX3" s="24" t="e">
        <f>+#REF!</f>
        <v>#REF!</v>
      </c>
      <c r="AY3" s="24"/>
      <c r="AZ3" s="24"/>
      <c r="BA3" s="24"/>
      <c r="BB3" s="24"/>
      <c r="BC3" s="24"/>
      <c r="BD3" s="26"/>
      <c r="BE3" s="26"/>
      <c r="BF3" s="26"/>
      <c r="BG3" s="26"/>
      <c r="BH3" s="27"/>
    </row>
    <row r="4" spans="1:62" ht="15">
      <c r="A4" s="28" t="s">
        <v>1070</v>
      </c>
      <c r="B4" s="29"/>
      <c r="C4" s="29"/>
      <c r="D4" s="28"/>
      <c r="E4" s="28"/>
      <c r="F4" s="3"/>
      <c r="H4" s="30"/>
      <c r="I4" s="31" t="e">
        <f>+#REF!</f>
        <v>#REF!</v>
      </c>
      <c r="J4" s="31" t="e">
        <f>+#REF!</f>
        <v>#REF!</v>
      </c>
      <c r="L4" s="31"/>
      <c r="M4" s="32"/>
      <c r="N4" s="33"/>
      <c r="O4" s="32"/>
      <c r="P4" s="33"/>
      <c r="R4" s="33"/>
      <c r="T4" s="33"/>
      <c r="X4" s="31"/>
      <c r="Z4" s="10"/>
      <c r="AB4" s="241"/>
      <c r="AC4" s="241"/>
      <c r="AD4" s="241"/>
      <c r="AE4" s="35"/>
      <c r="AF4" s="34"/>
      <c r="AG4" s="240"/>
      <c r="AH4" s="240"/>
      <c r="AI4" s="17"/>
      <c r="AJ4" s="16"/>
      <c r="AK4" s="24"/>
      <c r="AL4" s="16"/>
      <c r="AM4" s="17"/>
      <c r="AN4" s="31"/>
      <c r="AO4" s="31"/>
      <c r="AP4" s="31"/>
      <c r="AR4" s="34" t="s">
        <v>5</v>
      </c>
      <c r="AU4" s="35"/>
      <c r="AV4" s="34"/>
      <c r="AW4" s="34"/>
      <c r="AX4" s="34" t="s">
        <v>5</v>
      </c>
      <c r="AY4" s="34"/>
      <c r="AZ4" s="34"/>
      <c r="BA4" s="34"/>
      <c r="BB4" s="34"/>
      <c r="BC4" s="34"/>
      <c r="BD4" s="37"/>
      <c r="BE4" s="37"/>
      <c r="BF4" s="37"/>
      <c r="BG4" s="37"/>
      <c r="BH4" s="38"/>
    </row>
    <row r="5" spans="1:62" ht="15">
      <c r="B5" s="29"/>
      <c r="C5" s="29"/>
      <c r="D5" s="28"/>
      <c r="E5" s="28"/>
      <c r="G5" s="28"/>
      <c r="H5" s="5"/>
      <c r="I5" s="41" t="s">
        <v>6</v>
      </c>
      <c r="J5" s="42" t="s">
        <v>7</v>
      </c>
      <c r="L5" s="16" t="s">
        <v>8</v>
      </c>
      <c r="M5" s="16"/>
      <c r="N5" s="16" t="s">
        <v>9</v>
      </c>
      <c r="O5" s="16"/>
      <c r="P5" s="16" t="s">
        <v>9</v>
      </c>
      <c r="Q5" s="17"/>
      <c r="R5" s="43"/>
      <c r="S5" s="17"/>
      <c r="T5" s="16"/>
      <c r="U5" s="17"/>
      <c r="V5" s="16" t="s">
        <v>9</v>
      </c>
      <c r="X5" s="16" t="s">
        <v>9</v>
      </c>
      <c r="Z5" s="34" t="s">
        <v>1</v>
      </c>
      <c r="AB5" s="243" t="s">
        <v>10</v>
      </c>
      <c r="AC5" s="243"/>
      <c r="AD5" s="243"/>
      <c r="AE5" s="35"/>
      <c r="AF5" s="34" t="s">
        <v>1</v>
      </c>
      <c r="AG5" s="17"/>
      <c r="AH5" s="16" t="s">
        <v>11</v>
      </c>
      <c r="AI5" s="17"/>
      <c r="AJ5" s="16" t="s">
        <v>1</v>
      </c>
      <c r="AK5" s="24"/>
      <c r="AL5" s="43" t="s">
        <v>12</v>
      </c>
      <c r="AM5" s="17"/>
      <c r="AN5" s="16" t="s">
        <v>1</v>
      </c>
      <c r="AO5" s="45" t="s">
        <v>1</v>
      </c>
      <c r="AP5" s="46" t="s">
        <v>5</v>
      </c>
      <c r="AQ5" s="47"/>
      <c r="AR5" s="48" t="s">
        <v>10</v>
      </c>
      <c r="AS5" s="47"/>
      <c r="AT5" s="47"/>
      <c r="AU5" s="47"/>
      <c r="AV5" s="46" t="s">
        <v>5</v>
      </c>
      <c r="AW5" s="34"/>
      <c r="AX5" s="49" t="s">
        <v>3</v>
      </c>
      <c r="AY5" s="34"/>
      <c r="AZ5" s="16" t="s">
        <v>1054</v>
      </c>
      <c r="BA5" s="16" t="s">
        <v>1054</v>
      </c>
      <c r="BB5" s="34" t="s">
        <v>1069</v>
      </c>
      <c r="BC5" s="34"/>
      <c r="BD5" s="50" t="s">
        <v>13</v>
      </c>
      <c r="BE5" s="37"/>
      <c r="BF5" s="37"/>
      <c r="BG5" s="37"/>
      <c r="BH5" s="51"/>
    </row>
    <row r="6" spans="1:62">
      <c r="A6" s="242"/>
      <c r="B6" s="242"/>
      <c r="C6" s="242"/>
      <c r="D6" s="242"/>
      <c r="E6" s="242"/>
      <c r="F6" s="242"/>
      <c r="G6" s="22"/>
      <c r="H6" s="5"/>
      <c r="I6" s="52" t="s">
        <v>14</v>
      </c>
      <c r="J6" s="52" t="s">
        <v>14</v>
      </c>
      <c r="L6" s="43" t="s">
        <v>14</v>
      </c>
      <c r="M6" s="43"/>
      <c r="N6" s="43" t="s">
        <v>15</v>
      </c>
      <c r="O6" s="43"/>
      <c r="P6" s="43" t="s">
        <v>4</v>
      </c>
      <c r="Q6" s="17"/>
      <c r="R6" s="43" t="s">
        <v>4</v>
      </c>
      <c r="S6" s="43"/>
      <c r="T6" s="43" t="s">
        <v>16</v>
      </c>
      <c r="U6" s="43"/>
      <c r="V6" s="43" t="s">
        <v>4</v>
      </c>
      <c r="W6" s="43"/>
      <c r="X6" s="43" t="s">
        <v>14</v>
      </c>
      <c r="Y6" s="43"/>
      <c r="Z6" s="34" t="s">
        <v>17</v>
      </c>
      <c r="AA6" s="43"/>
      <c r="AB6" s="53" t="s">
        <v>16</v>
      </c>
      <c r="AC6" s="53"/>
      <c r="AD6" s="34"/>
      <c r="AE6" s="53"/>
      <c r="AF6" s="34" t="s">
        <v>17</v>
      </c>
      <c r="AG6" s="43" t="s">
        <v>16</v>
      </c>
      <c r="AH6" s="16" t="s">
        <v>18</v>
      </c>
      <c r="AI6" s="43"/>
      <c r="AJ6" s="16" t="s">
        <v>19</v>
      </c>
      <c r="AK6" s="24"/>
      <c r="AL6" s="43" t="s">
        <v>16</v>
      </c>
      <c r="AM6" s="43"/>
      <c r="AN6" s="43" t="s">
        <v>14</v>
      </c>
      <c r="AO6" s="45" t="s">
        <v>20</v>
      </c>
      <c r="AP6" s="43" t="s">
        <v>14</v>
      </c>
      <c r="AQ6" s="54"/>
      <c r="AR6" s="54" t="s">
        <v>16</v>
      </c>
      <c r="AS6" s="54"/>
      <c r="AT6" s="46"/>
      <c r="AU6" s="54"/>
      <c r="AV6" s="46" t="s">
        <v>19</v>
      </c>
      <c r="AW6" s="34"/>
      <c r="AX6" s="55" t="s">
        <v>16</v>
      </c>
      <c r="AY6" s="34"/>
      <c r="AZ6" s="16" t="s">
        <v>17</v>
      </c>
      <c r="BA6" s="16" t="s">
        <v>17</v>
      </c>
      <c r="BB6" s="34" t="s">
        <v>19</v>
      </c>
      <c r="BC6" s="56"/>
      <c r="BD6" s="50" t="s">
        <v>21</v>
      </c>
      <c r="BE6" s="37"/>
      <c r="BF6" s="37"/>
      <c r="BG6" s="37"/>
      <c r="BH6" s="57"/>
    </row>
    <row r="7" spans="1:62" ht="15">
      <c r="A7" s="237"/>
      <c r="B7" s="237"/>
      <c r="C7" s="237"/>
      <c r="D7" s="237"/>
      <c r="E7" s="237"/>
      <c r="F7" s="237"/>
      <c r="G7" s="59">
        <v>1</v>
      </c>
      <c r="H7" s="60"/>
      <c r="I7" s="52" t="s">
        <v>22</v>
      </c>
      <c r="J7" s="52" t="s">
        <v>22</v>
      </c>
      <c r="L7" s="43" t="s">
        <v>22</v>
      </c>
      <c r="M7" s="43"/>
      <c r="N7" s="43" t="s">
        <v>23</v>
      </c>
      <c r="O7" s="43"/>
      <c r="P7" s="43" t="s">
        <v>24</v>
      </c>
      <c r="Q7" s="43"/>
      <c r="R7" s="43" t="s">
        <v>24</v>
      </c>
      <c r="S7" s="43"/>
      <c r="T7" s="43" t="s">
        <v>25</v>
      </c>
      <c r="U7" s="43"/>
      <c r="V7" s="43" t="s">
        <v>24</v>
      </c>
      <c r="W7" s="43"/>
      <c r="X7" s="43" t="s">
        <v>22</v>
      </c>
      <c r="Y7" s="43"/>
      <c r="Z7" s="53" t="s">
        <v>15</v>
      </c>
      <c r="AA7" s="43"/>
      <c r="AB7" s="53" t="s">
        <v>26</v>
      </c>
      <c r="AC7" s="53"/>
      <c r="AD7" s="53"/>
      <c r="AE7" s="53"/>
      <c r="AF7" s="53" t="s">
        <v>4</v>
      </c>
      <c r="AG7" s="43" t="s">
        <v>26</v>
      </c>
      <c r="AH7" s="43" t="s">
        <v>27</v>
      </c>
      <c r="AI7" s="43"/>
      <c r="AJ7" s="43" t="s">
        <v>4</v>
      </c>
      <c r="AK7" s="24"/>
      <c r="AL7" s="43" t="s">
        <v>26</v>
      </c>
      <c r="AM7" s="43"/>
      <c r="AN7" s="43" t="s">
        <v>22</v>
      </c>
      <c r="AO7" s="61" t="s">
        <v>22</v>
      </c>
      <c r="AP7" s="43" t="s">
        <v>22</v>
      </c>
      <c r="AQ7" s="54"/>
      <c r="AR7" s="54" t="s">
        <v>26</v>
      </c>
      <c r="AS7" s="54"/>
      <c r="AT7" s="54"/>
      <c r="AU7" s="54"/>
      <c r="AV7" s="54" t="s">
        <v>4</v>
      </c>
      <c r="AW7" s="53"/>
      <c r="AX7" s="55" t="s">
        <v>26</v>
      </c>
      <c r="AY7" s="53"/>
      <c r="AZ7" s="43" t="s">
        <v>15</v>
      </c>
      <c r="BA7" s="43" t="s">
        <v>4</v>
      </c>
      <c r="BB7" s="34" t="s">
        <v>15</v>
      </c>
      <c r="BC7" s="56"/>
      <c r="BD7" s="50" t="s">
        <v>28</v>
      </c>
      <c r="BE7" s="62"/>
      <c r="BF7" s="62"/>
      <c r="BG7" s="62"/>
      <c r="BH7" s="57"/>
      <c r="BI7" s="63"/>
    </row>
    <row r="8" spans="1:62" ht="15">
      <c r="A8" s="237" t="s">
        <v>29</v>
      </c>
      <c r="B8" s="237"/>
      <c r="C8" s="237"/>
      <c r="D8" s="237"/>
      <c r="E8" s="237"/>
      <c r="F8" s="64" t="s">
        <v>30</v>
      </c>
      <c r="G8" s="64" t="s">
        <v>31</v>
      </c>
      <c r="H8" s="60"/>
      <c r="I8" s="65" t="s">
        <v>32</v>
      </c>
      <c r="J8" s="65" t="s">
        <v>32</v>
      </c>
      <c r="L8" s="66" t="s">
        <v>32</v>
      </c>
      <c r="M8" s="36"/>
      <c r="N8" s="36" t="s">
        <v>2</v>
      </c>
      <c r="O8" s="36"/>
      <c r="P8" s="36" t="s">
        <v>33</v>
      </c>
      <c r="Q8" s="36"/>
      <c r="R8" s="36" t="s">
        <v>34</v>
      </c>
      <c r="S8" s="36"/>
      <c r="T8" s="36" t="s">
        <v>35</v>
      </c>
      <c r="U8" s="36"/>
      <c r="V8" s="36" t="s">
        <v>36</v>
      </c>
      <c r="W8" s="36"/>
      <c r="X8" s="66" t="s">
        <v>32</v>
      </c>
      <c r="Y8" s="36"/>
      <c r="Z8" s="44" t="s">
        <v>24</v>
      </c>
      <c r="AA8" s="36"/>
      <c r="AB8" s="44" t="s">
        <v>35</v>
      </c>
      <c r="AC8" s="44"/>
      <c r="AD8" s="44" t="s">
        <v>37</v>
      </c>
      <c r="AE8" s="44"/>
      <c r="AF8" s="44" t="s">
        <v>38</v>
      </c>
      <c r="AG8" s="36" t="s">
        <v>35</v>
      </c>
      <c r="AH8" s="36" t="s">
        <v>39</v>
      </c>
      <c r="AI8" s="36"/>
      <c r="AJ8" s="36" t="s">
        <v>40</v>
      </c>
      <c r="AK8" s="24"/>
      <c r="AL8" s="36" t="s">
        <v>35</v>
      </c>
      <c r="AM8" s="36"/>
      <c r="AN8" s="36" t="s">
        <v>32</v>
      </c>
      <c r="AO8" s="67" t="s">
        <v>32</v>
      </c>
      <c r="AP8" s="36" t="s">
        <v>32</v>
      </c>
      <c r="AQ8" s="48"/>
      <c r="AR8" s="48" t="s">
        <v>35</v>
      </c>
      <c r="AS8" s="48"/>
      <c r="AT8" s="48" t="s">
        <v>37</v>
      </c>
      <c r="AU8" s="48"/>
      <c r="AV8" s="48" t="s">
        <v>38</v>
      </c>
      <c r="AW8" s="44"/>
      <c r="AX8" s="49" t="s">
        <v>35</v>
      </c>
      <c r="AY8" s="44"/>
      <c r="AZ8" s="36" t="s">
        <v>2</v>
      </c>
      <c r="BA8" s="36" t="s">
        <v>40</v>
      </c>
      <c r="BB8" s="44" t="s">
        <v>2</v>
      </c>
      <c r="BC8" s="56"/>
      <c r="BD8" s="50" t="s">
        <v>41</v>
      </c>
      <c r="BE8" s="68"/>
      <c r="BF8" s="68"/>
      <c r="BG8" s="68"/>
      <c r="BH8" s="69"/>
    </row>
    <row r="9" spans="1:62" ht="15">
      <c r="A9" s="58"/>
      <c r="B9" s="58"/>
      <c r="C9" s="58"/>
      <c r="D9" s="64"/>
      <c r="E9" s="64"/>
      <c r="F9" s="64"/>
      <c r="G9" s="70"/>
      <c r="H9" s="60"/>
      <c r="J9" s="71"/>
      <c r="AK9" s="24"/>
      <c r="BA9" s="34"/>
      <c r="BB9" s="34"/>
      <c r="BC9" s="56"/>
      <c r="BH9" s="72">
        <v>2</v>
      </c>
    </row>
    <row r="10" spans="1:62" ht="15" outlineLevel="1">
      <c r="A10" s="75" t="s">
        <v>76</v>
      </c>
      <c r="B10" s="77"/>
      <c r="C10" s="77"/>
      <c r="D10" s="90"/>
      <c r="E10" s="90"/>
      <c r="F10" s="3"/>
      <c r="H10" s="87"/>
      <c r="L10" s="44"/>
      <c r="AK10" s="85"/>
      <c r="BA10" s="83"/>
      <c r="BB10" s="83"/>
      <c r="BC10" s="56"/>
    </row>
    <row r="11" spans="1:62" ht="20.100000000000001" customHeight="1" outlineLevel="1">
      <c r="A11" s="77" t="s">
        <v>43</v>
      </c>
      <c r="B11" s="77" t="s">
        <v>77</v>
      </c>
      <c r="C11" s="77" t="s">
        <v>1074</v>
      </c>
      <c r="D11" s="78" t="s">
        <v>46</v>
      </c>
      <c r="E11" s="78" t="str">
        <f>+D11</f>
        <v>000</v>
      </c>
      <c r="F11" s="79">
        <v>611116</v>
      </c>
      <c r="G11" s="102" t="s">
        <v>78</v>
      </c>
      <c r="H11" s="87"/>
      <c r="I11" s="82">
        <v>67078</v>
      </c>
      <c r="J11" s="82">
        <v>67220</v>
      </c>
      <c r="L11" s="83">
        <v>73097</v>
      </c>
      <c r="M11" s="83"/>
      <c r="N11" s="83">
        <v>81075</v>
      </c>
      <c r="O11" s="83"/>
      <c r="P11" s="83">
        <v>81075</v>
      </c>
      <c r="Q11" s="83"/>
      <c r="R11" s="83">
        <v>82775</v>
      </c>
      <c r="S11" s="83"/>
      <c r="T11" s="83">
        <v>0</v>
      </c>
      <c r="U11" s="83"/>
      <c r="V11" s="83">
        <v>82775</v>
      </c>
      <c r="W11" s="83"/>
      <c r="X11" s="83">
        <v>82775</v>
      </c>
      <c r="Y11" s="83"/>
      <c r="Z11" s="83">
        <v>82639</v>
      </c>
      <c r="AA11" s="83"/>
      <c r="AB11" s="83">
        <v>0</v>
      </c>
      <c r="AC11" s="83"/>
      <c r="AD11" s="83"/>
      <c r="AE11" s="83"/>
      <c r="AF11" s="84">
        <f t="shared" ref="AF11:AF17" si="0">SUM(Z11:AE11)</f>
        <v>82639</v>
      </c>
      <c r="AG11" s="83">
        <v>0</v>
      </c>
      <c r="AH11" s="83">
        <v>1250</v>
      </c>
      <c r="AI11" s="83"/>
      <c r="AJ11" s="84">
        <f t="shared" ref="AJ11:AJ19" si="1">SUM(AE11:AI11)</f>
        <v>83889</v>
      </c>
      <c r="AK11" s="85"/>
      <c r="AL11" s="83">
        <v>0</v>
      </c>
      <c r="AM11" s="83"/>
      <c r="AN11" s="86">
        <v>83888.960000000006</v>
      </c>
      <c r="AO11" s="86">
        <v>0</v>
      </c>
      <c r="AP11" s="86">
        <v>82639</v>
      </c>
      <c r="AQ11" s="83"/>
      <c r="AR11" s="83">
        <v>0</v>
      </c>
      <c r="AS11" s="83"/>
      <c r="AT11" s="83">
        <v>0</v>
      </c>
      <c r="AU11" s="83"/>
      <c r="AV11" s="84">
        <f t="shared" ref="AV11:AV19" si="2">SUM(AP11:AU11)</f>
        <v>82639</v>
      </c>
      <c r="AW11" s="84"/>
      <c r="AX11" s="84">
        <v>0</v>
      </c>
      <c r="AY11" s="84"/>
      <c r="AZ11" s="84">
        <v>82639</v>
      </c>
      <c r="BA11" s="84">
        <v>82639</v>
      </c>
      <c r="BB11" s="214"/>
      <c r="BC11" s="56"/>
      <c r="BD11" s="84">
        <f t="shared" ref="BD11:BD20" si="3">+AP11-AN11</f>
        <v>-1249.9600000000064</v>
      </c>
      <c r="BE11" s="84"/>
      <c r="BF11" s="84"/>
      <c r="BG11" s="84"/>
      <c r="BH11" s="72">
        <v>1</v>
      </c>
      <c r="BJ11">
        <v>1</v>
      </c>
    </row>
    <row r="12" spans="1:62" ht="20.100000000000001" customHeight="1" outlineLevel="1">
      <c r="A12" s="77" t="s">
        <v>43</v>
      </c>
      <c r="B12" s="77" t="s">
        <v>79</v>
      </c>
      <c r="C12" s="77" t="str">
        <f>+C11</f>
        <v>AC·</v>
      </c>
      <c r="D12" s="78" t="s">
        <v>46</v>
      </c>
      <c r="E12" s="78" t="str">
        <f t="shared" ref="E12:E19" si="4">+D12</f>
        <v>000</v>
      </c>
      <c r="F12" s="3">
        <v>611411</v>
      </c>
      <c r="G12" s="102" t="s">
        <v>80</v>
      </c>
      <c r="H12" s="87"/>
      <c r="I12" s="13">
        <v>21390</v>
      </c>
      <c r="J12" s="13">
        <v>20949</v>
      </c>
      <c r="L12" s="56">
        <v>24517</v>
      </c>
      <c r="M12" s="56"/>
      <c r="N12" s="56">
        <v>23442</v>
      </c>
      <c r="O12" s="56"/>
      <c r="P12" s="56">
        <v>23442</v>
      </c>
      <c r="Q12" s="56"/>
      <c r="R12" s="56">
        <v>25392</v>
      </c>
      <c r="S12" s="56"/>
      <c r="T12" s="56">
        <v>0</v>
      </c>
      <c r="U12" s="56"/>
      <c r="V12" s="56">
        <v>25392</v>
      </c>
      <c r="W12" s="56"/>
      <c r="X12" s="56">
        <v>25391.96</v>
      </c>
      <c r="Y12" s="56"/>
      <c r="Z12" s="56">
        <v>24071</v>
      </c>
      <c r="AA12" s="56"/>
      <c r="AB12" s="56">
        <v>0</v>
      </c>
      <c r="AC12" s="56"/>
      <c r="AD12" s="56"/>
      <c r="AE12" s="56"/>
      <c r="AF12" s="56">
        <f t="shared" si="0"/>
        <v>24071</v>
      </c>
      <c r="AG12" s="56">
        <v>0</v>
      </c>
      <c r="AH12" s="56">
        <v>2250</v>
      </c>
      <c r="AI12" s="56"/>
      <c r="AJ12" s="56">
        <f t="shared" si="1"/>
        <v>26321</v>
      </c>
      <c r="AK12" s="85"/>
      <c r="AL12" s="56">
        <v>0</v>
      </c>
      <c r="AM12" s="56"/>
      <c r="AN12" s="88">
        <v>26321</v>
      </c>
      <c r="AO12" s="88">
        <v>0</v>
      </c>
      <c r="AP12" s="88">
        <v>24473</v>
      </c>
      <c r="AQ12" s="56"/>
      <c r="AR12" s="56">
        <v>0</v>
      </c>
      <c r="AS12" s="56"/>
      <c r="AT12" s="56">
        <v>0</v>
      </c>
      <c r="AU12" s="56"/>
      <c r="AV12" s="56">
        <f t="shared" si="2"/>
        <v>24473</v>
      </c>
      <c r="AW12" s="56"/>
      <c r="AX12" s="56">
        <v>0</v>
      </c>
      <c r="AY12" s="56"/>
      <c r="AZ12" s="56">
        <v>24473</v>
      </c>
      <c r="BA12" s="56">
        <v>24861</v>
      </c>
      <c r="BB12" s="214"/>
      <c r="BC12" s="56"/>
      <c r="BD12" s="84">
        <f t="shared" si="3"/>
        <v>-1848</v>
      </c>
      <c r="BE12" s="56"/>
      <c r="BF12" s="56"/>
      <c r="BG12" s="56"/>
      <c r="BH12" s="72">
        <v>1</v>
      </c>
      <c r="BJ12">
        <v>1</v>
      </c>
    </row>
    <row r="13" spans="1:62" ht="20.100000000000001" customHeight="1" outlineLevel="1">
      <c r="A13" s="77" t="s">
        <v>43</v>
      </c>
      <c r="B13" s="77" t="s">
        <v>77</v>
      </c>
      <c r="C13" s="77" t="str">
        <f t="shared" ref="C13:C19" si="5">+C12</f>
        <v>AC·</v>
      </c>
      <c r="D13" s="78" t="s">
        <v>46</v>
      </c>
      <c r="E13" s="78" t="str">
        <f t="shared" si="4"/>
        <v>000</v>
      </c>
      <c r="F13" s="3">
        <v>611812</v>
      </c>
      <c r="G13" s="102" t="s">
        <v>81</v>
      </c>
      <c r="H13" s="87"/>
      <c r="I13" s="13">
        <v>129177</v>
      </c>
      <c r="J13" s="13">
        <v>130466</v>
      </c>
      <c r="L13" s="56">
        <v>148684</v>
      </c>
      <c r="M13" s="56"/>
      <c r="N13" s="56">
        <v>157530</v>
      </c>
      <c r="O13" s="56"/>
      <c r="P13" s="56">
        <v>157530</v>
      </c>
      <c r="Q13" s="56"/>
      <c r="R13" s="56">
        <v>162630</v>
      </c>
      <c r="S13" s="56"/>
      <c r="T13" s="56">
        <v>0</v>
      </c>
      <c r="U13" s="56"/>
      <c r="V13" s="56">
        <v>162630</v>
      </c>
      <c r="W13" s="56"/>
      <c r="X13" s="56">
        <v>162628.92000000001</v>
      </c>
      <c r="Y13" s="56"/>
      <c r="Z13" s="56">
        <f>161970+46018</f>
        <v>207988</v>
      </c>
      <c r="AA13" s="56"/>
      <c r="AB13" s="56">
        <v>0</v>
      </c>
      <c r="AC13" s="56"/>
      <c r="AD13" s="56"/>
      <c r="AE13" s="56"/>
      <c r="AF13" s="56">
        <f t="shared" si="0"/>
        <v>207988</v>
      </c>
      <c r="AG13" s="104">
        <v>-11250</v>
      </c>
      <c r="AH13" s="56">
        <v>5000</v>
      </c>
      <c r="AI13" s="56"/>
      <c r="AJ13" s="56">
        <f t="shared" si="1"/>
        <v>201738</v>
      </c>
      <c r="AK13" s="85"/>
      <c r="AL13" s="56">
        <v>0</v>
      </c>
      <c r="AM13" s="56"/>
      <c r="AN13" s="88">
        <v>201735.98</v>
      </c>
      <c r="AO13" s="88">
        <v>0</v>
      </c>
      <c r="AP13" s="88">
        <v>208445.88</v>
      </c>
      <c r="AQ13" s="56"/>
      <c r="AR13" s="56">
        <v>0</v>
      </c>
      <c r="AS13" s="56"/>
      <c r="AT13" s="56">
        <v>0</v>
      </c>
      <c r="AU13" s="56"/>
      <c r="AV13" s="56">
        <f t="shared" si="2"/>
        <v>208445.88</v>
      </c>
      <c r="AW13" s="56"/>
      <c r="AX13" s="56">
        <v>0</v>
      </c>
      <c r="AY13" s="56"/>
      <c r="AZ13" s="56">
        <v>209660</v>
      </c>
      <c r="BA13" s="56">
        <v>210091</v>
      </c>
      <c r="BB13" s="214"/>
      <c r="BC13" s="56"/>
      <c r="BD13" s="84">
        <f t="shared" si="3"/>
        <v>6709.8999999999942</v>
      </c>
      <c r="BE13" s="56"/>
      <c r="BF13" s="56"/>
      <c r="BG13" s="56"/>
      <c r="BH13" s="72">
        <v>1</v>
      </c>
      <c r="BJ13">
        <v>1</v>
      </c>
    </row>
    <row r="14" spans="1:62" ht="20.100000000000001" customHeight="1" outlineLevel="1">
      <c r="A14" s="77" t="s">
        <v>43</v>
      </c>
      <c r="B14" s="77" t="s">
        <v>77</v>
      </c>
      <c r="C14" s="77" t="str">
        <f t="shared" si="5"/>
        <v>AC·</v>
      </c>
      <c r="D14" s="78" t="s">
        <v>46</v>
      </c>
      <c r="E14" s="78" t="str">
        <f t="shared" si="4"/>
        <v>000</v>
      </c>
      <c r="F14" s="3">
        <v>653051</v>
      </c>
      <c r="G14" s="102" t="s">
        <v>71</v>
      </c>
      <c r="H14" s="87"/>
      <c r="I14" s="13">
        <v>77</v>
      </c>
      <c r="J14" s="13">
        <v>76</v>
      </c>
      <c r="L14" s="56">
        <v>72</v>
      </c>
      <c r="M14" s="56"/>
      <c r="N14" s="56">
        <v>155</v>
      </c>
      <c r="O14" s="56"/>
      <c r="P14" s="56">
        <v>155</v>
      </c>
      <c r="Q14" s="56"/>
      <c r="R14" s="56">
        <v>155</v>
      </c>
      <c r="S14" s="56"/>
      <c r="T14" s="56">
        <v>0</v>
      </c>
      <c r="U14" s="56"/>
      <c r="V14" s="56">
        <v>155</v>
      </c>
      <c r="W14" s="56"/>
      <c r="X14" s="56">
        <v>56.99</v>
      </c>
      <c r="Y14" s="56"/>
      <c r="Z14" s="56">
        <v>155</v>
      </c>
      <c r="AA14" s="56"/>
      <c r="AB14" s="56"/>
      <c r="AC14" s="56"/>
      <c r="AD14" s="56"/>
      <c r="AE14" s="56"/>
      <c r="AF14" s="56">
        <f t="shared" si="0"/>
        <v>155</v>
      </c>
      <c r="AG14" s="56">
        <v>0</v>
      </c>
      <c r="AH14" s="56">
        <v>0</v>
      </c>
      <c r="AI14" s="56"/>
      <c r="AJ14" s="56">
        <f t="shared" si="1"/>
        <v>155</v>
      </c>
      <c r="AK14" s="85"/>
      <c r="AL14" s="56">
        <v>0</v>
      </c>
      <c r="AM14" s="56"/>
      <c r="AN14" s="88">
        <v>27.1</v>
      </c>
      <c r="AO14" s="88">
        <v>0</v>
      </c>
      <c r="AP14" s="88">
        <v>56.76</v>
      </c>
      <c r="AQ14" s="56"/>
      <c r="AR14" s="56">
        <v>0</v>
      </c>
      <c r="AS14" s="56"/>
      <c r="AT14" s="56">
        <v>0</v>
      </c>
      <c r="AU14" s="56"/>
      <c r="AV14" s="56">
        <f t="shared" si="2"/>
        <v>56.76</v>
      </c>
      <c r="AW14" s="56"/>
      <c r="AX14" s="56">
        <v>0</v>
      </c>
      <c r="AY14" s="56"/>
      <c r="AZ14" s="56">
        <v>110</v>
      </c>
      <c r="BA14" s="56">
        <v>110</v>
      </c>
      <c r="BB14" s="214"/>
      <c r="BC14" s="56"/>
      <c r="BD14" s="84">
        <f t="shared" si="3"/>
        <v>29.659999999999997</v>
      </c>
      <c r="BE14" s="56"/>
      <c r="BF14" s="56"/>
      <c r="BG14" s="56"/>
      <c r="BH14" s="72"/>
    </row>
    <row r="15" spans="1:62" ht="20.100000000000001" customHeight="1" outlineLevel="1">
      <c r="A15" s="77" t="s">
        <v>43</v>
      </c>
      <c r="B15" s="77" t="s">
        <v>77</v>
      </c>
      <c r="C15" s="77" t="str">
        <f t="shared" si="5"/>
        <v>AC·</v>
      </c>
      <c r="D15" s="78" t="s">
        <v>46</v>
      </c>
      <c r="E15" s="78" t="str">
        <f t="shared" si="4"/>
        <v>000</v>
      </c>
      <c r="F15" s="3">
        <v>658211</v>
      </c>
      <c r="G15" s="102" t="s">
        <v>72</v>
      </c>
      <c r="H15" s="87"/>
      <c r="I15" s="13">
        <v>2973</v>
      </c>
      <c r="J15" s="13">
        <v>1831</v>
      </c>
      <c r="L15" s="56">
        <v>1996</v>
      </c>
      <c r="M15" s="56"/>
      <c r="N15" s="56">
        <v>3900</v>
      </c>
      <c r="O15" s="56"/>
      <c r="P15" s="56">
        <v>3900</v>
      </c>
      <c r="Q15" s="56"/>
      <c r="R15" s="56">
        <v>3900</v>
      </c>
      <c r="S15" s="56"/>
      <c r="T15" s="56">
        <v>0</v>
      </c>
      <c r="U15" s="56"/>
      <c r="V15" s="56">
        <v>3900</v>
      </c>
      <c r="W15" s="56"/>
      <c r="X15" s="56">
        <v>3729.29</v>
      </c>
      <c r="Y15" s="56"/>
      <c r="Z15" s="56">
        <v>3900</v>
      </c>
      <c r="AA15" s="56"/>
      <c r="AB15" s="56"/>
      <c r="AC15" s="56"/>
      <c r="AD15" s="56"/>
      <c r="AE15" s="56"/>
      <c r="AF15" s="56">
        <f t="shared" si="0"/>
        <v>3900</v>
      </c>
      <c r="AG15" s="56">
        <v>0</v>
      </c>
      <c r="AH15" s="56">
        <v>0</v>
      </c>
      <c r="AI15" s="56"/>
      <c r="AJ15" s="56">
        <f t="shared" si="1"/>
        <v>3900</v>
      </c>
      <c r="AK15" s="85"/>
      <c r="AL15" s="56">
        <v>0</v>
      </c>
      <c r="AM15" s="56"/>
      <c r="AN15" s="88">
        <v>3499.98</v>
      </c>
      <c r="AO15" s="88">
        <v>0</v>
      </c>
      <c r="AP15" s="88">
        <v>2561.5</v>
      </c>
      <c r="AQ15" s="56"/>
      <c r="AR15" s="56">
        <v>0</v>
      </c>
      <c r="AS15" s="56"/>
      <c r="AT15" s="56">
        <v>0</v>
      </c>
      <c r="AU15" s="56"/>
      <c r="AV15" s="56">
        <f t="shared" si="2"/>
        <v>2561.5</v>
      </c>
      <c r="AW15" s="56"/>
      <c r="AX15" s="56">
        <v>0</v>
      </c>
      <c r="AY15" s="56"/>
      <c r="AZ15" s="56">
        <v>4200</v>
      </c>
      <c r="BA15" s="56">
        <v>4200</v>
      </c>
      <c r="BB15" s="214"/>
      <c r="BC15" s="56"/>
      <c r="BD15" s="84">
        <f t="shared" si="3"/>
        <v>-938.48</v>
      </c>
      <c r="BE15" s="56"/>
      <c r="BF15" s="56"/>
      <c r="BG15" s="56"/>
      <c r="BH15" s="72"/>
    </row>
    <row r="16" spans="1:62" ht="20.100000000000001" customHeight="1" outlineLevel="1">
      <c r="A16" s="77" t="s">
        <v>43</v>
      </c>
      <c r="B16" s="77" t="s">
        <v>77</v>
      </c>
      <c r="C16" s="77" t="str">
        <f t="shared" si="5"/>
        <v>AC·</v>
      </c>
      <c r="D16" s="78" t="s">
        <v>46</v>
      </c>
      <c r="E16" s="78" t="str">
        <f t="shared" si="4"/>
        <v>000</v>
      </c>
      <c r="F16" s="3">
        <v>661001</v>
      </c>
      <c r="G16" s="102" t="s">
        <v>73</v>
      </c>
      <c r="H16" s="87"/>
      <c r="I16" s="13">
        <v>1870</v>
      </c>
      <c r="J16" s="13">
        <v>1223</v>
      </c>
      <c r="L16" s="56">
        <v>995</v>
      </c>
      <c r="M16" s="56"/>
      <c r="N16" s="56">
        <v>2300</v>
      </c>
      <c r="O16" s="56"/>
      <c r="P16" s="56">
        <v>2300</v>
      </c>
      <c r="Q16" s="56"/>
      <c r="R16" s="56">
        <v>6543</v>
      </c>
      <c r="S16" s="56"/>
      <c r="T16" s="56">
        <v>0</v>
      </c>
      <c r="U16" s="56"/>
      <c r="V16" s="56">
        <v>6543</v>
      </c>
      <c r="W16" s="56"/>
      <c r="X16" s="56">
        <v>1966.84</v>
      </c>
      <c r="Y16" s="56"/>
      <c r="Z16" s="56">
        <v>2300</v>
      </c>
      <c r="AA16" s="56"/>
      <c r="AB16" s="56"/>
      <c r="AC16" s="56"/>
      <c r="AD16" s="56"/>
      <c r="AE16" s="56"/>
      <c r="AF16" s="56">
        <f t="shared" si="0"/>
        <v>2300</v>
      </c>
      <c r="AG16" s="56">
        <v>0</v>
      </c>
      <c r="AH16" s="56">
        <v>0</v>
      </c>
      <c r="AI16" s="56"/>
      <c r="AJ16" s="56">
        <f t="shared" si="1"/>
        <v>2300</v>
      </c>
      <c r="AK16" s="85"/>
      <c r="AL16" s="56">
        <v>0</v>
      </c>
      <c r="AM16" s="56"/>
      <c r="AN16" s="88">
        <v>2148.09</v>
      </c>
      <c r="AO16" s="88">
        <v>0</v>
      </c>
      <c r="AP16" s="88">
        <v>2353.38</v>
      </c>
      <c r="AQ16" s="56"/>
      <c r="AR16" s="56">
        <v>0</v>
      </c>
      <c r="AS16" s="56"/>
      <c r="AT16" s="56">
        <v>0</v>
      </c>
      <c r="AU16" s="56"/>
      <c r="AV16" s="56">
        <f t="shared" si="2"/>
        <v>2353.38</v>
      </c>
      <c r="AW16" s="56"/>
      <c r="AX16" s="56">
        <v>0</v>
      </c>
      <c r="AY16" s="56"/>
      <c r="AZ16" s="56">
        <v>3000</v>
      </c>
      <c r="BA16" s="56">
        <v>3000</v>
      </c>
      <c r="BB16" s="214"/>
      <c r="BC16" s="56"/>
      <c r="BD16" s="84">
        <f t="shared" si="3"/>
        <v>205.28999999999996</v>
      </c>
      <c r="BE16" s="56"/>
      <c r="BF16" s="56"/>
      <c r="BG16" s="56"/>
      <c r="BH16" s="72"/>
    </row>
    <row r="17" spans="1:60" ht="20.100000000000001" customHeight="1" outlineLevel="1">
      <c r="A17" s="77" t="s">
        <v>43</v>
      </c>
      <c r="B17" s="77" t="s">
        <v>77</v>
      </c>
      <c r="C17" s="77" t="str">
        <f t="shared" si="5"/>
        <v>AC·</v>
      </c>
      <c r="D17" s="78" t="s">
        <v>46</v>
      </c>
      <c r="E17" s="78" t="str">
        <f t="shared" si="4"/>
        <v>000</v>
      </c>
      <c r="F17" s="3">
        <v>661011</v>
      </c>
      <c r="G17" s="102" t="s">
        <v>82</v>
      </c>
      <c r="H17" s="87"/>
      <c r="I17" s="13">
        <v>3097</v>
      </c>
      <c r="J17" s="13">
        <v>14377</v>
      </c>
      <c r="L17" s="56">
        <v>3177</v>
      </c>
      <c r="M17" s="56"/>
      <c r="N17" s="56">
        <v>9000</v>
      </c>
      <c r="O17" s="56"/>
      <c r="P17" s="56">
        <v>29000</v>
      </c>
      <c r="Q17" s="56"/>
      <c r="R17" s="56">
        <v>24757</v>
      </c>
      <c r="S17" s="56"/>
      <c r="T17" s="56">
        <v>0</v>
      </c>
      <c r="U17" s="56"/>
      <c r="V17" s="56">
        <f>24757-V18</f>
        <v>20514</v>
      </c>
      <c r="W17" s="56"/>
      <c r="X17" s="56">
        <v>23262</v>
      </c>
      <c r="Y17" s="56"/>
      <c r="Z17" s="56">
        <v>14000</v>
      </c>
      <c r="AA17" s="56"/>
      <c r="AB17" s="56"/>
      <c r="AC17" s="56"/>
      <c r="AD17" s="56"/>
      <c r="AE17" s="56"/>
      <c r="AF17" s="56">
        <f t="shared" si="0"/>
        <v>14000</v>
      </c>
      <c r="AG17" s="56">
        <v>-4921</v>
      </c>
      <c r="AH17" s="56">
        <v>0</v>
      </c>
      <c r="AI17" s="56"/>
      <c r="AJ17" s="56">
        <f t="shared" si="1"/>
        <v>9079</v>
      </c>
      <c r="AK17" s="85"/>
      <c r="AL17" s="56">
        <v>-2000</v>
      </c>
      <c r="AM17" s="56"/>
      <c r="AN17" s="88">
        <v>3348</v>
      </c>
      <c r="AO17" s="88">
        <v>0</v>
      </c>
      <c r="AP17" s="88">
        <v>5206.5</v>
      </c>
      <c r="AQ17" s="56"/>
      <c r="AR17" s="56">
        <v>0</v>
      </c>
      <c r="AS17" s="56"/>
      <c r="AT17" s="56">
        <v>0</v>
      </c>
      <c r="AU17" s="56"/>
      <c r="AV17" s="56">
        <f t="shared" si="2"/>
        <v>5206.5</v>
      </c>
      <c r="AW17" s="56"/>
      <c r="AX17" s="56">
        <v>0</v>
      </c>
      <c r="AY17" s="56"/>
      <c r="AZ17" s="56">
        <v>5100</v>
      </c>
      <c r="BA17" s="56">
        <v>5100</v>
      </c>
      <c r="BB17" s="214"/>
      <c r="BC17" s="56"/>
      <c r="BD17" s="84">
        <f t="shared" si="3"/>
        <v>1858.5</v>
      </c>
      <c r="BE17" s="56"/>
      <c r="BF17" s="56"/>
      <c r="BG17" s="56"/>
      <c r="BH17" s="72"/>
    </row>
    <row r="18" spans="1:60" ht="20.100000000000001" customHeight="1" outlineLevel="1">
      <c r="A18" s="77" t="s">
        <v>43</v>
      </c>
      <c r="B18" s="77" t="s">
        <v>77</v>
      </c>
      <c r="C18" s="77" t="str">
        <f t="shared" si="5"/>
        <v>AC·</v>
      </c>
      <c r="D18" s="78" t="s">
        <v>46</v>
      </c>
      <c r="E18" s="78" t="str">
        <f t="shared" si="4"/>
        <v>000</v>
      </c>
      <c r="F18" s="3">
        <v>661025</v>
      </c>
      <c r="G18" s="102" t="s">
        <v>83</v>
      </c>
      <c r="H18" s="87"/>
      <c r="I18" s="13"/>
      <c r="J18" s="13"/>
      <c r="L18" s="56">
        <v>0</v>
      </c>
      <c r="M18" s="56"/>
      <c r="N18" s="56">
        <v>0</v>
      </c>
      <c r="O18" s="56"/>
      <c r="P18" s="56"/>
      <c r="Q18" s="56"/>
      <c r="R18" s="56"/>
      <c r="S18" s="56"/>
      <c r="T18" s="56"/>
      <c r="U18" s="56"/>
      <c r="V18" s="56">
        <v>4243</v>
      </c>
      <c r="W18" s="56"/>
      <c r="X18" s="56">
        <v>4242.7</v>
      </c>
      <c r="Y18" s="56"/>
      <c r="Z18" s="56">
        <v>0</v>
      </c>
      <c r="AA18" s="56"/>
      <c r="AB18" s="56"/>
      <c r="AC18" s="56"/>
      <c r="AD18" s="56"/>
      <c r="AE18" s="56"/>
      <c r="AF18" s="56">
        <v>0</v>
      </c>
      <c r="AG18" s="56">
        <v>4921</v>
      </c>
      <c r="AH18" s="56">
        <v>0</v>
      </c>
      <c r="AI18" s="56"/>
      <c r="AJ18" s="56">
        <f t="shared" si="1"/>
        <v>4921</v>
      </c>
      <c r="AK18" s="85"/>
      <c r="AL18" s="56">
        <v>2000</v>
      </c>
      <c r="AM18" s="56"/>
      <c r="AN18" s="88">
        <v>6716.5</v>
      </c>
      <c r="AO18" s="88">
        <v>0</v>
      </c>
      <c r="AP18" s="88">
        <v>7894</v>
      </c>
      <c r="AQ18" s="56"/>
      <c r="AR18" s="56">
        <v>0</v>
      </c>
      <c r="AS18" s="56"/>
      <c r="AT18" s="56">
        <v>0</v>
      </c>
      <c r="AU18" s="56"/>
      <c r="AV18" s="56">
        <f t="shared" si="2"/>
        <v>7894</v>
      </c>
      <c r="AW18" s="56"/>
      <c r="AX18" s="56">
        <v>0</v>
      </c>
      <c r="AY18" s="56"/>
      <c r="AZ18" s="56">
        <v>6000</v>
      </c>
      <c r="BA18" s="56">
        <v>6000</v>
      </c>
      <c r="BB18" s="214"/>
      <c r="BC18" s="56"/>
      <c r="BD18" s="84">
        <f t="shared" si="3"/>
        <v>1177.5</v>
      </c>
      <c r="BE18" s="56"/>
      <c r="BF18" s="56"/>
      <c r="BG18" s="56"/>
      <c r="BH18" s="72"/>
    </row>
    <row r="19" spans="1:60" ht="20.100000000000001" customHeight="1" outlineLevel="1">
      <c r="A19" s="77" t="s">
        <v>43</v>
      </c>
      <c r="B19" s="77" t="s">
        <v>77</v>
      </c>
      <c r="C19" s="77" t="str">
        <f t="shared" si="5"/>
        <v>AC·</v>
      </c>
      <c r="D19" s="78" t="s">
        <v>46</v>
      </c>
      <c r="E19" s="78" t="str">
        <f t="shared" si="4"/>
        <v>000</v>
      </c>
      <c r="F19" s="3">
        <v>673001</v>
      </c>
      <c r="G19" s="102" t="s">
        <v>57</v>
      </c>
      <c r="H19" s="87"/>
      <c r="I19" s="13">
        <v>0</v>
      </c>
      <c r="J19" s="13">
        <v>0</v>
      </c>
      <c r="L19" s="56">
        <v>2320</v>
      </c>
      <c r="M19" s="56"/>
      <c r="N19" s="56">
        <v>0</v>
      </c>
      <c r="O19" s="56"/>
      <c r="P19" s="56">
        <v>0</v>
      </c>
      <c r="Q19" s="56"/>
      <c r="R19" s="56">
        <v>0</v>
      </c>
      <c r="S19" s="56"/>
      <c r="T19" s="56">
        <v>0</v>
      </c>
      <c r="U19" s="56"/>
      <c r="V19" s="56">
        <v>0</v>
      </c>
      <c r="W19" s="56"/>
      <c r="X19" s="56">
        <v>0</v>
      </c>
      <c r="Y19" s="56"/>
      <c r="Z19" s="56">
        <v>0</v>
      </c>
      <c r="AA19" s="56"/>
      <c r="AB19" s="56"/>
      <c r="AC19" s="56"/>
      <c r="AD19" s="56"/>
      <c r="AE19" s="56"/>
      <c r="AF19" s="56">
        <f>SUM(Z19:AE19)</f>
        <v>0</v>
      </c>
      <c r="AG19" s="56">
        <v>0</v>
      </c>
      <c r="AH19" s="56">
        <v>0</v>
      </c>
      <c r="AI19" s="56"/>
      <c r="AJ19" s="56">
        <f t="shared" si="1"/>
        <v>0</v>
      </c>
      <c r="AK19" s="85"/>
      <c r="AL19" s="56">
        <v>0</v>
      </c>
      <c r="AM19" s="56"/>
      <c r="AN19" s="88">
        <f>SUM(AI19:AM19)</f>
        <v>0</v>
      </c>
      <c r="AO19" s="88">
        <v>0</v>
      </c>
      <c r="AP19" s="88">
        <v>0</v>
      </c>
      <c r="AQ19" s="56"/>
      <c r="AR19" s="56">
        <v>0</v>
      </c>
      <c r="AS19" s="56"/>
      <c r="AT19" s="56">
        <v>0</v>
      </c>
      <c r="AU19" s="56"/>
      <c r="AV19" s="56">
        <f t="shared" si="2"/>
        <v>0</v>
      </c>
      <c r="AW19" s="56"/>
      <c r="AX19" s="56">
        <v>0</v>
      </c>
      <c r="AY19" s="56"/>
      <c r="AZ19" s="56">
        <v>0</v>
      </c>
      <c r="BA19" s="56">
        <v>0</v>
      </c>
      <c r="BB19" s="214"/>
      <c r="BC19" s="56"/>
      <c r="BD19" s="84">
        <f t="shared" si="3"/>
        <v>0</v>
      </c>
      <c r="BE19" s="56"/>
      <c r="BF19" s="56"/>
      <c r="BG19" s="56"/>
      <c r="BH19" s="72"/>
    </row>
    <row r="20" spans="1:60">
      <c r="B20" s="77"/>
      <c r="C20" s="77"/>
      <c r="D20" s="90"/>
      <c r="E20" s="90"/>
      <c r="F20" s="3"/>
      <c r="G20" s="91" t="s">
        <v>84</v>
      </c>
      <c r="H20" s="105"/>
      <c r="I20" s="92">
        <v>225662</v>
      </c>
      <c r="J20" s="93">
        <v>236142</v>
      </c>
      <c r="L20" s="94">
        <v>254858</v>
      </c>
      <c r="M20" s="95"/>
      <c r="N20" s="94">
        <v>277402</v>
      </c>
      <c r="O20" s="95"/>
      <c r="P20" s="94">
        <v>297402</v>
      </c>
      <c r="Q20" s="95"/>
      <c r="R20" s="94">
        <v>306152</v>
      </c>
      <c r="S20" s="95"/>
      <c r="T20" s="94">
        <v>0</v>
      </c>
      <c r="U20" s="95"/>
      <c r="V20" s="94">
        <v>306152</v>
      </c>
      <c r="W20" s="95"/>
      <c r="X20" s="94">
        <f>SUBTOTAL(9,X11:X19)</f>
        <v>304053.7</v>
      </c>
      <c r="Y20" s="95"/>
      <c r="Z20" s="94">
        <f>SUBTOTAL(9,Z11:Z19)</f>
        <v>335053</v>
      </c>
      <c r="AA20" s="95"/>
      <c r="AB20" s="94">
        <f>SUBTOTAL(9,AB11:AB19)</f>
        <v>0</v>
      </c>
      <c r="AC20" s="95"/>
      <c r="AD20" s="94">
        <f>SUBTOTAL(9,AD11:AD19)</f>
        <v>0</v>
      </c>
      <c r="AE20" s="95"/>
      <c r="AF20" s="94">
        <f>SUBTOTAL(9,AF11:AF19)</f>
        <v>335053</v>
      </c>
      <c r="AG20" s="94">
        <f>SUBTOTAL(9,AG11:AG19)</f>
        <v>-11250</v>
      </c>
      <c r="AH20" s="94">
        <f>SUBTOTAL(9,AH11:AH19)</f>
        <v>8500</v>
      </c>
      <c r="AI20" s="95"/>
      <c r="AJ20" s="94">
        <f>SUBTOTAL(9,AJ11:AJ19)</f>
        <v>332303</v>
      </c>
      <c r="AK20" s="96"/>
      <c r="AL20" s="94">
        <f>SUBTOTAL(9,AL11:AL19)</f>
        <v>0</v>
      </c>
      <c r="AM20" s="95"/>
      <c r="AN20" s="97">
        <f>SUBTOTAL(9,AN11:AN19)</f>
        <v>327685.61</v>
      </c>
      <c r="AO20" s="97">
        <f>SUBTOTAL(9,AO11:AO19)</f>
        <v>0</v>
      </c>
      <c r="AP20" s="97">
        <f>SUBTOTAL(9,AP11:AP19)</f>
        <v>333630.02</v>
      </c>
      <c r="AQ20" s="95"/>
      <c r="AR20" s="94">
        <f>SUBTOTAL(9,AR11:AR19)</f>
        <v>0</v>
      </c>
      <c r="AS20" s="95"/>
      <c r="AT20" s="94">
        <f>SUBTOTAL(9,AT11:AT19)</f>
        <v>0</v>
      </c>
      <c r="AU20" s="95"/>
      <c r="AV20" s="94">
        <f>SUBTOTAL(9,AV11:AV19)</f>
        <v>333630.02</v>
      </c>
      <c r="AW20" s="95"/>
      <c r="AX20" s="94">
        <f>SUBTOTAL(9,AX11:AX19)</f>
        <v>0</v>
      </c>
      <c r="AY20" s="95"/>
      <c r="AZ20" s="94">
        <f>SUBTOTAL(9,AZ11:AZ19)</f>
        <v>335182</v>
      </c>
      <c r="BA20" s="94">
        <f>SUBTOTAL(9,BA11:BA19)</f>
        <v>336001</v>
      </c>
      <c r="BB20" s="94">
        <f>SUBTOTAL(9,BB11:BB19)</f>
        <v>0</v>
      </c>
      <c r="BC20" s="56"/>
      <c r="BD20" s="98">
        <f t="shared" si="3"/>
        <v>5944.4100000000326</v>
      </c>
      <c r="BE20" s="95"/>
      <c r="BF20" s="95"/>
      <c r="BG20" s="95"/>
      <c r="BH20" s="99"/>
    </row>
    <row r="21" spans="1:60" ht="9" customHeight="1">
      <c r="A21" s="77"/>
      <c r="B21" s="77"/>
      <c r="C21" s="77"/>
      <c r="D21" s="90"/>
      <c r="E21" s="90"/>
      <c r="F21" s="3"/>
      <c r="G21" s="80"/>
      <c r="H21" s="87"/>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5"/>
      <c r="AL21" s="83"/>
      <c r="AM21" s="83"/>
      <c r="AN21" s="100"/>
      <c r="AO21" s="100"/>
      <c r="AP21" s="100"/>
      <c r="AQ21" s="83"/>
      <c r="AR21" s="83"/>
      <c r="AS21" s="83"/>
      <c r="AT21" s="83"/>
      <c r="AU21" s="83"/>
      <c r="AV21" s="83"/>
      <c r="AW21" s="83"/>
      <c r="AX21" s="83"/>
      <c r="AY21" s="83"/>
      <c r="AZ21" s="83"/>
      <c r="BA21" s="34"/>
      <c r="BB21" s="34"/>
      <c r="BC21" s="56"/>
      <c r="BD21" s="83"/>
      <c r="BE21" s="83"/>
      <c r="BF21" s="83"/>
      <c r="BG21" s="83"/>
      <c r="BH21" s="19"/>
    </row>
  </sheetData>
  <autoFilter ref="A9:BH21"/>
  <mergeCells count="8">
    <mergeCell ref="A6:F6"/>
    <mergeCell ref="A7:F7"/>
    <mergeCell ref="AB5:AD5"/>
    <mergeCell ref="A8:E8"/>
    <mergeCell ref="AG2:AH2"/>
    <mergeCell ref="AG3:AH3"/>
    <mergeCell ref="AG4:AH4"/>
    <mergeCell ref="AB4:AD4"/>
  </mergeCells>
  <phoneticPr fontId="3" type="noConversion"/>
  <conditionalFormatting sqref="F1:F1048576">
    <cfRule type="cellIs" dxfId="36" priority="1" stopIfTrue="1" operator="between">
      <formula>610000</formula>
      <formula>619999</formula>
    </cfRule>
  </conditionalFormatting>
  <pageMargins left="0.54" right="0.25" top="0.24" bottom="0.49" header="0.25" footer="0"/>
  <pageSetup scale="77" fitToHeight="0" orientation="landscape" r:id="rId1"/>
  <headerFooter alignWithMargins="0">
    <oddFooter>&amp;C&amp;8Detail of Expenditures Budget By Department, Page &amp;P of &amp;N</oddFooter>
  </headerFooter>
  <legacyDrawing r:id="rId2"/>
</worksheet>
</file>

<file path=xl/worksheets/sheet4.xml><?xml version="1.0" encoding="utf-8"?>
<worksheet xmlns="http://schemas.openxmlformats.org/spreadsheetml/2006/main" xmlns:r="http://schemas.openxmlformats.org/officeDocument/2006/relationships">
  <sheetPr codeName="Sheet6" enableFormatConditionsCalculation="0">
    <tabColor indexed="17"/>
    <pageSetUpPr fitToPage="1"/>
  </sheetPr>
  <dimension ref="A1:BJ61"/>
  <sheetViews>
    <sheetView zoomScale="80" zoomScaleNormal="90" workbookViewId="0">
      <pane xSplit="8" ySplit="9" topLeftCell="L10" activePane="bottomRight" state="frozen"/>
      <selection activeCell="A28" sqref="A28"/>
      <selection pane="topRight" activeCell="A28" sqref="A28"/>
      <selection pane="bottomLeft" activeCell="A28" sqref="A28"/>
      <selection pane="bottomRight"/>
    </sheetView>
  </sheetViews>
  <sheetFormatPr defaultRowHeight="12.75" outlineLevelRow="1" outlineLevelCol="1"/>
  <cols>
    <col min="1" max="1" width="7" style="39" customWidth="1" outlineLevel="1"/>
    <col min="2" max="2" width="6.140625" style="39" customWidth="1" outlineLevel="1"/>
    <col min="3" max="3" width="3.7109375" style="39" customWidth="1" outlineLevel="1"/>
    <col min="4" max="5" width="4.85546875" style="168" customWidth="1" outlineLevel="1"/>
    <col min="6" max="6" width="8.7109375" style="40" customWidth="1" outlineLevel="1"/>
    <col min="7" max="7" width="28.5703125" style="4" customWidth="1"/>
    <col min="8" max="8" width="16.5703125" style="4" hidden="1" customWidth="1"/>
    <col min="9" max="10" width="15.140625" style="4" hidden="1" customWidth="1" collapsed="1"/>
    <col min="11" max="11" width="39.5703125" style="4" hidden="1" customWidth="1"/>
    <col min="12" max="12" width="15.140625" style="7" bestFit="1" customWidth="1" collapsed="1"/>
    <col min="13" max="13" width="31.7109375" style="7" hidden="1" customWidth="1"/>
    <col min="14" max="14" width="35.5703125" style="7" hidden="1" customWidth="1" collapsed="1"/>
    <col min="15" max="15" width="0.140625" style="7" customWidth="1"/>
    <col min="16" max="16" width="25.28515625" style="7" hidden="1" customWidth="1" outlineLevel="1" collapsed="1"/>
    <col min="17" max="17" width="23.42578125" style="7" hidden="1" customWidth="1" outlineLevel="1"/>
    <col min="18" max="18" width="20.5703125" style="7" hidden="1" customWidth="1" outlineLevel="1" collapsed="1"/>
    <col min="19" max="19" width="18" style="7" hidden="1" customWidth="1" outlineLevel="1"/>
    <col min="20" max="20" width="19.5703125" style="7" hidden="1" customWidth="1" outlineLevel="1"/>
    <col min="21" max="21" width="18.42578125" style="7" hidden="1" customWidth="1" outlineLevel="1"/>
    <col min="22" max="22" width="13.140625" style="7" hidden="1" customWidth="1"/>
    <col min="23" max="23" width="14.140625" style="7" hidden="1" customWidth="1"/>
    <col min="24" max="24" width="14.5703125" style="7" customWidth="1" collapsed="1"/>
    <col min="25" max="25" width="0.85546875" style="7" hidden="1" customWidth="1"/>
    <col min="26" max="26" width="16.140625" style="7" hidden="1" customWidth="1"/>
    <col min="27" max="27" width="0.140625" style="7" hidden="1" customWidth="1"/>
    <col min="28" max="28" width="16.140625" style="7" hidden="1" customWidth="1" outlineLevel="1"/>
    <col min="29" max="29" width="0.42578125" style="7" hidden="1" customWidth="1" outlineLevel="1"/>
    <col min="30" max="30" width="17.85546875" style="7" hidden="1" customWidth="1" outlineLevel="1"/>
    <col min="31" max="31" width="0.42578125" style="7" hidden="1" customWidth="1" outlineLevel="1"/>
    <col min="32" max="32" width="16.140625" style="7" hidden="1" customWidth="1" collapsed="1"/>
    <col min="33" max="33" width="16" style="7" hidden="1" customWidth="1" outlineLevel="1"/>
    <col min="34" max="34" width="17" style="7" hidden="1" customWidth="1" outlineLevel="1"/>
    <col min="35" max="35" width="10.5703125" style="7" hidden="1" customWidth="1" outlineLevel="1"/>
    <col min="36" max="36" width="16.140625" style="7" hidden="1" customWidth="1" collapsed="1"/>
    <col min="37" max="37" width="0.7109375" style="7" hidden="1" customWidth="1"/>
    <col min="38" max="38" width="16.140625" style="7" hidden="1" customWidth="1" outlineLevel="1"/>
    <col min="39" max="39" width="4.140625" style="7" hidden="1" customWidth="1" outlineLevel="1"/>
    <col min="40" max="40" width="16.140625" style="17" customWidth="1" collapsed="1"/>
    <col min="41" max="41" width="16.140625" style="17" hidden="1" customWidth="1" collapsed="1"/>
    <col min="42" max="42" width="16.140625" style="17" customWidth="1" collapsed="1"/>
    <col min="43" max="43" width="0.7109375" style="7" hidden="1" customWidth="1" outlineLevel="1"/>
    <col min="44" max="44" width="22.140625" style="7" hidden="1" customWidth="1" outlineLevel="1"/>
    <col min="45" max="45" width="0.42578125" style="7" hidden="1" customWidth="1" outlineLevel="1"/>
    <col min="46" max="46" width="17.85546875" style="7" hidden="1" customWidth="1" outlineLevel="1"/>
    <col min="47" max="47" width="0.42578125" style="7" hidden="1" customWidth="1" outlineLevel="1"/>
    <col min="48" max="48" width="18" style="7" hidden="1" customWidth="1" collapsed="1"/>
    <col min="49" max="49" width="0.5703125" style="7" hidden="1" customWidth="1"/>
    <col min="50" max="50" width="18" style="7" hidden="1" customWidth="1"/>
    <col min="51" max="51" width="0.5703125" style="7" customWidth="1"/>
    <col min="52" max="53" width="15.7109375" style="7" bestFit="1" customWidth="1"/>
    <col min="54" max="54" width="15.140625" style="7" customWidth="1"/>
    <col min="55" max="55" width="23.140625" style="7" customWidth="1"/>
    <col min="56" max="56" width="19.85546875" style="7" bestFit="1" customWidth="1"/>
    <col min="57" max="59" width="12.42578125" style="7" customWidth="1"/>
    <col min="60" max="60" width="3.85546875" style="76" customWidth="1"/>
    <col min="61" max="61" width="14.5703125" style="12" bestFit="1" customWidth="1"/>
  </cols>
  <sheetData>
    <row r="1" spans="1:62" ht="15">
      <c r="A1" s="1" t="s">
        <v>0</v>
      </c>
      <c r="B1" s="2"/>
      <c r="C1" s="2"/>
      <c r="D1" s="1"/>
      <c r="E1" s="1"/>
      <c r="F1" s="3"/>
      <c r="H1" s="5"/>
      <c r="I1" s="6"/>
      <c r="T1" s="8"/>
      <c r="Z1" s="9"/>
      <c r="AB1" s="9"/>
      <c r="AD1" s="9"/>
      <c r="AF1" s="9"/>
      <c r="AH1" s="10" t="e">
        <f>+#REF!</f>
        <v>#REF!</v>
      </c>
      <c r="AJ1" s="9"/>
      <c r="AK1" s="9"/>
      <c r="AN1" s="9"/>
      <c r="AO1" s="9"/>
      <c r="AP1" s="9"/>
      <c r="AR1" s="9"/>
      <c r="AT1" s="9"/>
      <c r="AV1" s="9"/>
      <c r="AW1" s="9"/>
      <c r="AX1" s="9"/>
      <c r="AY1" s="9"/>
      <c r="AZ1" s="9"/>
      <c r="BA1" s="9"/>
      <c r="BB1" s="9"/>
      <c r="BC1" s="9"/>
      <c r="BD1" s="9"/>
      <c r="BE1" s="9"/>
      <c r="BF1" s="9"/>
      <c r="BG1" s="9"/>
      <c r="BH1" s="11"/>
    </row>
    <row r="2" spans="1:62" ht="15">
      <c r="A2" s="1" t="s">
        <v>1053</v>
      </c>
      <c r="B2" s="2"/>
      <c r="C2" s="2"/>
      <c r="D2" s="1"/>
      <c r="E2" s="1"/>
      <c r="F2" s="3"/>
      <c r="H2" s="5"/>
      <c r="I2" s="13"/>
      <c r="J2" s="14"/>
      <c r="K2" s="14"/>
      <c r="L2" s="15"/>
      <c r="M2" s="15"/>
      <c r="N2" s="15"/>
      <c r="O2" s="15"/>
      <c r="P2" s="15"/>
      <c r="R2" s="15"/>
      <c r="T2" s="8"/>
      <c r="V2" s="15"/>
      <c r="X2" s="15"/>
      <c r="Z2" s="15"/>
      <c r="AB2" s="15"/>
      <c r="AD2" s="15"/>
      <c r="AF2" s="15"/>
      <c r="AG2" s="238" t="s">
        <v>1</v>
      </c>
      <c r="AH2" s="238"/>
      <c r="AI2" s="17"/>
      <c r="AJ2" s="18"/>
      <c r="AK2" s="15"/>
      <c r="AL2" s="10" t="e">
        <f>+#REF!</f>
        <v>#REF!</v>
      </c>
      <c r="AN2" s="18"/>
      <c r="AO2" s="18"/>
      <c r="AP2" s="18"/>
      <c r="AR2" s="15"/>
      <c r="AT2" s="15"/>
      <c r="AV2" s="15"/>
      <c r="AW2" s="15"/>
      <c r="AX2" s="15"/>
      <c r="AY2" s="15"/>
      <c r="AZ2" s="15"/>
      <c r="BA2" s="15"/>
      <c r="BB2" s="15"/>
      <c r="BC2" s="15"/>
      <c r="BD2" s="15"/>
      <c r="BE2" s="15"/>
      <c r="BF2" s="15"/>
      <c r="BG2" s="15"/>
      <c r="BH2" s="19"/>
    </row>
    <row r="3" spans="1:62">
      <c r="A3" s="20" t="str">
        <f>IF(G7=1,"DETAIL OF EXPENDITURES BUDGET BY DEPARTMENT WITH COMPARATIVE AMOUNTS", "SUMMARY OF EXPENDITURES BUDGET BY DEPARTMENT WITH COMPARATIVE AMOUNTS")</f>
        <v>DETAIL OF EXPENDITURES BUDGET BY DEPARTMENT WITH COMPARATIVE AMOUNTS</v>
      </c>
      <c r="B3" s="21"/>
      <c r="C3" s="21"/>
      <c r="D3" s="22"/>
      <c r="E3" s="22"/>
      <c r="F3" s="3"/>
      <c r="H3" s="5"/>
      <c r="I3" s="23"/>
      <c r="J3" s="15"/>
      <c r="L3" s="15"/>
      <c r="M3" s="10"/>
      <c r="N3" s="10"/>
      <c r="O3" s="10"/>
      <c r="P3" s="24"/>
      <c r="R3" s="24"/>
      <c r="V3" s="24"/>
      <c r="W3" s="24"/>
      <c r="X3" s="15"/>
      <c r="Y3" s="24"/>
      <c r="AA3" s="24"/>
      <c r="AB3" s="24" t="e">
        <f>+#REF!</f>
        <v>#REF!</v>
      </c>
      <c r="AC3" s="24"/>
      <c r="AD3" s="24" t="e">
        <f>+#REF!</f>
        <v>#REF!</v>
      </c>
      <c r="AE3" s="24"/>
      <c r="AF3" s="10" t="e">
        <f>+#REF!</f>
        <v>#REF!</v>
      </c>
      <c r="AG3" s="239" t="s">
        <v>2</v>
      </c>
      <c r="AH3" s="239"/>
      <c r="AI3" s="25"/>
      <c r="AJ3" s="25" t="e">
        <f>+#REF!</f>
        <v>#REF!</v>
      </c>
      <c r="AK3" s="24"/>
      <c r="AL3" s="16" t="s">
        <v>1</v>
      </c>
      <c r="AM3" s="25"/>
      <c r="AN3" s="25"/>
      <c r="AO3" s="25"/>
      <c r="AP3" s="25"/>
      <c r="AQ3" s="24"/>
      <c r="AR3" s="24" t="e">
        <f>+#REF!</f>
        <v>#REF!</v>
      </c>
      <c r="AS3" s="24"/>
      <c r="AT3" s="24" t="e">
        <f>+#REF!</f>
        <v>#REF!</v>
      </c>
      <c r="AU3" s="24"/>
      <c r="AV3" s="24" t="e">
        <f>+#REF!</f>
        <v>#REF!</v>
      </c>
      <c r="AW3" s="24"/>
      <c r="AX3" s="24" t="e">
        <f>+#REF!</f>
        <v>#REF!</v>
      </c>
      <c r="AY3" s="24"/>
      <c r="AZ3" s="24"/>
      <c r="BA3" s="24"/>
      <c r="BB3" s="24"/>
      <c r="BC3" s="24"/>
      <c r="BD3" s="26"/>
      <c r="BE3" s="26"/>
      <c r="BF3" s="26"/>
      <c r="BG3" s="26"/>
      <c r="BH3" s="27"/>
    </row>
    <row r="4" spans="1:62" ht="15">
      <c r="A4" s="28" t="s">
        <v>1070</v>
      </c>
      <c r="B4" s="29"/>
      <c r="C4" s="29"/>
      <c r="D4" s="28"/>
      <c r="E4" s="28"/>
      <c r="F4" s="3"/>
      <c r="H4" s="30"/>
      <c r="I4" s="31" t="e">
        <f>+#REF!</f>
        <v>#REF!</v>
      </c>
      <c r="J4" s="31" t="e">
        <f>+#REF!</f>
        <v>#REF!</v>
      </c>
      <c r="L4" s="31"/>
      <c r="M4" s="32"/>
      <c r="N4" s="33"/>
      <c r="O4" s="32"/>
      <c r="P4" s="33"/>
      <c r="R4" s="33"/>
      <c r="T4" s="33"/>
      <c r="X4" s="31"/>
      <c r="Z4" s="10"/>
      <c r="AB4" s="241"/>
      <c r="AC4" s="241"/>
      <c r="AD4" s="241"/>
      <c r="AE4" s="35"/>
      <c r="AF4" s="34"/>
      <c r="AG4" s="240"/>
      <c r="AH4" s="240"/>
      <c r="AI4" s="17"/>
      <c r="AJ4" s="16"/>
      <c r="AK4" s="24"/>
      <c r="AL4" s="16"/>
      <c r="AM4" s="17"/>
      <c r="AN4" s="31"/>
      <c r="AO4" s="31"/>
      <c r="AP4" s="31"/>
      <c r="AR4" s="34" t="s">
        <v>5</v>
      </c>
      <c r="AU4" s="35"/>
      <c r="AV4" s="34"/>
      <c r="AW4" s="34"/>
      <c r="AX4" s="34" t="s">
        <v>5</v>
      </c>
      <c r="AY4" s="34"/>
      <c r="AZ4" s="34"/>
      <c r="BA4" s="34"/>
      <c r="BB4" s="34"/>
      <c r="BC4" s="34"/>
      <c r="BD4" s="37"/>
      <c r="BE4" s="37"/>
      <c r="BF4" s="37"/>
      <c r="BG4" s="37"/>
      <c r="BH4" s="38"/>
    </row>
    <row r="5" spans="1:62" ht="15">
      <c r="B5" s="29"/>
      <c r="C5" s="29"/>
      <c r="D5" s="28"/>
      <c r="E5" s="28"/>
      <c r="G5" s="28"/>
      <c r="H5" s="5"/>
      <c r="I5" s="41" t="s">
        <v>6</v>
      </c>
      <c r="J5" s="42" t="s">
        <v>7</v>
      </c>
      <c r="L5" s="16" t="s">
        <v>8</v>
      </c>
      <c r="M5" s="16"/>
      <c r="N5" s="16" t="s">
        <v>9</v>
      </c>
      <c r="O5" s="16"/>
      <c r="P5" s="16" t="s">
        <v>9</v>
      </c>
      <c r="Q5" s="17"/>
      <c r="R5" s="43"/>
      <c r="S5" s="17"/>
      <c r="T5" s="16"/>
      <c r="U5" s="17"/>
      <c r="V5" s="16" t="s">
        <v>9</v>
      </c>
      <c r="X5" s="16" t="s">
        <v>9</v>
      </c>
      <c r="Z5" s="34" t="s">
        <v>1</v>
      </c>
      <c r="AB5" s="243" t="s">
        <v>10</v>
      </c>
      <c r="AC5" s="243"/>
      <c r="AD5" s="243"/>
      <c r="AE5" s="35"/>
      <c r="AF5" s="34" t="s">
        <v>1</v>
      </c>
      <c r="AG5" s="17"/>
      <c r="AH5" s="16" t="s">
        <v>11</v>
      </c>
      <c r="AI5" s="17"/>
      <c r="AJ5" s="16" t="s">
        <v>1</v>
      </c>
      <c r="AK5" s="24"/>
      <c r="AL5" s="43" t="s">
        <v>12</v>
      </c>
      <c r="AM5" s="17"/>
      <c r="AN5" s="16" t="s">
        <v>1</v>
      </c>
      <c r="AO5" s="45" t="s">
        <v>1</v>
      </c>
      <c r="AP5" s="46" t="s">
        <v>5</v>
      </c>
      <c r="AQ5" s="47"/>
      <c r="AR5" s="48" t="s">
        <v>10</v>
      </c>
      <c r="AS5" s="47"/>
      <c r="AT5" s="47"/>
      <c r="AU5" s="47"/>
      <c r="AV5" s="46" t="s">
        <v>5</v>
      </c>
      <c r="AW5" s="34"/>
      <c r="AX5" s="49" t="s">
        <v>3</v>
      </c>
      <c r="AY5" s="34"/>
      <c r="AZ5" s="16" t="s">
        <v>1054</v>
      </c>
      <c r="BA5" s="16" t="s">
        <v>1054</v>
      </c>
      <c r="BB5" s="34" t="s">
        <v>1069</v>
      </c>
      <c r="BC5" s="34"/>
      <c r="BD5" s="50" t="s">
        <v>13</v>
      </c>
      <c r="BE5" s="37"/>
      <c r="BF5" s="37"/>
      <c r="BG5" s="37"/>
      <c r="BH5" s="51"/>
    </row>
    <row r="6" spans="1:62">
      <c r="A6" s="242"/>
      <c r="B6" s="242"/>
      <c r="C6" s="242"/>
      <c r="D6" s="242"/>
      <c r="E6" s="242"/>
      <c r="F6" s="242"/>
      <c r="G6" s="22"/>
      <c r="H6" s="5"/>
      <c r="I6" s="52" t="s">
        <v>14</v>
      </c>
      <c r="J6" s="52" t="s">
        <v>14</v>
      </c>
      <c r="L6" s="43" t="s">
        <v>14</v>
      </c>
      <c r="M6" s="43"/>
      <c r="N6" s="43" t="s">
        <v>15</v>
      </c>
      <c r="O6" s="43"/>
      <c r="P6" s="43" t="s">
        <v>4</v>
      </c>
      <c r="Q6" s="17"/>
      <c r="R6" s="43" t="s">
        <v>4</v>
      </c>
      <c r="S6" s="43"/>
      <c r="T6" s="43" t="s">
        <v>16</v>
      </c>
      <c r="U6" s="43"/>
      <c r="V6" s="43" t="s">
        <v>4</v>
      </c>
      <c r="W6" s="43"/>
      <c r="X6" s="43" t="s">
        <v>14</v>
      </c>
      <c r="Y6" s="43"/>
      <c r="Z6" s="34" t="s">
        <v>17</v>
      </c>
      <c r="AA6" s="43"/>
      <c r="AB6" s="53" t="s">
        <v>16</v>
      </c>
      <c r="AC6" s="53"/>
      <c r="AD6" s="34"/>
      <c r="AE6" s="53"/>
      <c r="AF6" s="34" t="s">
        <v>17</v>
      </c>
      <c r="AG6" s="43" t="s">
        <v>16</v>
      </c>
      <c r="AH6" s="16" t="s">
        <v>18</v>
      </c>
      <c r="AI6" s="43"/>
      <c r="AJ6" s="16" t="s">
        <v>19</v>
      </c>
      <c r="AK6" s="24"/>
      <c r="AL6" s="43" t="s">
        <v>16</v>
      </c>
      <c r="AM6" s="43"/>
      <c r="AN6" s="43" t="s">
        <v>14</v>
      </c>
      <c r="AO6" s="45" t="s">
        <v>20</v>
      </c>
      <c r="AP6" s="43" t="s">
        <v>14</v>
      </c>
      <c r="AQ6" s="54"/>
      <c r="AR6" s="54" t="s">
        <v>16</v>
      </c>
      <c r="AS6" s="54"/>
      <c r="AT6" s="46"/>
      <c r="AU6" s="54"/>
      <c r="AV6" s="46" t="s">
        <v>19</v>
      </c>
      <c r="AW6" s="34"/>
      <c r="AX6" s="55" t="s">
        <v>16</v>
      </c>
      <c r="AY6" s="34"/>
      <c r="AZ6" s="16" t="s">
        <v>17</v>
      </c>
      <c r="BA6" s="16" t="s">
        <v>17</v>
      </c>
      <c r="BB6" s="34" t="s">
        <v>19</v>
      </c>
      <c r="BC6" s="56"/>
      <c r="BD6" s="50" t="s">
        <v>21</v>
      </c>
      <c r="BE6" s="37"/>
      <c r="BF6" s="37"/>
      <c r="BG6" s="37"/>
      <c r="BH6" s="57"/>
    </row>
    <row r="7" spans="1:62" ht="15">
      <c r="A7" s="237"/>
      <c r="B7" s="237"/>
      <c r="C7" s="237"/>
      <c r="D7" s="237"/>
      <c r="E7" s="237"/>
      <c r="F7" s="237"/>
      <c r="G7" s="59">
        <v>1</v>
      </c>
      <c r="H7" s="60"/>
      <c r="I7" s="52" t="s">
        <v>22</v>
      </c>
      <c r="J7" s="52" t="s">
        <v>22</v>
      </c>
      <c r="L7" s="43" t="s">
        <v>22</v>
      </c>
      <c r="M7" s="43"/>
      <c r="N7" s="43" t="s">
        <v>23</v>
      </c>
      <c r="O7" s="43"/>
      <c r="P7" s="43" t="s">
        <v>24</v>
      </c>
      <c r="Q7" s="43"/>
      <c r="R7" s="43" t="s">
        <v>24</v>
      </c>
      <c r="S7" s="43"/>
      <c r="T7" s="43" t="s">
        <v>25</v>
      </c>
      <c r="U7" s="43"/>
      <c r="V7" s="43" t="s">
        <v>24</v>
      </c>
      <c r="W7" s="43"/>
      <c r="X7" s="43" t="s">
        <v>22</v>
      </c>
      <c r="Y7" s="43"/>
      <c r="Z7" s="53" t="s">
        <v>15</v>
      </c>
      <c r="AA7" s="43"/>
      <c r="AB7" s="53" t="s">
        <v>26</v>
      </c>
      <c r="AC7" s="53"/>
      <c r="AD7" s="53"/>
      <c r="AE7" s="53"/>
      <c r="AF7" s="53" t="s">
        <v>4</v>
      </c>
      <c r="AG7" s="43" t="s">
        <v>26</v>
      </c>
      <c r="AH7" s="43" t="s">
        <v>27</v>
      </c>
      <c r="AI7" s="43"/>
      <c r="AJ7" s="43" t="s">
        <v>4</v>
      </c>
      <c r="AK7" s="24"/>
      <c r="AL7" s="43" t="s">
        <v>26</v>
      </c>
      <c r="AM7" s="43"/>
      <c r="AN7" s="43" t="s">
        <v>22</v>
      </c>
      <c r="AO7" s="61" t="s">
        <v>22</v>
      </c>
      <c r="AP7" s="43" t="s">
        <v>22</v>
      </c>
      <c r="AQ7" s="54"/>
      <c r="AR7" s="54" t="s">
        <v>26</v>
      </c>
      <c r="AS7" s="54"/>
      <c r="AT7" s="54"/>
      <c r="AU7" s="54"/>
      <c r="AV7" s="54" t="s">
        <v>4</v>
      </c>
      <c r="AW7" s="53"/>
      <c r="AX7" s="55" t="s">
        <v>26</v>
      </c>
      <c r="AY7" s="53"/>
      <c r="AZ7" s="16" t="s">
        <v>15</v>
      </c>
      <c r="BA7" s="16" t="s">
        <v>1072</v>
      </c>
      <c r="BB7" s="34" t="s">
        <v>15</v>
      </c>
      <c r="BC7" s="56"/>
      <c r="BD7" s="50" t="s">
        <v>28</v>
      </c>
      <c r="BE7" s="62"/>
      <c r="BF7" s="62"/>
      <c r="BG7" s="62"/>
      <c r="BH7" s="57"/>
      <c r="BI7" s="63"/>
    </row>
    <row r="8" spans="1:62" ht="15">
      <c r="A8" s="237" t="s">
        <v>29</v>
      </c>
      <c r="B8" s="237"/>
      <c r="C8" s="237"/>
      <c r="D8" s="237"/>
      <c r="E8" s="237"/>
      <c r="F8" s="64" t="s">
        <v>30</v>
      </c>
      <c r="G8" s="64" t="s">
        <v>31</v>
      </c>
      <c r="H8" s="60"/>
      <c r="I8" s="65" t="s">
        <v>32</v>
      </c>
      <c r="J8" s="65" t="s">
        <v>32</v>
      </c>
      <c r="L8" s="66" t="s">
        <v>32</v>
      </c>
      <c r="M8" s="36"/>
      <c r="N8" s="36" t="s">
        <v>2</v>
      </c>
      <c r="O8" s="36"/>
      <c r="P8" s="36" t="s">
        <v>33</v>
      </c>
      <c r="Q8" s="36"/>
      <c r="R8" s="36" t="s">
        <v>34</v>
      </c>
      <c r="S8" s="36"/>
      <c r="T8" s="36" t="s">
        <v>35</v>
      </c>
      <c r="U8" s="36"/>
      <c r="V8" s="36" t="s">
        <v>36</v>
      </c>
      <c r="W8" s="36"/>
      <c r="X8" s="66" t="s">
        <v>32</v>
      </c>
      <c r="Y8" s="36"/>
      <c r="Z8" s="44" t="s">
        <v>24</v>
      </c>
      <c r="AA8" s="36"/>
      <c r="AB8" s="44" t="s">
        <v>35</v>
      </c>
      <c r="AC8" s="44"/>
      <c r="AD8" s="44" t="s">
        <v>37</v>
      </c>
      <c r="AE8" s="44"/>
      <c r="AF8" s="44" t="s">
        <v>38</v>
      </c>
      <c r="AG8" s="36" t="s">
        <v>35</v>
      </c>
      <c r="AH8" s="36" t="s">
        <v>39</v>
      </c>
      <c r="AI8" s="36"/>
      <c r="AJ8" s="36" t="s">
        <v>40</v>
      </c>
      <c r="AK8" s="24"/>
      <c r="AL8" s="36" t="s">
        <v>35</v>
      </c>
      <c r="AM8" s="36"/>
      <c r="AN8" s="36" t="s">
        <v>32</v>
      </c>
      <c r="AO8" s="67" t="s">
        <v>32</v>
      </c>
      <c r="AP8" s="36" t="s">
        <v>32</v>
      </c>
      <c r="AQ8" s="48"/>
      <c r="AR8" s="48" t="s">
        <v>35</v>
      </c>
      <c r="AS8" s="48"/>
      <c r="AT8" s="48" t="s">
        <v>37</v>
      </c>
      <c r="AU8" s="48"/>
      <c r="AV8" s="48" t="s">
        <v>38</v>
      </c>
      <c r="AW8" s="44"/>
      <c r="AX8" s="49" t="s">
        <v>35</v>
      </c>
      <c r="AY8" s="44"/>
      <c r="AZ8" s="36" t="s">
        <v>2</v>
      </c>
      <c r="BA8" s="36" t="s">
        <v>2</v>
      </c>
      <c r="BB8" s="44" t="s">
        <v>2</v>
      </c>
      <c r="BC8" s="56"/>
      <c r="BD8" s="50" t="s">
        <v>41</v>
      </c>
      <c r="BE8" s="68"/>
      <c r="BF8" s="68"/>
      <c r="BG8" s="68"/>
      <c r="BH8" s="69"/>
    </row>
    <row r="9" spans="1:62" ht="15">
      <c r="A9" s="58"/>
      <c r="B9" s="58"/>
      <c r="C9" s="58"/>
      <c r="D9" s="64"/>
      <c r="E9" s="64"/>
      <c r="F9" s="64"/>
      <c r="G9" s="70"/>
      <c r="H9" s="60"/>
      <c r="J9" s="71"/>
      <c r="AK9" s="24"/>
      <c r="BB9" s="34"/>
      <c r="BC9" s="56"/>
      <c r="BH9" s="72">
        <v>2</v>
      </c>
    </row>
    <row r="10" spans="1:62" ht="15" outlineLevel="1">
      <c r="A10" s="75" t="s">
        <v>202</v>
      </c>
      <c r="B10" s="77"/>
      <c r="C10" s="77"/>
      <c r="D10" s="90"/>
      <c r="E10" s="90"/>
      <c r="F10" s="3"/>
      <c r="H10" s="87"/>
      <c r="L10" s="44"/>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5"/>
      <c r="AL10" s="83"/>
      <c r="AM10" s="83"/>
      <c r="AN10" s="100"/>
      <c r="AO10" s="100"/>
      <c r="AP10" s="100"/>
      <c r="AQ10" s="83"/>
      <c r="AR10" s="83"/>
      <c r="AS10" s="83"/>
      <c r="AT10" s="83"/>
      <c r="AU10" s="83"/>
      <c r="AV10" s="83"/>
      <c r="AW10" s="83"/>
      <c r="AX10" s="83"/>
      <c r="AY10" s="83"/>
      <c r="AZ10" s="83"/>
      <c r="BA10" s="83"/>
      <c r="BB10" s="83"/>
      <c r="BC10" s="56"/>
      <c r="BD10" s="83"/>
      <c r="BE10" s="83"/>
      <c r="BF10" s="83"/>
      <c r="BG10" s="83"/>
      <c r="BH10" s="19"/>
    </row>
    <row r="11" spans="1:62" ht="20.100000000000001" customHeight="1" outlineLevel="1">
      <c r="A11" s="77" t="s">
        <v>43</v>
      </c>
      <c r="B11" s="77" t="s">
        <v>203</v>
      </c>
      <c r="C11" s="77" t="s">
        <v>1076</v>
      </c>
      <c r="D11" s="78" t="s">
        <v>46</v>
      </c>
      <c r="E11" s="78" t="str">
        <f>+D11</f>
        <v>000</v>
      </c>
      <c r="F11" s="3">
        <v>612311</v>
      </c>
      <c r="G11" s="120" t="s">
        <v>204</v>
      </c>
      <c r="H11" s="87"/>
      <c r="I11" s="82">
        <v>2278498</v>
      </c>
      <c r="J11" s="82">
        <v>2535493</v>
      </c>
      <c r="L11" s="83">
        <v>3110977</v>
      </c>
      <c r="M11" s="83"/>
      <c r="N11" s="83">
        <v>1850000</v>
      </c>
      <c r="O11" s="83"/>
      <c r="P11" s="83">
        <v>1840000</v>
      </c>
      <c r="Q11" s="83"/>
      <c r="R11" s="83">
        <v>2500000</v>
      </c>
      <c r="S11" s="83"/>
      <c r="T11" s="83">
        <v>0</v>
      </c>
      <c r="U11" s="83"/>
      <c r="V11" s="83">
        <v>2500000</v>
      </c>
      <c r="W11" s="83"/>
      <c r="X11" s="83">
        <f>3777999.61+49279</f>
        <v>3827278.61</v>
      </c>
      <c r="Y11" s="83"/>
      <c r="Z11" s="83">
        <v>3000000</v>
      </c>
      <c r="AA11" s="83"/>
      <c r="AB11" s="83">
        <v>0</v>
      </c>
      <c r="AC11" s="83"/>
      <c r="AD11" s="83">
        <v>0</v>
      </c>
      <c r="AE11" s="83"/>
      <c r="AF11" s="84">
        <f t="shared" ref="AF11:AF25" si="0">SUM(Z11:AE11)</f>
        <v>3000000</v>
      </c>
      <c r="AG11" s="83">
        <v>0</v>
      </c>
      <c r="AH11" s="83">
        <v>0</v>
      </c>
      <c r="AI11" s="83"/>
      <c r="AJ11" s="84">
        <f t="shared" ref="AJ11:AJ50" si="1">SUM(AE11:AI11)</f>
        <v>3000000</v>
      </c>
      <c r="AK11" s="85"/>
      <c r="AL11" s="121">
        <v>450000</v>
      </c>
      <c r="AM11" s="83"/>
      <c r="AN11" s="86">
        <v>4038843.87</v>
      </c>
      <c r="AO11" s="86">
        <v>0</v>
      </c>
      <c r="AP11" s="86">
        <f>4512434.42-586142.77</f>
        <v>3926291.65</v>
      </c>
      <c r="AQ11" s="83"/>
      <c r="AR11" s="122">
        <v>0</v>
      </c>
      <c r="AS11" s="83"/>
      <c r="AT11" s="83">
        <v>0</v>
      </c>
      <c r="AU11" s="83"/>
      <c r="AV11" s="84">
        <f t="shared" ref="AV11:AV25" si="2">SUM(AP11:AU11)</f>
        <v>3926291.65</v>
      </c>
      <c r="AW11" s="84"/>
      <c r="AX11" s="84">
        <v>0</v>
      </c>
      <c r="AY11" s="84"/>
      <c r="AZ11" s="84">
        <v>3000000</v>
      </c>
      <c r="BA11" s="84">
        <v>3000000</v>
      </c>
      <c r="BB11" s="214"/>
      <c r="BC11" s="56"/>
      <c r="BD11" s="84">
        <f t="shared" ref="BD11:BD50" si="3">+AP11-AN11</f>
        <v>-112552.2200000002</v>
      </c>
      <c r="BE11" s="84"/>
      <c r="BF11" s="84"/>
      <c r="BG11" s="84"/>
      <c r="BH11" s="72">
        <v>0</v>
      </c>
      <c r="BJ11">
        <v>0</v>
      </c>
    </row>
    <row r="12" spans="1:62" ht="20.100000000000001" customHeight="1" outlineLevel="1">
      <c r="A12" s="77" t="s">
        <v>43</v>
      </c>
      <c r="B12" s="77" t="s">
        <v>203</v>
      </c>
      <c r="C12" s="77" t="str">
        <f>+C11</f>
        <v>AD·</v>
      </c>
      <c r="D12" s="78" t="s">
        <v>46</v>
      </c>
      <c r="E12" s="78" t="str">
        <f t="shared" ref="E12:E59" si="4">+D12</f>
        <v>000</v>
      </c>
      <c r="F12" s="3">
        <v>632015</v>
      </c>
      <c r="G12" s="120" t="s">
        <v>68</v>
      </c>
      <c r="H12" s="87"/>
      <c r="I12" s="13">
        <v>6358</v>
      </c>
      <c r="J12" s="13">
        <v>746</v>
      </c>
      <c r="L12" s="56">
        <v>128872</v>
      </c>
      <c r="M12" s="56"/>
      <c r="N12" s="56">
        <v>12500</v>
      </c>
      <c r="O12" s="56"/>
      <c r="P12" s="56">
        <v>12842</v>
      </c>
      <c r="Q12" s="56"/>
      <c r="R12" s="56">
        <v>12842</v>
      </c>
      <c r="S12" s="56"/>
      <c r="T12" s="56">
        <v>0</v>
      </c>
      <c r="U12" s="56"/>
      <c r="V12" s="56">
        <v>12842</v>
      </c>
      <c r="W12" s="56"/>
      <c r="X12" s="56">
        <v>6961.49</v>
      </c>
      <c r="Y12" s="56"/>
      <c r="Z12" s="56">
        <v>12000</v>
      </c>
      <c r="AA12" s="56"/>
      <c r="AB12" s="56">
        <v>0</v>
      </c>
      <c r="AC12" s="56"/>
      <c r="AD12" s="56">
        <v>7</v>
      </c>
      <c r="AE12" s="56"/>
      <c r="AF12" s="56">
        <f t="shared" si="0"/>
        <v>12007</v>
      </c>
      <c r="AG12" s="56">
        <v>0</v>
      </c>
      <c r="AH12" s="56">
        <v>0</v>
      </c>
      <c r="AI12" s="56"/>
      <c r="AJ12" s="56">
        <f t="shared" si="1"/>
        <v>12007</v>
      </c>
      <c r="AK12" s="85"/>
      <c r="AL12" s="56">
        <v>0</v>
      </c>
      <c r="AM12" s="56"/>
      <c r="AN12" s="88">
        <v>8402.74</v>
      </c>
      <c r="AO12" s="88">
        <v>0</v>
      </c>
      <c r="AP12" s="88">
        <f>15401.17</f>
        <v>15401.17</v>
      </c>
      <c r="AQ12" s="56"/>
      <c r="AR12" s="56">
        <v>0</v>
      </c>
      <c r="AS12" s="56"/>
      <c r="AT12" s="56">
        <v>0</v>
      </c>
      <c r="AU12" s="56"/>
      <c r="AV12" s="56">
        <f t="shared" si="2"/>
        <v>15401.17</v>
      </c>
      <c r="AW12" s="56"/>
      <c r="AX12" s="56">
        <v>0</v>
      </c>
      <c r="AY12" s="56"/>
      <c r="AZ12" s="56">
        <v>12007</v>
      </c>
      <c r="BA12" s="56">
        <v>22007</v>
      </c>
      <c r="BB12" s="214"/>
      <c r="BC12" s="56"/>
      <c r="BD12" s="84">
        <f t="shared" si="3"/>
        <v>6998.43</v>
      </c>
      <c r="BE12" s="56"/>
      <c r="BF12" s="56"/>
      <c r="BG12" s="56"/>
      <c r="BH12" s="72"/>
    </row>
    <row r="13" spans="1:62" ht="20.100000000000001" customHeight="1" outlineLevel="1">
      <c r="A13" s="77" t="s">
        <v>43</v>
      </c>
      <c r="B13" s="77" t="s">
        <v>203</v>
      </c>
      <c r="C13" s="77" t="str">
        <f t="shared" ref="C13:C59" si="5">+C12</f>
        <v>AD·</v>
      </c>
      <c r="D13" s="78" t="s">
        <v>46</v>
      </c>
      <c r="E13" s="78" t="str">
        <f t="shared" si="4"/>
        <v>000</v>
      </c>
      <c r="F13" s="3">
        <v>634011</v>
      </c>
      <c r="G13" s="120" t="s">
        <v>205</v>
      </c>
      <c r="H13" s="87"/>
      <c r="I13" s="13">
        <v>395</v>
      </c>
      <c r="J13" s="13">
        <v>0</v>
      </c>
      <c r="L13" s="56">
        <v>0</v>
      </c>
      <c r="M13" s="56"/>
      <c r="N13" s="56">
        <v>1200</v>
      </c>
      <c r="O13" s="56"/>
      <c r="P13" s="56">
        <v>1200</v>
      </c>
      <c r="Q13" s="56"/>
      <c r="R13" s="56">
        <v>1200</v>
      </c>
      <c r="S13" s="56"/>
      <c r="T13" s="56">
        <v>0</v>
      </c>
      <c r="U13" s="56"/>
      <c r="V13" s="56">
        <v>1200</v>
      </c>
      <c r="W13" s="56"/>
      <c r="X13" s="56">
        <v>0</v>
      </c>
      <c r="Y13" s="56"/>
      <c r="Z13" s="56">
        <v>1000</v>
      </c>
      <c r="AA13" s="56"/>
      <c r="AB13" s="56">
        <v>0</v>
      </c>
      <c r="AC13" s="56"/>
      <c r="AD13" s="56">
        <v>0</v>
      </c>
      <c r="AE13" s="56"/>
      <c r="AF13" s="56">
        <f t="shared" si="0"/>
        <v>1000</v>
      </c>
      <c r="AG13" s="56">
        <v>0</v>
      </c>
      <c r="AH13" s="56">
        <v>0</v>
      </c>
      <c r="AI13" s="56"/>
      <c r="AJ13" s="56">
        <f t="shared" si="1"/>
        <v>1000</v>
      </c>
      <c r="AK13" s="85"/>
      <c r="AL13" s="56">
        <v>0</v>
      </c>
      <c r="AM13" s="56"/>
      <c r="AN13" s="88">
        <v>486.98</v>
      </c>
      <c r="AO13" s="88">
        <v>0</v>
      </c>
      <c r="AP13" s="88">
        <v>0</v>
      </c>
      <c r="AQ13" s="56"/>
      <c r="AR13" s="56">
        <v>0</v>
      </c>
      <c r="AS13" s="56"/>
      <c r="AT13" s="56">
        <v>0</v>
      </c>
      <c r="AU13" s="56"/>
      <c r="AV13" s="56">
        <f t="shared" si="2"/>
        <v>0</v>
      </c>
      <c r="AW13" s="56"/>
      <c r="AX13" s="56">
        <v>0</v>
      </c>
      <c r="AY13" s="56"/>
      <c r="AZ13" s="56">
        <v>500</v>
      </c>
      <c r="BA13" s="56">
        <v>500</v>
      </c>
      <c r="BB13" s="214"/>
      <c r="BC13" s="56"/>
      <c r="BD13" s="84">
        <f t="shared" si="3"/>
        <v>-486.98</v>
      </c>
      <c r="BE13" s="56"/>
      <c r="BF13" s="56"/>
      <c r="BG13" s="56"/>
      <c r="BH13" s="72"/>
    </row>
    <row r="14" spans="1:62" ht="20.100000000000001" customHeight="1" outlineLevel="1">
      <c r="A14" s="77" t="s">
        <v>43</v>
      </c>
      <c r="B14" s="77" t="s">
        <v>203</v>
      </c>
      <c r="C14" s="77" t="str">
        <f t="shared" si="5"/>
        <v>AD·</v>
      </c>
      <c r="D14" s="78" t="s">
        <v>46</v>
      </c>
      <c r="E14" s="78" t="str">
        <f t="shared" si="4"/>
        <v>000</v>
      </c>
      <c r="F14" s="3">
        <v>661021</v>
      </c>
      <c r="G14" s="120" t="s">
        <v>206</v>
      </c>
      <c r="H14" s="87"/>
      <c r="I14" s="13">
        <v>222428</v>
      </c>
      <c r="J14" s="13">
        <v>239830</v>
      </c>
      <c r="L14" s="56">
        <v>248993</v>
      </c>
      <c r="M14" s="56"/>
      <c r="N14" s="56">
        <v>209000</v>
      </c>
      <c r="O14" s="56"/>
      <c r="P14" s="56">
        <v>210015</v>
      </c>
      <c r="Q14" s="56"/>
      <c r="R14" s="56">
        <v>210015</v>
      </c>
      <c r="S14" s="56"/>
      <c r="T14" s="56">
        <v>0</v>
      </c>
      <c r="U14" s="56"/>
      <c r="V14" s="56">
        <v>210015</v>
      </c>
      <c r="W14" s="56"/>
      <c r="X14" s="56">
        <v>410896.09</v>
      </c>
      <c r="Y14" s="56"/>
      <c r="Z14" s="56">
        <v>209000</v>
      </c>
      <c r="AA14" s="56"/>
      <c r="AB14" s="56">
        <v>0</v>
      </c>
      <c r="AC14" s="56"/>
      <c r="AD14" s="56">
        <v>0</v>
      </c>
      <c r="AE14" s="56"/>
      <c r="AF14" s="56">
        <f t="shared" si="0"/>
        <v>209000</v>
      </c>
      <c r="AG14" s="56">
        <v>0</v>
      </c>
      <c r="AH14" s="56">
        <v>0</v>
      </c>
      <c r="AI14" s="56"/>
      <c r="AJ14" s="56">
        <f t="shared" si="1"/>
        <v>209000</v>
      </c>
      <c r="AK14" s="85"/>
      <c r="AL14" s="56">
        <v>0</v>
      </c>
      <c r="AM14" s="56"/>
      <c r="AN14" s="88">
        <v>204527.9</v>
      </c>
      <c r="AO14" s="88">
        <v>0</v>
      </c>
      <c r="AP14" s="88">
        <v>460684.95</v>
      </c>
      <c r="AQ14" s="56"/>
      <c r="AR14" s="56">
        <v>0</v>
      </c>
      <c r="AS14" s="56"/>
      <c r="AT14" s="56">
        <v>0</v>
      </c>
      <c r="AU14" s="56"/>
      <c r="AV14" s="56">
        <f t="shared" si="2"/>
        <v>460684.95</v>
      </c>
      <c r="AW14" s="56"/>
      <c r="AX14" s="56">
        <v>0</v>
      </c>
      <c r="AY14" s="56"/>
      <c r="AZ14" s="56">
        <v>209000</v>
      </c>
      <c r="BA14" s="56">
        <f>SUM(AW14:AZ14)</f>
        <v>209000</v>
      </c>
      <c r="BB14" s="214"/>
      <c r="BC14" s="56"/>
      <c r="BD14" s="84">
        <f t="shared" si="3"/>
        <v>256157.05000000002</v>
      </c>
      <c r="BE14" s="56"/>
      <c r="BF14" s="56"/>
      <c r="BG14" s="56"/>
      <c r="BH14" s="72"/>
    </row>
    <row r="15" spans="1:62" ht="20.100000000000001" customHeight="1" outlineLevel="1">
      <c r="A15" s="77" t="s">
        <v>43</v>
      </c>
      <c r="B15" s="77" t="s">
        <v>203</v>
      </c>
      <c r="C15" s="77" t="str">
        <f t="shared" si="5"/>
        <v>AD·</v>
      </c>
      <c r="D15" s="78" t="s">
        <v>46</v>
      </c>
      <c r="E15" s="78" t="str">
        <f t="shared" si="4"/>
        <v>000</v>
      </c>
      <c r="F15" s="3">
        <v>661022</v>
      </c>
      <c r="G15" s="120" t="s">
        <v>207</v>
      </c>
      <c r="H15" s="87"/>
      <c r="I15" s="13">
        <v>0</v>
      </c>
      <c r="J15" s="13">
        <v>265000</v>
      </c>
      <c r="L15" s="56">
        <v>7678</v>
      </c>
      <c r="M15" s="56"/>
      <c r="N15" s="56">
        <v>0</v>
      </c>
      <c r="O15" s="56"/>
      <c r="P15" s="56">
        <v>32000</v>
      </c>
      <c r="Q15" s="56"/>
      <c r="R15" s="56">
        <v>32000</v>
      </c>
      <c r="S15" s="56"/>
      <c r="T15" s="56">
        <v>0</v>
      </c>
      <c r="U15" s="56"/>
      <c r="V15" s="56">
        <v>32000</v>
      </c>
      <c r="W15" s="56"/>
      <c r="X15" s="56">
        <v>18903.46</v>
      </c>
      <c r="Y15" s="56"/>
      <c r="Z15" s="56">
        <v>0</v>
      </c>
      <c r="AA15" s="56"/>
      <c r="AB15" s="89">
        <v>64000</v>
      </c>
      <c r="AC15" s="56"/>
      <c r="AD15" s="56">
        <v>0</v>
      </c>
      <c r="AE15" s="56"/>
      <c r="AF15" s="56">
        <f t="shared" si="0"/>
        <v>64000</v>
      </c>
      <c r="AG15" s="56">
        <v>0</v>
      </c>
      <c r="AH15" s="56">
        <v>0</v>
      </c>
      <c r="AI15" s="56"/>
      <c r="AJ15" s="56">
        <f t="shared" si="1"/>
        <v>64000</v>
      </c>
      <c r="AK15" s="85"/>
      <c r="AL15" s="56">
        <v>0</v>
      </c>
      <c r="AM15" s="56"/>
      <c r="AN15" s="88">
        <v>64000</v>
      </c>
      <c r="AO15" s="88">
        <v>0</v>
      </c>
      <c r="AP15" s="88">
        <v>64000</v>
      </c>
      <c r="AQ15" s="56"/>
      <c r="AR15" s="89">
        <v>64000</v>
      </c>
      <c r="AS15" s="56"/>
      <c r="AT15" s="56">
        <v>0</v>
      </c>
      <c r="AU15" s="56"/>
      <c r="AV15" s="56">
        <f t="shared" si="2"/>
        <v>128000</v>
      </c>
      <c r="AW15" s="56"/>
      <c r="AX15" s="56">
        <v>0</v>
      </c>
      <c r="AY15" s="56"/>
      <c r="AZ15" s="56">
        <v>28000</v>
      </c>
      <c r="BA15" s="56">
        <f>SUM(AW15:AZ15)</f>
        <v>28000</v>
      </c>
      <c r="BB15" s="214"/>
      <c r="BC15" s="56"/>
      <c r="BD15" s="84">
        <f t="shared" si="3"/>
        <v>0</v>
      </c>
      <c r="BE15" s="56"/>
      <c r="BF15" s="56"/>
      <c r="BG15" s="56"/>
      <c r="BH15" s="72"/>
    </row>
    <row r="16" spans="1:62" ht="20.100000000000001" customHeight="1" outlineLevel="1">
      <c r="A16" s="77" t="s">
        <v>43</v>
      </c>
      <c r="B16" s="77" t="s">
        <v>203</v>
      </c>
      <c r="C16" s="77" t="str">
        <f t="shared" si="5"/>
        <v>AD·</v>
      </c>
      <c r="D16" s="78" t="s">
        <v>46</v>
      </c>
      <c r="E16" s="78" t="str">
        <f t="shared" si="4"/>
        <v>000</v>
      </c>
      <c r="F16" s="3">
        <v>661024</v>
      </c>
      <c r="G16" s="120" t="s">
        <v>208</v>
      </c>
      <c r="H16" s="87"/>
      <c r="I16" s="13">
        <v>239497</v>
      </c>
      <c r="J16" s="13">
        <v>253933</v>
      </c>
      <c r="L16" s="56">
        <v>505725</v>
      </c>
      <c r="M16" s="56"/>
      <c r="N16" s="56">
        <v>70000</v>
      </c>
      <c r="O16" s="56"/>
      <c r="P16" s="56">
        <v>70000</v>
      </c>
      <c r="Q16" s="56"/>
      <c r="R16" s="56">
        <v>360000</v>
      </c>
      <c r="S16" s="89"/>
      <c r="T16" s="56">
        <v>0</v>
      </c>
      <c r="U16" s="56"/>
      <c r="V16" s="56">
        <v>360000</v>
      </c>
      <c r="W16" s="56"/>
      <c r="X16" s="56">
        <v>315310.07</v>
      </c>
      <c r="Y16" s="56"/>
      <c r="Z16" s="56">
        <v>70000</v>
      </c>
      <c r="AA16" s="56"/>
      <c r="AB16" s="56">
        <v>0</v>
      </c>
      <c r="AC16" s="56"/>
      <c r="AD16" s="56">
        <v>3530.04</v>
      </c>
      <c r="AE16" s="56"/>
      <c r="AF16" s="56">
        <f t="shared" si="0"/>
        <v>73530.039999999994</v>
      </c>
      <c r="AG16" s="56">
        <v>0</v>
      </c>
      <c r="AH16" s="56">
        <v>0</v>
      </c>
      <c r="AI16" s="56"/>
      <c r="AJ16" s="56">
        <f t="shared" si="1"/>
        <v>73530.039999999994</v>
      </c>
      <c r="AK16" s="85"/>
      <c r="AL16" s="56">
        <v>0</v>
      </c>
      <c r="AM16" s="56"/>
      <c r="AN16" s="88">
        <v>10671.47</v>
      </c>
      <c r="AO16" s="88">
        <v>0</v>
      </c>
      <c r="AP16" s="88">
        <v>266652.94</v>
      </c>
      <c r="AQ16" s="56"/>
      <c r="AR16" s="89">
        <v>255000</v>
      </c>
      <c r="AS16" s="56"/>
      <c r="AT16" s="56">
        <v>0</v>
      </c>
      <c r="AU16" s="56"/>
      <c r="AV16" s="56">
        <f t="shared" si="2"/>
        <v>521652.94</v>
      </c>
      <c r="AW16" s="56"/>
      <c r="AX16" s="56">
        <v>0</v>
      </c>
      <c r="AY16" s="56"/>
      <c r="AZ16" s="56">
        <v>60530</v>
      </c>
      <c r="BA16" s="56">
        <f>SUM(AW16:AZ16)</f>
        <v>60530</v>
      </c>
      <c r="BB16" s="214"/>
      <c r="BC16" s="56"/>
      <c r="BD16" s="84">
        <f t="shared" si="3"/>
        <v>255981.47</v>
      </c>
      <c r="BE16" s="56"/>
      <c r="BF16" s="56"/>
      <c r="BG16" s="56"/>
      <c r="BH16" s="72"/>
    </row>
    <row r="17" spans="1:62" ht="20.100000000000001" customHeight="1" outlineLevel="1">
      <c r="A17" s="77" t="s">
        <v>43</v>
      </c>
      <c r="B17" s="77" t="s">
        <v>203</v>
      </c>
      <c r="C17" s="77" t="str">
        <f t="shared" si="5"/>
        <v>AD·</v>
      </c>
      <c r="D17" s="78" t="s">
        <v>46</v>
      </c>
      <c r="E17" s="78" t="str">
        <f t="shared" si="4"/>
        <v>000</v>
      </c>
      <c r="F17" s="3">
        <v>661124</v>
      </c>
      <c r="G17" s="120" t="s">
        <v>209</v>
      </c>
      <c r="H17" s="87"/>
      <c r="I17" s="13">
        <v>149178</v>
      </c>
      <c r="J17" s="13">
        <v>345606</v>
      </c>
      <c r="L17" s="56">
        <v>126985</v>
      </c>
      <c r="M17" s="56"/>
      <c r="N17" s="56">
        <v>40000</v>
      </c>
      <c r="O17" s="56"/>
      <c r="P17" s="56">
        <v>242990</v>
      </c>
      <c r="Q17" s="56"/>
      <c r="R17" s="56">
        <v>273551</v>
      </c>
      <c r="S17" s="56"/>
      <c r="T17" s="56">
        <v>0</v>
      </c>
      <c r="U17" s="56"/>
      <c r="V17" s="56">
        <v>273551</v>
      </c>
      <c r="W17" s="56"/>
      <c r="X17" s="56">
        <v>266427.94</v>
      </c>
      <c r="Y17" s="56"/>
      <c r="Z17" s="56">
        <v>60000</v>
      </c>
      <c r="AA17" s="56"/>
      <c r="AB17" s="56">
        <v>0</v>
      </c>
      <c r="AC17" s="56"/>
      <c r="AD17" s="56">
        <v>0</v>
      </c>
      <c r="AE17" s="56"/>
      <c r="AF17" s="56">
        <f t="shared" si="0"/>
        <v>60000</v>
      </c>
      <c r="AG17" s="89">
        <f>11000+5000+10000</f>
        <v>26000</v>
      </c>
      <c r="AH17" s="56">
        <v>0</v>
      </c>
      <c r="AI17" s="56"/>
      <c r="AJ17" s="56">
        <f t="shared" si="1"/>
        <v>86000</v>
      </c>
      <c r="AK17" s="85"/>
      <c r="AL17" s="56">
        <v>0</v>
      </c>
      <c r="AM17" s="56"/>
      <c r="AN17" s="88">
        <v>80107.87</v>
      </c>
      <c r="AO17" s="88">
        <v>0</v>
      </c>
      <c r="AP17" s="88">
        <v>33788.89</v>
      </c>
      <c r="AQ17" s="56"/>
      <c r="AR17" s="56">
        <v>0</v>
      </c>
      <c r="AS17" s="56"/>
      <c r="AT17" s="56">
        <v>0</v>
      </c>
      <c r="AU17" s="56"/>
      <c r="AV17" s="56">
        <f t="shared" si="2"/>
        <v>33788.89</v>
      </c>
      <c r="AW17" s="56"/>
      <c r="AX17" s="56">
        <v>0</v>
      </c>
      <c r="AY17" s="56"/>
      <c r="AZ17" s="56">
        <v>5000</v>
      </c>
      <c r="BA17" s="56">
        <v>5173</v>
      </c>
      <c r="BB17" s="214"/>
      <c r="BC17" s="56"/>
      <c r="BD17" s="84">
        <f t="shared" si="3"/>
        <v>-46318.979999999996</v>
      </c>
      <c r="BE17" s="56"/>
      <c r="BF17" s="56"/>
      <c r="BG17" s="56"/>
      <c r="BH17" s="72"/>
    </row>
    <row r="18" spans="1:62" ht="20.100000000000001" customHeight="1" outlineLevel="1">
      <c r="A18" s="77" t="s">
        <v>43</v>
      </c>
      <c r="B18" s="77" t="s">
        <v>203</v>
      </c>
      <c r="C18" s="77" t="str">
        <f t="shared" si="5"/>
        <v>AD·</v>
      </c>
      <c r="D18" s="78" t="s">
        <v>46</v>
      </c>
      <c r="E18" s="78" t="str">
        <f t="shared" si="4"/>
        <v>000</v>
      </c>
      <c r="F18" s="3">
        <v>673021</v>
      </c>
      <c r="G18" s="120" t="s">
        <v>210</v>
      </c>
      <c r="H18" s="87"/>
      <c r="I18" s="13">
        <v>2058</v>
      </c>
      <c r="J18" s="13">
        <v>93583</v>
      </c>
      <c r="L18" s="56">
        <v>1364</v>
      </c>
      <c r="M18" s="56"/>
      <c r="N18" s="56">
        <v>55000</v>
      </c>
      <c r="O18" s="56"/>
      <c r="P18" s="56">
        <v>55000</v>
      </c>
      <c r="Q18" s="56"/>
      <c r="R18" s="56">
        <v>55000</v>
      </c>
      <c r="S18" s="56"/>
      <c r="T18" s="56">
        <v>0</v>
      </c>
      <c r="U18" s="56"/>
      <c r="V18" s="56">
        <v>55000</v>
      </c>
      <c r="W18" s="56"/>
      <c r="X18" s="56">
        <v>12599.11</v>
      </c>
      <c r="Y18" s="56"/>
      <c r="Z18" s="56">
        <v>30000</v>
      </c>
      <c r="AA18" s="56"/>
      <c r="AB18" s="56">
        <v>0</v>
      </c>
      <c r="AC18" s="56"/>
      <c r="AD18" s="56">
        <v>0</v>
      </c>
      <c r="AE18" s="56"/>
      <c r="AF18" s="56">
        <f t="shared" si="0"/>
        <v>30000</v>
      </c>
      <c r="AG18" s="56">
        <v>-5000</v>
      </c>
      <c r="AH18" s="56">
        <v>0</v>
      </c>
      <c r="AI18" s="56"/>
      <c r="AJ18" s="56">
        <f t="shared" si="1"/>
        <v>25000</v>
      </c>
      <c r="AK18" s="85"/>
      <c r="AL18" s="56">
        <v>0</v>
      </c>
      <c r="AM18" s="56"/>
      <c r="AN18" s="88">
        <v>0</v>
      </c>
      <c r="AO18" s="88">
        <v>0</v>
      </c>
      <c r="AP18" s="88">
        <v>0</v>
      </c>
      <c r="AQ18" s="56"/>
      <c r="AR18" s="56">
        <v>0</v>
      </c>
      <c r="AS18" s="56"/>
      <c r="AT18" s="56">
        <v>0</v>
      </c>
      <c r="AU18" s="56"/>
      <c r="AV18" s="56">
        <f t="shared" si="2"/>
        <v>0</v>
      </c>
      <c r="AW18" s="56"/>
      <c r="AX18" s="56">
        <v>0</v>
      </c>
      <c r="AY18" s="56"/>
      <c r="AZ18" s="56">
        <v>12500</v>
      </c>
      <c r="BA18" s="56">
        <f>SUM(AW18:AZ18)</f>
        <v>12500</v>
      </c>
      <c r="BB18" s="214"/>
      <c r="BC18" s="56"/>
      <c r="BD18" s="84">
        <f t="shared" si="3"/>
        <v>0</v>
      </c>
      <c r="BE18" s="56"/>
      <c r="BF18" s="56"/>
      <c r="BG18" s="56"/>
      <c r="BH18" s="72"/>
    </row>
    <row r="19" spans="1:62" ht="20.100000000000001" customHeight="1" outlineLevel="1">
      <c r="A19" s="77" t="s">
        <v>43</v>
      </c>
      <c r="B19" s="77" t="s">
        <v>211</v>
      </c>
      <c r="C19" s="77" t="str">
        <f t="shared" si="5"/>
        <v>AD·</v>
      </c>
      <c r="D19" s="78" t="s">
        <v>46</v>
      </c>
      <c r="E19" s="78" t="str">
        <f t="shared" si="4"/>
        <v>000</v>
      </c>
      <c r="F19" s="3">
        <v>611211</v>
      </c>
      <c r="G19" s="120" t="s">
        <v>212</v>
      </c>
      <c r="H19" s="87"/>
      <c r="I19" s="13">
        <v>0</v>
      </c>
      <c r="J19" s="13">
        <v>0</v>
      </c>
      <c r="L19" s="56">
        <v>0</v>
      </c>
      <c r="M19" s="56"/>
      <c r="N19" s="56">
        <v>0</v>
      </c>
      <c r="O19" s="56"/>
      <c r="P19" s="56">
        <v>0</v>
      </c>
      <c r="Q19" s="56"/>
      <c r="R19" s="56">
        <v>0</v>
      </c>
      <c r="S19" s="56"/>
      <c r="T19" s="56">
        <v>0</v>
      </c>
      <c r="U19" s="56"/>
      <c r="V19" s="56">
        <v>0</v>
      </c>
      <c r="W19" s="56"/>
      <c r="X19" s="56">
        <v>0</v>
      </c>
      <c r="Y19" s="56"/>
      <c r="Z19" s="56">
        <v>0</v>
      </c>
      <c r="AA19" s="56"/>
      <c r="AB19" s="7">
        <v>0</v>
      </c>
      <c r="AC19" s="56"/>
      <c r="AD19" s="56">
        <v>0</v>
      </c>
      <c r="AE19" s="56"/>
      <c r="AF19" s="56">
        <f t="shared" si="0"/>
        <v>0</v>
      </c>
      <c r="AG19" s="123">
        <v>0</v>
      </c>
      <c r="AH19" s="56">
        <v>0</v>
      </c>
      <c r="AI19" s="56"/>
      <c r="AJ19" s="56">
        <f t="shared" si="1"/>
        <v>0</v>
      </c>
      <c r="AK19" s="85"/>
      <c r="AL19" s="56">
        <v>0</v>
      </c>
      <c r="AM19" s="56"/>
      <c r="AN19" s="88">
        <v>7760</v>
      </c>
      <c r="AO19" s="88">
        <v>0</v>
      </c>
      <c r="AP19" s="88">
        <v>0</v>
      </c>
      <c r="AQ19" s="56"/>
      <c r="AR19" s="56">
        <v>0</v>
      </c>
      <c r="AS19" s="56"/>
      <c r="AT19" s="56">
        <v>0</v>
      </c>
      <c r="AU19" s="56"/>
      <c r="AV19" s="56">
        <f t="shared" si="2"/>
        <v>0</v>
      </c>
      <c r="AW19" s="56"/>
      <c r="AX19" s="56">
        <v>0</v>
      </c>
      <c r="AY19" s="56"/>
      <c r="AZ19" s="56">
        <v>0</v>
      </c>
      <c r="BA19" s="56">
        <f>SUM(AW19:AZ19)</f>
        <v>0</v>
      </c>
      <c r="BB19" s="214"/>
      <c r="BC19" s="56"/>
      <c r="BD19" s="84">
        <f t="shared" si="3"/>
        <v>-7760</v>
      </c>
      <c r="BE19" s="56"/>
      <c r="BF19" s="56"/>
      <c r="BG19" s="56"/>
      <c r="BH19" s="72"/>
    </row>
    <row r="20" spans="1:62" ht="20.100000000000001" customHeight="1" outlineLevel="1">
      <c r="A20" s="77" t="s">
        <v>43</v>
      </c>
      <c r="B20" s="77" t="s">
        <v>203</v>
      </c>
      <c r="C20" s="77" t="str">
        <f t="shared" si="5"/>
        <v>AD·</v>
      </c>
      <c r="D20" s="78" t="s">
        <v>46</v>
      </c>
      <c r="E20" s="78" t="str">
        <f t="shared" si="4"/>
        <v>000</v>
      </c>
      <c r="F20" s="3">
        <v>681011</v>
      </c>
      <c r="G20" s="120" t="s">
        <v>213</v>
      </c>
      <c r="H20" s="87"/>
      <c r="I20" s="13"/>
      <c r="J20" s="13"/>
      <c r="L20" s="56"/>
      <c r="M20" s="56"/>
      <c r="N20" s="56"/>
      <c r="O20" s="56"/>
      <c r="P20" s="56">
        <v>0</v>
      </c>
      <c r="Q20" s="56"/>
      <c r="R20" s="56">
        <v>52100</v>
      </c>
      <c r="S20" s="56"/>
      <c r="T20" s="56">
        <v>0</v>
      </c>
      <c r="U20" s="56"/>
      <c r="V20" s="56">
        <v>52100</v>
      </c>
      <c r="W20" s="56"/>
      <c r="X20" s="56">
        <v>52040.800000000003</v>
      </c>
      <c r="Y20" s="56"/>
      <c r="Z20" s="56">
        <v>50000</v>
      </c>
      <c r="AA20" s="56"/>
      <c r="AB20" s="56">
        <v>0</v>
      </c>
      <c r="AC20" s="56"/>
      <c r="AD20" s="56">
        <v>0</v>
      </c>
      <c r="AE20" s="56"/>
      <c r="AF20" s="56">
        <f t="shared" si="0"/>
        <v>50000</v>
      </c>
      <c r="AG20" s="56">
        <v>0</v>
      </c>
      <c r="AH20" s="56">
        <v>0</v>
      </c>
      <c r="AI20" s="56"/>
      <c r="AJ20" s="56">
        <f t="shared" si="1"/>
        <v>50000</v>
      </c>
      <c r="AK20" s="85"/>
      <c r="AL20" s="56">
        <v>0</v>
      </c>
      <c r="AM20" s="56"/>
      <c r="AN20" s="88">
        <v>51539.040000000001</v>
      </c>
      <c r="AO20" s="88">
        <v>0</v>
      </c>
      <c r="AP20" s="88">
        <v>63800</v>
      </c>
      <c r="AQ20" s="56"/>
      <c r="AR20" s="56">
        <v>0</v>
      </c>
      <c r="AS20" s="56"/>
      <c r="AT20" s="56">
        <v>0</v>
      </c>
      <c r="AU20" s="56"/>
      <c r="AV20" s="56">
        <f t="shared" si="2"/>
        <v>63800</v>
      </c>
      <c r="AW20" s="56"/>
      <c r="AX20" s="56">
        <v>0</v>
      </c>
      <c r="AY20" s="56"/>
      <c r="AZ20" s="56">
        <v>50000</v>
      </c>
      <c r="BA20" s="56">
        <f>SUM(AW20:AZ20)</f>
        <v>50000</v>
      </c>
      <c r="BB20" s="214"/>
      <c r="BC20" s="56"/>
      <c r="BD20" s="84">
        <f t="shared" si="3"/>
        <v>12260.96</v>
      </c>
      <c r="BE20" s="56"/>
      <c r="BF20" s="56"/>
      <c r="BG20" s="56"/>
      <c r="BH20" s="72"/>
    </row>
    <row r="21" spans="1:62" ht="20.100000000000001" customHeight="1" outlineLevel="1">
      <c r="A21" s="77" t="s">
        <v>43</v>
      </c>
      <c r="B21" s="77" t="s">
        <v>214</v>
      </c>
      <c r="C21" s="77" t="str">
        <f t="shared" si="5"/>
        <v>AD·</v>
      </c>
      <c r="D21" s="78" t="s">
        <v>46</v>
      </c>
      <c r="E21" s="78" t="str">
        <f t="shared" si="4"/>
        <v>000</v>
      </c>
      <c r="F21" s="3">
        <v>611211</v>
      </c>
      <c r="G21" s="120" t="s">
        <v>215</v>
      </c>
      <c r="H21" s="87"/>
      <c r="I21" s="13">
        <v>134535</v>
      </c>
      <c r="J21" s="13">
        <v>131840</v>
      </c>
      <c r="L21" s="56">
        <v>157643</v>
      </c>
      <c r="M21" s="56"/>
      <c r="N21" s="56">
        <v>130000</v>
      </c>
      <c r="O21" s="56"/>
      <c r="P21" s="56">
        <v>130000</v>
      </c>
      <c r="Q21" s="56"/>
      <c r="R21" s="56">
        <v>130000</v>
      </c>
      <c r="S21" s="56"/>
      <c r="T21" s="56">
        <v>0</v>
      </c>
      <c r="U21" s="56"/>
      <c r="V21" s="56">
        <v>130000</v>
      </c>
      <c r="W21" s="56"/>
      <c r="X21" s="56">
        <v>166020.45000000001</v>
      </c>
      <c r="Y21" s="56"/>
      <c r="Z21" s="56">
        <v>130000</v>
      </c>
      <c r="AA21" s="56"/>
      <c r="AB21" s="56"/>
      <c r="AC21" s="56"/>
      <c r="AD21" s="56">
        <v>0</v>
      </c>
      <c r="AE21" s="56"/>
      <c r="AF21" s="56">
        <f t="shared" si="0"/>
        <v>130000</v>
      </c>
      <c r="AG21" s="56">
        <v>0</v>
      </c>
      <c r="AH21" s="56">
        <v>0</v>
      </c>
      <c r="AI21" s="56"/>
      <c r="AJ21" s="56">
        <f t="shared" si="1"/>
        <v>130000</v>
      </c>
      <c r="AK21" s="85"/>
      <c r="AL21" s="56">
        <v>0</v>
      </c>
      <c r="AM21" s="56"/>
      <c r="AN21" s="88">
        <v>129922.85</v>
      </c>
      <c r="AO21" s="88">
        <v>0</v>
      </c>
      <c r="AP21" s="88">
        <v>136163.57999999999</v>
      </c>
      <c r="AQ21" s="56"/>
      <c r="AR21" s="56">
        <v>0</v>
      </c>
      <c r="AS21" s="56"/>
      <c r="AT21" s="56">
        <v>0</v>
      </c>
      <c r="AU21" s="56"/>
      <c r="AV21" s="56">
        <f t="shared" si="2"/>
        <v>136163.57999999999</v>
      </c>
      <c r="AW21" s="56"/>
      <c r="AX21" s="56">
        <v>0</v>
      </c>
      <c r="AY21" s="56"/>
      <c r="AZ21" s="56">
        <v>130000</v>
      </c>
      <c r="BA21" s="56">
        <f>SUM(AW21:AZ21)</f>
        <v>130000</v>
      </c>
      <c r="BB21" s="214"/>
      <c r="BC21" s="56"/>
      <c r="BD21" s="84">
        <f t="shared" si="3"/>
        <v>6240.7299999999814</v>
      </c>
      <c r="BE21" s="56"/>
      <c r="BF21" s="56"/>
      <c r="BG21" s="56"/>
      <c r="BH21" s="72">
        <v>1</v>
      </c>
      <c r="BJ21">
        <v>1</v>
      </c>
    </row>
    <row r="22" spans="1:62" ht="20.100000000000001" customHeight="1" outlineLevel="1">
      <c r="A22" s="77" t="s">
        <v>43</v>
      </c>
      <c r="B22" s="77" t="s">
        <v>216</v>
      </c>
      <c r="C22" s="77" t="str">
        <f t="shared" si="5"/>
        <v>AD·</v>
      </c>
      <c r="D22" s="78" t="s">
        <v>46</v>
      </c>
      <c r="E22" s="78" t="str">
        <f t="shared" si="4"/>
        <v>000</v>
      </c>
      <c r="F22" s="3">
        <v>611117</v>
      </c>
      <c r="G22" s="120" t="s">
        <v>217</v>
      </c>
      <c r="H22" s="87"/>
      <c r="I22" s="13">
        <v>56608</v>
      </c>
      <c r="J22" s="13">
        <v>59331</v>
      </c>
      <c r="L22" s="56">
        <v>61895</v>
      </c>
      <c r="M22" s="56"/>
      <c r="N22" s="56">
        <v>64421</v>
      </c>
      <c r="O22" s="56"/>
      <c r="P22" s="56">
        <v>64421</v>
      </c>
      <c r="Q22" s="56"/>
      <c r="R22" s="56">
        <v>66396</v>
      </c>
      <c r="S22" s="56"/>
      <c r="T22" s="56">
        <v>0</v>
      </c>
      <c r="U22" s="56"/>
      <c r="V22" s="56">
        <v>66396</v>
      </c>
      <c r="W22" s="56"/>
      <c r="X22" s="56">
        <v>71969.440000000002</v>
      </c>
      <c r="Y22" s="56"/>
      <c r="Z22" s="56">
        <v>70079</v>
      </c>
      <c r="AA22" s="56"/>
      <c r="AB22" s="56"/>
      <c r="AC22" s="56"/>
      <c r="AD22" s="56">
        <v>0</v>
      </c>
      <c r="AE22" s="56"/>
      <c r="AF22" s="56">
        <f t="shared" si="0"/>
        <v>70079</v>
      </c>
      <c r="AG22" s="56">
        <v>0</v>
      </c>
      <c r="AH22" s="56">
        <v>1250</v>
      </c>
      <c r="AI22" s="56"/>
      <c r="AJ22" s="56">
        <f t="shared" si="1"/>
        <v>71329</v>
      </c>
      <c r="AK22" s="85"/>
      <c r="AL22" s="56">
        <v>0</v>
      </c>
      <c r="AM22" s="56"/>
      <c r="AN22" s="88">
        <v>71327.960000000006</v>
      </c>
      <c r="AO22" s="88">
        <v>0</v>
      </c>
      <c r="AP22" s="88">
        <v>70545</v>
      </c>
      <c r="AQ22" s="56"/>
      <c r="AR22" s="56">
        <v>0</v>
      </c>
      <c r="AS22" s="56"/>
      <c r="AT22" s="56">
        <v>0</v>
      </c>
      <c r="AU22" s="56"/>
      <c r="AV22" s="56">
        <f t="shared" si="2"/>
        <v>70545</v>
      </c>
      <c r="AW22" s="56"/>
      <c r="AX22" s="56">
        <v>0</v>
      </c>
      <c r="AY22" s="56"/>
      <c r="AZ22" s="56">
        <v>70546</v>
      </c>
      <c r="BA22" s="56">
        <f>71196+488</f>
        <v>71684</v>
      </c>
      <c r="BB22" s="214"/>
      <c r="BC22" s="56"/>
      <c r="BD22" s="84">
        <f t="shared" si="3"/>
        <v>-782.9600000000064</v>
      </c>
      <c r="BE22" s="56"/>
      <c r="BF22" s="56"/>
      <c r="BG22" s="56"/>
      <c r="BH22" s="72">
        <v>1</v>
      </c>
      <c r="BJ22">
        <v>1</v>
      </c>
    </row>
    <row r="23" spans="1:62" ht="20.100000000000001" customHeight="1" outlineLevel="1">
      <c r="A23" s="77" t="s">
        <v>43</v>
      </c>
      <c r="B23" s="77" t="s">
        <v>218</v>
      </c>
      <c r="C23" s="77" t="str">
        <f t="shared" si="5"/>
        <v>AD·</v>
      </c>
      <c r="D23" s="78" t="s">
        <v>46</v>
      </c>
      <c r="E23" s="78" t="str">
        <f t="shared" si="4"/>
        <v>000</v>
      </c>
      <c r="F23" s="3">
        <v>611342</v>
      </c>
      <c r="G23" s="120" t="s">
        <v>219</v>
      </c>
      <c r="H23" s="87"/>
      <c r="I23" s="13">
        <v>53270</v>
      </c>
      <c r="J23" s="13">
        <v>53729</v>
      </c>
      <c r="L23" s="56">
        <v>59747</v>
      </c>
      <c r="M23" s="56"/>
      <c r="N23" s="56">
        <v>62619</v>
      </c>
      <c r="O23" s="56"/>
      <c r="P23" s="56">
        <v>62619</v>
      </c>
      <c r="Q23" s="56"/>
      <c r="R23" s="56">
        <v>62585</v>
      </c>
      <c r="S23" s="56"/>
      <c r="T23" s="56">
        <v>0</v>
      </c>
      <c r="U23" s="56"/>
      <c r="V23" s="56">
        <v>62585</v>
      </c>
      <c r="W23" s="56"/>
      <c r="X23" s="56">
        <v>57791</v>
      </c>
      <c r="Y23" s="56"/>
      <c r="Z23" s="56">
        <v>63482</v>
      </c>
      <c r="AA23" s="56"/>
      <c r="AB23" s="56"/>
      <c r="AC23" s="56"/>
      <c r="AD23" s="56">
        <v>0</v>
      </c>
      <c r="AE23" s="56"/>
      <c r="AF23" s="56">
        <f t="shared" si="0"/>
        <v>63482</v>
      </c>
      <c r="AG23" s="56">
        <v>0</v>
      </c>
      <c r="AH23" s="56">
        <v>1250</v>
      </c>
      <c r="AI23" s="56"/>
      <c r="AJ23" s="56">
        <f t="shared" si="1"/>
        <v>64732</v>
      </c>
      <c r="AK23" s="85"/>
      <c r="AL23" s="56">
        <v>0</v>
      </c>
      <c r="AM23" s="56"/>
      <c r="AN23" s="88">
        <v>66797</v>
      </c>
      <c r="AO23" s="88">
        <v>0</v>
      </c>
      <c r="AP23" s="88">
        <v>56393.47</v>
      </c>
      <c r="AQ23" s="56"/>
      <c r="AR23" s="56">
        <v>0</v>
      </c>
      <c r="AS23" s="56"/>
      <c r="AT23" s="56">
        <v>0</v>
      </c>
      <c r="AU23" s="56"/>
      <c r="AV23" s="56">
        <f t="shared" si="2"/>
        <v>56393.47</v>
      </c>
      <c r="AW23" s="56"/>
      <c r="AX23" s="106">
        <v>-7515</v>
      </c>
      <c r="AY23" s="56"/>
      <c r="AZ23" s="56">
        <v>61070</v>
      </c>
      <c r="BA23" s="56">
        <v>61070</v>
      </c>
      <c r="BB23" s="214"/>
      <c r="BC23" s="56"/>
      <c r="BD23" s="84">
        <f t="shared" si="3"/>
        <v>-10403.529999999999</v>
      </c>
      <c r="BE23" s="56"/>
      <c r="BF23" s="56"/>
      <c r="BG23" s="56"/>
      <c r="BH23" s="72">
        <v>1</v>
      </c>
      <c r="BJ23">
        <v>1</v>
      </c>
    </row>
    <row r="24" spans="1:62" ht="20.100000000000001" customHeight="1" outlineLevel="1">
      <c r="A24" s="77" t="s">
        <v>43</v>
      </c>
      <c r="B24" s="77" t="s">
        <v>218</v>
      </c>
      <c r="C24" s="77" t="str">
        <f t="shared" si="5"/>
        <v>AD·</v>
      </c>
      <c r="D24" s="78" t="s">
        <v>46</v>
      </c>
      <c r="E24" s="78" t="str">
        <f t="shared" si="4"/>
        <v>000</v>
      </c>
      <c r="F24" s="3">
        <v>611411</v>
      </c>
      <c r="G24" s="120" t="s">
        <v>220</v>
      </c>
      <c r="H24" s="87"/>
      <c r="I24" s="13">
        <v>23466</v>
      </c>
      <c r="J24" s="13">
        <v>23799</v>
      </c>
      <c r="L24" s="56">
        <v>27442</v>
      </c>
      <c r="M24" s="56"/>
      <c r="N24" s="56">
        <v>25992</v>
      </c>
      <c r="O24" s="56"/>
      <c r="P24" s="56">
        <v>25992</v>
      </c>
      <c r="Q24" s="56"/>
      <c r="R24" s="56">
        <v>38197</v>
      </c>
      <c r="S24" s="56"/>
      <c r="T24" s="56">
        <v>0</v>
      </c>
      <c r="U24" s="56"/>
      <c r="V24" s="56">
        <v>38197</v>
      </c>
      <c r="W24" s="56"/>
      <c r="X24" s="56">
        <v>37413.629999999997</v>
      </c>
      <c r="Y24" s="56"/>
      <c r="Z24" s="56">
        <v>46204</v>
      </c>
      <c r="AA24" s="56"/>
      <c r="AB24" s="56"/>
      <c r="AC24" s="56"/>
      <c r="AD24" s="56">
        <v>0</v>
      </c>
      <c r="AE24" s="56"/>
      <c r="AF24" s="56">
        <f t="shared" si="0"/>
        <v>46204</v>
      </c>
      <c r="AG24" s="56">
        <v>0</v>
      </c>
      <c r="AH24" s="56">
        <v>3375</v>
      </c>
      <c r="AI24" s="56"/>
      <c r="AJ24" s="56">
        <f t="shared" si="1"/>
        <v>49579</v>
      </c>
      <c r="AK24" s="85"/>
      <c r="AL24" s="56">
        <v>0</v>
      </c>
      <c r="AM24" s="56"/>
      <c r="AN24" s="88">
        <v>39597.96</v>
      </c>
      <c r="AO24" s="88">
        <v>0</v>
      </c>
      <c r="AP24" s="88">
        <f>32632.64</f>
        <v>32632.639999999999</v>
      </c>
      <c r="AQ24" s="56"/>
      <c r="AR24" s="56">
        <v>0</v>
      </c>
      <c r="AS24" s="56"/>
      <c r="AT24" s="56">
        <v>0</v>
      </c>
      <c r="AU24" s="56"/>
      <c r="AV24" s="56">
        <f t="shared" si="2"/>
        <v>32632.639999999999</v>
      </c>
      <c r="AW24" s="56"/>
      <c r="AX24" s="56">
        <v>0</v>
      </c>
      <c r="AY24" s="56"/>
      <c r="AZ24" s="56">
        <v>44600</v>
      </c>
      <c r="BA24" s="56">
        <v>37500</v>
      </c>
      <c r="BB24" s="214"/>
      <c r="BC24" s="56"/>
      <c r="BD24" s="84">
        <f t="shared" si="3"/>
        <v>-6965.32</v>
      </c>
      <c r="BE24" s="56"/>
      <c r="BF24" s="56"/>
      <c r="BG24" s="56"/>
      <c r="BH24" s="72">
        <v>1</v>
      </c>
      <c r="BJ24">
        <v>1</v>
      </c>
    </row>
    <row r="25" spans="1:62" ht="20.100000000000001" customHeight="1" outlineLevel="1">
      <c r="A25" s="77" t="s">
        <v>43</v>
      </c>
      <c r="B25" s="77" t="s">
        <v>218</v>
      </c>
      <c r="C25" s="77" t="str">
        <f t="shared" si="5"/>
        <v>AD·</v>
      </c>
      <c r="D25" s="78" t="s">
        <v>46</v>
      </c>
      <c r="E25" s="78" t="str">
        <f t="shared" si="4"/>
        <v>000</v>
      </c>
      <c r="F25" s="3">
        <v>658211</v>
      </c>
      <c r="G25" s="120" t="s">
        <v>221</v>
      </c>
      <c r="H25" s="87"/>
      <c r="I25" s="13">
        <v>6070</v>
      </c>
      <c r="J25" s="13">
        <v>4292</v>
      </c>
      <c r="L25" s="56">
        <v>4500</v>
      </c>
      <c r="M25" s="56"/>
      <c r="N25" s="56">
        <v>4500</v>
      </c>
      <c r="O25" s="56"/>
      <c r="P25" s="56">
        <v>4500</v>
      </c>
      <c r="Q25" s="56"/>
      <c r="R25" s="56">
        <v>4500</v>
      </c>
      <c r="S25" s="56"/>
      <c r="T25" s="56">
        <v>0</v>
      </c>
      <c r="U25" s="56"/>
      <c r="V25" s="56">
        <v>4500</v>
      </c>
      <c r="W25" s="56"/>
      <c r="X25" s="56">
        <v>4126.16</v>
      </c>
      <c r="Y25" s="56"/>
      <c r="Z25" s="56">
        <v>4500</v>
      </c>
      <c r="AA25" s="56"/>
      <c r="AB25" s="56"/>
      <c r="AC25" s="56"/>
      <c r="AD25" s="56">
        <v>0</v>
      </c>
      <c r="AE25" s="56"/>
      <c r="AF25" s="56">
        <f t="shared" si="0"/>
        <v>4500</v>
      </c>
      <c r="AG25" s="56">
        <v>0</v>
      </c>
      <c r="AH25" s="56">
        <v>0</v>
      </c>
      <c r="AI25" s="56"/>
      <c r="AJ25" s="56">
        <f t="shared" si="1"/>
        <v>4500</v>
      </c>
      <c r="AK25" s="85"/>
      <c r="AL25" s="56">
        <v>-1226</v>
      </c>
      <c r="AM25" s="56"/>
      <c r="AN25" s="88">
        <v>4469.5200000000004</v>
      </c>
      <c r="AO25" s="88">
        <v>0</v>
      </c>
      <c r="AP25" s="88">
        <v>4344.3999999999996</v>
      </c>
      <c r="AQ25" s="56"/>
      <c r="AR25" s="56">
        <v>0</v>
      </c>
      <c r="AS25" s="56"/>
      <c r="AT25" s="56">
        <v>0</v>
      </c>
      <c r="AU25" s="56"/>
      <c r="AV25" s="56">
        <f t="shared" si="2"/>
        <v>4344.3999999999996</v>
      </c>
      <c r="AW25" s="56"/>
      <c r="AX25" s="56">
        <v>0</v>
      </c>
      <c r="AY25" s="56"/>
      <c r="AZ25" s="56">
        <v>4500</v>
      </c>
      <c r="BA25" s="56">
        <f>SUM(AW25:AZ25)</f>
        <v>4500</v>
      </c>
      <c r="BB25" s="214"/>
      <c r="BC25" s="56"/>
      <c r="BD25" s="84">
        <f t="shared" si="3"/>
        <v>-125.1200000000008</v>
      </c>
      <c r="BE25" s="56"/>
      <c r="BF25" s="56"/>
      <c r="BG25" s="56"/>
      <c r="BH25" s="72"/>
    </row>
    <row r="26" spans="1:62" ht="20.100000000000001" customHeight="1" outlineLevel="1">
      <c r="A26" s="77" t="s">
        <v>43</v>
      </c>
      <c r="B26" s="77" t="s">
        <v>218</v>
      </c>
      <c r="C26" s="77" t="str">
        <f t="shared" si="5"/>
        <v>AD·</v>
      </c>
      <c r="D26" s="78" t="s">
        <v>46</v>
      </c>
      <c r="E26" s="78" t="str">
        <f t="shared" si="4"/>
        <v>000</v>
      </c>
      <c r="F26" s="3">
        <v>643011</v>
      </c>
      <c r="G26" s="120" t="s">
        <v>222</v>
      </c>
      <c r="H26" s="87"/>
      <c r="I26" s="13"/>
      <c r="J26" s="13"/>
      <c r="L26" s="56">
        <v>0</v>
      </c>
      <c r="M26" s="56"/>
      <c r="N26" s="56"/>
      <c r="O26" s="56"/>
      <c r="P26" s="56"/>
      <c r="Q26" s="56"/>
      <c r="R26" s="56"/>
      <c r="S26" s="56"/>
      <c r="T26" s="56"/>
      <c r="U26" s="56"/>
      <c r="V26" s="56"/>
      <c r="W26" s="56"/>
      <c r="X26" s="56">
        <v>1262.04</v>
      </c>
      <c r="Y26" s="56"/>
      <c r="Z26" s="56">
        <v>0</v>
      </c>
      <c r="AA26" s="56"/>
      <c r="AB26" s="56"/>
      <c r="AC26" s="56"/>
      <c r="AD26" s="56"/>
      <c r="AE26" s="56"/>
      <c r="AF26" s="56">
        <v>0</v>
      </c>
      <c r="AG26" s="56">
        <v>0</v>
      </c>
      <c r="AH26" s="56">
        <v>0</v>
      </c>
      <c r="AI26" s="56"/>
      <c r="AJ26" s="56">
        <f t="shared" si="1"/>
        <v>0</v>
      </c>
      <c r="AK26" s="85"/>
      <c r="AL26" s="56">
        <v>0</v>
      </c>
      <c r="AM26" s="56"/>
      <c r="AN26" s="88">
        <v>864</v>
      </c>
      <c r="AO26" s="88">
        <v>0</v>
      </c>
      <c r="AP26" s="88">
        <v>0</v>
      </c>
      <c r="AQ26" s="56"/>
      <c r="AR26" s="56">
        <v>0</v>
      </c>
      <c r="AS26" s="56"/>
      <c r="AT26" s="56">
        <v>0</v>
      </c>
      <c r="AU26" s="56"/>
      <c r="AV26" s="56">
        <v>0</v>
      </c>
      <c r="AW26" s="56"/>
      <c r="AX26" s="56">
        <v>0</v>
      </c>
      <c r="AY26" s="56"/>
      <c r="AZ26" s="56">
        <v>0</v>
      </c>
      <c r="BA26" s="56">
        <v>0</v>
      </c>
      <c r="BB26" s="214"/>
      <c r="BC26" s="56"/>
      <c r="BD26" s="84">
        <f t="shared" si="3"/>
        <v>-864</v>
      </c>
      <c r="BE26" s="56"/>
      <c r="BF26" s="56"/>
      <c r="BG26" s="56"/>
      <c r="BH26" s="72"/>
    </row>
    <row r="27" spans="1:62" ht="20.100000000000001" customHeight="1" outlineLevel="1">
      <c r="A27" s="77" t="s">
        <v>43</v>
      </c>
      <c r="B27" s="77" t="s">
        <v>218</v>
      </c>
      <c r="C27" s="77" t="str">
        <f t="shared" si="5"/>
        <v>AD·</v>
      </c>
      <c r="D27" s="78" t="s">
        <v>46</v>
      </c>
      <c r="E27" s="78" t="str">
        <f t="shared" si="4"/>
        <v>000</v>
      </c>
      <c r="F27" s="3">
        <v>644212</v>
      </c>
      <c r="G27" s="120" t="s">
        <v>70</v>
      </c>
      <c r="H27" s="87"/>
      <c r="I27" s="13">
        <v>0</v>
      </c>
      <c r="J27" s="13">
        <v>432</v>
      </c>
      <c r="L27" s="56">
        <v>0</v>
      </c>
      <c r="M27" s="56"/>
      <c r="N27" s="56">
        <v>0</v>
      </c>
      <c r="O27" s="56"/>
      <c r="P27" s="56">
        <v>0</v>
      </c>
      <c r="Q27" s="56"/>
      <c r="R27" s="56">
        <v>0</v>
      </c>
      <c r="S27" s="56"/>
      <c r="T27" s="56">
        <v>0</v>
      </c>
      <c r="U27" s="56"/>
      <c r="V27" s="56">
        <v>0</v>
      </c>
      <c r="W27" s="56"/>
      <c r="X27" s="56">
        <v>0</v>
      </c>
      <c r="Y27" s="56"/>
      <c r="Z27" s="56">
        <v>3000</v>
      </c>
      <c r="AA27" s="56"/>
      <c r="AB27" s="56"/>
      <c r="AC27" s="56"/>
      <c r="AD27" s="56">
        <v>0</v>
      </c>
      <c r="AE27" s="56"/>
      <c r="AF27" s="56">
        <f>SUM(Z27:AE27)</f>
        <v>3000</v>
      </c>
      <c r="AG27" s="56">
        <v>0</v>
      </c>
      <c r="AH27" s="56">
        <v>0</v>
      </c>
      <c r="AI27" s="56"/>
      <c r="AJ27" s="56">
        <f t="shared" si="1"/>
        <v>3000</v>
      </c>
      <c r="AK27" s="85"/>
      <c r="AL27" s="56">
        <v>0</v>
      </c>
      <c r="AM27" s="56"/>
      <c r="AN27" s="88">
        <v>0</v>
      </c>
      <c r="AO27" s="88">
        <v>0</v>
      </c>
      <c r="AP27" s="88">
        <v>25</v>
      </c>
      <c r="AQ27" s="56"/>
      <c r="AR27" s="56">
        <v>0</v>
      </c>
      <c r="AS27" s="56"/>
      <c r="AT27" s="56">
        <v>0</v>
      </c>
      <c r="AU27" s="56"/>
      <c r="AV27" s="56">
        <f>SUM(AP27:AU27)</f>
        <v>25</v>
      </c>
      <c r="AW27" s="56"/>
      <c r="AX27" s="56">
        <v>0</v>
      </c>
      <c r="AY27" s="56"/>
      <c r="AZ27" s="56">
        <v>3000</v>
      </c>
      <c r="BA27" s="56">
        <f>SUM(AW27:AZ27)</f>
        <v>3000</v>
      </c>
      <c r="BB27" s="214"/>
      <c r="BC27" s="56"/>
      <c r="BD27" s="84">
        <f t="shared" si="3"/>
        <v>25</v>
      </c>
      <c r="BE27" s="56"/>
      <c r="BF27" s="56"/>
      <c r="BG27" s="56"/>
      <c r="BH27" s="72"/>
    </row>
    <row r="28" spans="1:62" ht="20.100000000000001" customHeight="1" outlineLevel="1">
      <c r="A28" s="77" t="s">
        <v>43</v>
      </c>
      <c r="B28" s="77" t="s">
        <v>218</v>
      </c>
      <c r="C28" s="77" t="str">
        <f t="shared" si="5"/>
        <v>AD·</v>
      </c>
      <c r="D28" s="78" t="s">
        <v>46</v>
      </c>
      <c r="E28" s="78" t="str">
        <f t="shared" si="4"/>
        <v>000</v>
      </c>
      <c r="F28" s="3">
        <v>661011</v>
      </c>
      <c r="G28" s="120" t="s">
        <v>223</v>
      </c>
      <c r="H28" s="87"/>
      <c r="I28" s="13">
        <v>3383</v>
      </c>
      <c r="J28" s="13">
        <v>3082</v>
      </c>
      <c r="L28" s="56">
        <v>2480</v>
      </c>
      <c r="M28" s="56"/>
      <c r="N28" s="56">
        <v>2500</v>
      </c>
      <c r="O28" s="56"/>
      <c r="P28" s="56">
        <v>2500</v>
      </c>
      <c r="Q28" s="56"/>
      <c r="R28" s="56">
        <v>2500</v>
      </c>
      <c r="S28" s="56"/>
      <c r="T28" s="56">
        <v>0</v>
      </c>
      <c r="U28" s="56"/>
      <c r="V28" s="56">
        <v>2500</v>
      </c>
      <c r="W28" s="56"/>
      <c r="X28" s="56">
        <v>3394.45</v>
      </c>
      <c r="Y28" s="56"/>
      <c r="Z28" s="56">
        <v>2500</v>
      </c>
      <c r="AA28" s="56"/>
      <c r="AB28" s="56"/>
      <c r="AC28" s="56"/>
      <c r="AD28" s="56">
        <v>0</v>
      </c>
      <c r="AE28" s="56"/>
      <c r="AF28" s="56">
        <f>SUM(Z28:AE28)</f>
        <v>2500</v>
      </c>
      <c r="AG28" s="56">
        <v>0</v>
      </c>
      <c r="AH28" s="56">
        <v>0</v>
      </c>
      <c r="AI28" s="56"/>
      <c r="AJ28" s="56">
        <f t="shared" si="1"/>
        <v>2500</v>
      </c>
      <c r="AK28" s="85"/>
      <c r="AL28" s="56">
        <v>1226</v>
      </c>
      <c r="AM28" s="56"/>
      <c r="AN28" s="88">
        <v>3739.18</v>
      </c>
      <c r="AO28" s="88">
        <v>0</v>
      </c>
      <c r="AP28" s="88">
        <v>2845.43</v>
      </c>
      <c r="AQ28" s="56"/>
      <c r="AR28" s="56">
        <v>0</v>
      </c>
      <c r="AS28" s="56"/>
      <c r="AT28" s="56">
        <v>0</v>
      </c>
      <c r="AU28" s="56"/>
      <c r="AV28" s="56">
        <f>SUM(AP28:AU28)</f>
        <v>2845.43</v>
      </c>
      <c r="AW28" s="56"/>
      <c r="AX28" s="56">
        <v>0</v>
      </c>
      <c r="AY28" s="56"/>
      <c r="AZ28" s="56">
        <v>2500</v>
      </c>
      <c r="BA28" s="56">
        <f>SUM(AW28:AZ28)</f>
        <v>2500</v>
      </c>
      <c r="BB28" s="214"/>
      <c r="BC28" s="56"/>
      <c r="BD28" s="84">
        <f t="shared" si="3"/>
        <v>-893.75</v>
      </c>
      <c r="BE28" s="56"/>
      <c r="BF28" s="56"/>
      <c r="BG28" s="56"/>
      <c r="BH28" s="72"/>
    </row>
    <row r="29" spans="1:62" ht="20.100000000000001" customHeight="1" outlineLevel="1">
      <c r="A29" s="77" t="s">
        <v>43</v>
      </c>
      <c r="B29" s="77" t="s">
        <v>218</v>
      </c>
      <c r="C29" s="77" t="str">
        <f t="shared" si="5"/>
        <v>AD·</v>
      </c>
      <c r="D29" s="78" t="s">
        <v>46</v>
      </c>
      <c r="E29" s="78" t="str">
        <f t="shared" si="4"/>
        <v>000</v>
      </c>
      <c r="F29" s="3">
        <v>673001</v>
      </c>
      <c r="G29" s="120" t="s">
        <v>224</v>
      </c>
      <c r="H29" s="87"/>
      <c r="I29" s="13"/>
      <c r="J29" s="13"/>
      <c r="L29" s="56">
        <v>0</v>
      </c>
      <c r="M29" s="56"/>
      <c r="N29" s="56"/>
      <c r="O29" s="56"/>
      <c r="P29" s="56"/>
      <c r="Q29" s="56"/>
      <c r="R29" s="56"/>
      <c r="S29" s="56"/>
      <c r="T29" s="56"/>
      <c r="U29" s="56"/>
      <c r="V29" s="56"/>
      <c r="W29" s="56"/>
      <c r="X29" s="56">
        <v>3531</v>
      </c>
      <c r="Y29" s="56"/>
      <c r="Z29" s="56">
        <v>0</v>
      </c>
      <c r="AA29" s="56"/>
      <c r="AB29" s="56"/>
      <c r="AC29" s="56"/>
      <c r="AD29" s="56"/>
      <c r="AE29" s="56"/>
      <c r="AF29" s="56">
        <v>0</v>
      </c>
      <c r="AG29" s="56">
        <v>0</v>
      </c>
      <c r="AH29" s="56">
        <v>0</v>
      </c>
      <c r="AI29" s="56"/>
      <c r="AJ29" s="56">
        <f t="shared" si="1"/>
        <v>0</v>
      </c>
      <c r="AK29" s="85"/>
      <c r="AL29" s="56">
        <v>0</v>
      </c>
      <c r="AM29" s="56"/>
      <c r="AN29" s="88">
        <f>SUM(AI29:AM29)</f>
        <v>0</v>
      </c>
      <c r="AO29" s="88">
        <v>0</v>
      </c>
      <c r="AP29" s="88">
        <v>0</v>
      </c>
      <c r="AQ29" s="56"/>
      <c r="AR29" s="123">
        <v>0</v>
      </c>
      <c r="AS29" s="56"/>
      <c r="AT29" s="56">
        <v>0</v>
      </c>
      <c r="AU29" s="56"/>
      <c r="AV29" s="56">
        <v>0</v>
      </c>
      <c r="AW29" s="56"/>
      <c r="AX29" s="56">
        <v>0</v>
      </c>
      <c r="AY29" s="56"/>
      <c r="AZ29" s="56">
        <v>0</v>
      </c>
      <c r="BA29" s="56">
        <v>0</v>
      </c>
      <c r="BB29" s="214"/>
      <c r="BC29" s="56"/>
      <c r="BD29" s="84">
        <f t="shared" si="3"/>
        <v>0</v>
      </c>
      <c r="BE29" s="56"/>
      <c r="BF29" s="56"/>
      <c r="BG29" s="56"/>
      <c r="BH29" s="72"/>
    </row>
    <row r="30" spans="1:62" ht="20.100000000000001" customHeight="1" outlineLevel="1">
      <c r="A30" s="77" t="s">
        <v>43</v>
      </c>
      <c r="B30" s="77" t="s">
        <v>225</v>
      </c>
      <c r="C30" s="77" t="str">
        <f t="shared" si="5"/>
        <v>AD·</v>
      </c>
      <c r="D30" s="78" t="s">
        <v>46</v>
      </c>
      <c r="E30" s="78" t="str">
        <f t="shared" si="4"/>
        <v>000</v>
      </c>
      <c r="F30" s="3">
        <v>615011</v>
      </c>
      <c r="G30" s="120" t="s">
        <v>226</v>
      </c>
      <c r="H30" s="87"/>
      <c r="I30" s="13">
        <v>2375</v>
      </c>
      <c r="J30" s="13">
        <v>12201</v>
      </c>
      <c r="L30" s="56">
        <v>5100</v>
      </c>
      <c r="M30" s="56"/>
      <c r="N30" s="56">
        <v>22180</v>
      </c>
      <c r="O30" s="56"/>
      <c r="P30" s="56">
        <v>22180</v>
      </c>
      <c r="Q30" s="56"/>
      <c r="R30" s="56">
        <v>22180</v>
      </c>
      <c r="S30" s="56"/>
      <c r="T30" s="56">
        <v>0</v>
      </c>
      <c r="U30" s="56"/>
      <c r="V30" s="56">
        <v>22180</v>
      </c>
      <c r="W30" s="56"/>
      <c r="X30" s="56">
        <v>13400</v>
      </c>
      <c r="Y30" s="56"/>
      <c r="Z30" s="56">
        <v>22180</v>
      </c>
      <c r="AA30" s="56"/>
      <c r="AB30" s="56"/>
      <c r="AC30" s="56"/>
      <c r="AD30" s="56">
        <v>0</v>
      </c>
      <c r="AE30" s="56"/>
      <c r="AF30" s="56">
        <f t="shared" ref="AF30:AF50" si="6">SUM(Z30:AE30)</f>
        <v>22180</v>
      </c>
      <c r="AG30" s="56">
        <v>0</v>
      </c>
      <c r="AH30" s="56">
        <v>0</v>
      </c>
      <c r="AI30" s="56"/>
      <c r="AJ30" s="56">
        <f t="shared" si="1"/>
        <v>22180</v>
      </c>
      <c r="AK30" s="85"/>
      <c r="AL30" s="56">
        <v>2000</v>
      </c>
      <c r="AM30" s="56"/>
      <c r="AN30" s="88">
        <v>21500</v>
      </c>
      <c r="AO30" s="88">
        <v>0</v>
      </c>
      <c r="AP30" s="88">
        <v>28400</v>
      </c>
      <c r="AQ30" s="56"/>
      <c r="AR30" s="123">
        <v>0</v>
      </c>
      <c r="AS30" s="56"/>
      <c r="AT30" s="56">
        <v>0</v>
      </c>
      <c r="AU30" s="56"/>
      <c r="AV30" s="56">
        <f t="shared" ref="AV30:AV59" si="7">SUM(AP30:AU30)</f>
        <v>28400</v>
      </c>
      <c r="AW30" s="56"/>
      <c r="AX30" s="56">
        <v>7000</v>
      </c>
      <c r="AY30" s="56"/>
      <c r="AZ30" s="56">
        <v>9180</v>
      </c>
      <c r="BA30" s="56">
        <v>9180</v>
      </c>
      <c r="BB30" s="214"/>
      <c r="BC30" s="56"/>
      <c r="BD30" s="84">
        <f t="shared" si="3"/>
        <v>6900</v>
      </c>
      <c r="BE30" s="56"/>
      <c r="BF30" s="56"/>
      <c r="BG30" s="56"/>
      <c r="BH30" s="72">
        <v>1</v>
      </c>
      <c r="BJ30">
        <v>1</v>
      </c>
    </row>
    <row r="31" spans="1:62" ht="20.100000000000001" customHeight="1" outlineLevel="1">
      <c r="A31" s="77" t="s">
        <v>43</v>
      </c>
      <c r="B31" s="77" t="s">
        <v>225</v>
      </c>
      <c r="C31" s="77" t="str">
        <f t="shared" si="5"/>
        <v>AD·</v>
      </c>
      <c r="D31" s="78" t="s">
        <v>46</v>
      </c>
      <c r="E31" s="78" t="str">
        <f t="shared" si="4"/>
        <v>000</v>
      </c>
      <c r="F31" s="3">
        <v>615012</v>
      </c>
      <c r="G31" s="120" t="s">
        <v>227</v>
      </c>
      <c r="H31" s="87"/>
      <c r="I31" s="13">
        <v>0</v>
      </c>
      <c r="J31" s="13">
        <v>0</v>
      </c>
      <c r="L31" s="56">
        <v>0</v>
      </c>
      <c r="M31" s="56"/>
      <c r="N31" s="56">
        <v>0</v>
      </c>
      <c r="O31" s="56"/>
      <c r="P31" s="56">
        <v>135000</v>
      </c>
      <c r="Q31" s="56"/>
      <c r="R31" s="56">
        <v>135000</v>
      </c>
      <c r="S31" s="56"/>
      <c r="T31" s="56">
        <v>0</v>
      </c>
      <c r="U31" s="56"/>
      <c r="V31" s="56">
        <v>135000</v>
      </c>
      <c r="W31" s="56"/>
      <c r="X31" s="56">
        <v>71429</v>
      </c>
      <c r="Y31" s="56"/>
      <c r="Z31" s="56">
        <v>5000</v>
      </c>
      <c r="AA31" s="56"/>
      <c r="AB31" s="56"/>
      <c r="AC31" s="56"/>
      <c r="AD31" s="56">
        <v>0</v>
      </c>
      <c r="AE31" s="56"/>
      <c r="AF31" s="56">
        <f t="shared" si="6"/>
        <v>5000</v>
      </c>
      <c r="AG31" s="56">
        <v>0</v>
      </c>
      <c r="AH31" s="56">
        <v>0</v>
      </c>
      <c r="AI31" s="56"/>
      <c r="AJ31" s="56">
        <f t="shared" si="1"/>
        <v>5000</v>
      </c>
      <c r="AK31" s="85"/>
      <c r="AL31" s="56">
        <v>0</v>
      </c>
      <c r="AM31" s="56"/>
      <c r="AN31" s="88">
        <v>0</v>
      </c>
      <c r="AO31" s="88">
        <v>0</v>
      </c>
      <c r="AP31" s="88">
        <v>8910</v>
      </c>
      <c r="AQ31" s="56"/>
      <c r="AR31" s="123">
        <v>0</v>
      </c>
      <c r="AS31" s="56"/>
      <c r="AT31" s="56">
        <v>0</v>
      </c>
      <c r="AU31" s="56"/>
      <c r="AV31" s="56">
        <f t="shared" si="7"/>
        <v>8910</v>
      </c>
      <c r="AW31" s="56"/>
      <c r="AX31" s="56">
        <v>0</v>
      </c>
      <c r="AY31" s="56"/>
      <c r="AZ31" s="56">
        <v>5000</v>
      </c>
      <c r="BA31" s="56">
        <v>5000</v>
      </c>
      <c r="BB31" s="214"/>
      <c r="BC31" s="56"/>
      <c r="BD31" s="84">
        <f t="shared" si="3"/>
        <v>8910</v>
      </c>
      <c r="BE31" s="56"/>
      <c r="BF31" s="56"/>
      <c r="BG31" s="56"/>
      <c r="BH31" s="72">
        <v>1</v>
      </c>
      <c r="BJ31">
        <v>1</v>
      </c>
    </row>
    <row r="32" spans="1:62" ht="20.100000000000001" customHeight="1" outlineLevel="1">
      <c r="A32" s="77" t="s">
        <v>43</v>
      </c>
      <c r="B32" s="77" t="s">
        <v>218</v>
      </c>
      <c r="C32" s="77" t="str">
        <f t="shared" si="5"/>
        <v>AD·</v>
      </c>
      <c r="D32" s="78" t="s">
        <v>46</v>
      </c>
      <c r="E32" s="78" t="str">
        <f t="shared" si="4"/>
        <v>000</v>
      </c>
      <c r="F32" s="3">
        <v>658212</v>
      </c>
      <c r="G32" s="120" t="s">
        <v>228</v>
      </c>
      <c r="H32" s="87"/>
      <c r="I32" s="13">
        <v>0</v>
      </c>
      <c r="J32" s="13">
        <v>0</v>
      </c>
      <c r="L32" s="56">
        <v>0</v>
      </c>
      <c r="M32" s="56"/>
      <c r="N32" s="56">
        <v>0</v>
      </c>
      <c r="O32" s="56"/>
      <c r="P32" s="56">
        <v>2500</v>
      </c>
      <c r="Q32" s="56"/>
      <c r="R32" s="56">
        <v>2500</v>
      </c>
      <c r="S32" s="56"/>
      <c r="T32" s="56">
        <v>0</v>
      </c>
      <c r="U32" s="56"/>
      <c r="V32" s="56">
        <v>2500</v>
      </c>
      <c r="W32" s="56"/>
      <c r="X32" s="56">
        <v>0</v>
      </c>
      <c r="Y32" s="56"/>
      <c r="Z32" s="56">
        <v>2500</v>
      </c>
      <c r="AA32" s="56"/>
      <c r="AB32" s="56"/>
      <c r="AC32" s="56"/>
      <c r="AD32" s="56">
        <v>0</v>
      </c>
      <c r="AE32" s="56"/>
      <c r="AF32" s="56">
        <f t="shared" si="6"/>
        <v>2500</v>
      </c>
      <c r="AG32" s="56">
        <v>0</v>
      </c>
      <c r="AH32" s="56">
        <v>0</v>
      </c>
      <c r="AI32" s="56"/>
      <c r="AJ32" s="56">
        <f t="shared" si="1"/>
        <v>2500</v>
      </c>
      <c r="AK32" s="85"/>
      <c r="AL32" s="56">
        <v>0</v>
      </c>
      <c r="AM32" s="56"/>
      <c r="AN32" s="88">
        <v>0</v>
      </c>
      <c r="AO32" s="88">
        <v>0</v>
      </c>
      <c r="AP32" s="88">
        <v>0</v>
      </c>
      <c r="AQ32" s="56"/>
      <c r="AR32" s="123">
        <v>0</v>
      </c>
      <c r="AS32" s="56"/>
      <c r="AT32" s="56">
        <v>0</v>
      </c>
      <c r="AU32" s="56"/>
      <c r="AV32" s="56">
        <f t="shared" si="7"/>
        <v>0</v>
      </c>
      <c r="AW32" s="56"/>
      <c r="AX32" s="56">
        <v>0</v>
      </c>
      <c r="AY32" s="56"/>
      <c r="AZ32" s="56">
        <v>2500</v>
      </c>
      <c r="BA32" s="56">
        <f>SUM(AW32:AZ32)</f>
        <v>2500</v>
      </c>
      <c r="BB32" s="214"/>
      <c r="BC32" s="56"/>
      <c r="BD32" s="84">
        <f t="shared" si="3"/>
        <v>0</v>
      </c>
      <c r="BE32" s="56"/>
      <c r="BF32" s="56"/>
      <c r="BG32" s="56"/>
      <c r="BH32" s="72"/>
    </row>
    <row r="33" spans="1:62" ht="20.100000000000001" customHeight="1" outlineLevel="1">
      <c r="A33" s="77" t="s">
        <v>43</v>
      </c>
      <c r="B33" s="77" t="s">
        <v>218</v>
      </c>
      <c r="C33" s="77" t="str">
        <f t="shared" si="5"/>
        <v>AD·</v>
      </c>
      <c r="D33" s="78" t="s">
        <v>46</v>
      </c>
      <c r="E33" s="78" t="str">
        <f t="shared" si="4"/>
        <v>000</v>
      </c>
      <c r="F33" s="3">
        <v>611414</v>
      </c>
      <c r="G33" s="120" t="s">
        <v>229</v>
      </c>
      <c r="H33" s="87"/>
      <c r="I33" s="13">
        <v>0</v>
      </c>
      <c r="J33" s="13">
        <v>0</v>
      </c>
      <c r="L33" s="56">
        <v>0</v>
      </c>
      <c r="M33" s="56"/>
      <c r="N33" s="56">
        <v>0</v>
      </c>
      <c r="O33" s="56"/>
      <c r="P33" s="56">
        <v>9830</v>
      </c>
      <c r="Q33" s="56"/>
      <c r="R33" s="56">
        <v>9830</v>
      </c>
      <c r="S33" s="56"/>
      <c r="T33" s="56">
        <v>0</v>
      </c>
      <c r="U33" s="56"/>
      <c r="V33" s="56">
        <v>9830</v>
      </c>
      <c r="W33" s="56"/>
      <c r="X33" s="56">
        <v>0</v>
      </c>
      <c r="Y33" s="56"/>
      <c r="Z33" s="56">
        <v>7500</v>
      </c>
      <c r="AA33" s="56"/>
      <c r="AB33" s="56"/>
      <c r="AC33" s="56"/>
      <c r="AD33" s="56">
        <v>0</v>
      </c>
      <c r="AE33" s="56"/>
      <c r="AF33" s="56">
        <f t="shared" si="6"/>
        <v>7500</v>
      </c>
      <c r="AG33" s="56">
        <v>0</v>
      </c>
      <c r="AH33" s="56">
        <v>0</v>
      </c>
      <c r="AI33" s="56"/>
      <c r="AJ33" s="56">
        <f t="shared" si="1"/>
        <v>7500</v>
      </c>
      <c r="AK33" s="85"/>
      <c r="AL33" s="56">
        <v>0</v>
      </c>
      <c r="AM33" s="56"/>
      <c r="AN33" s="88">
        <v>0</v>
      </c>
      <c r="AO33" s="88">
        <v>0</v>
      </c>
      <c r="AP33" s="88">
        <v>0</v>
      </c>
      <c r="AQ33" s="56"/>
      <c r="AR33" s="123">
        <v>0</v>
      </c>
      <c r="AS33" s="56"/>
      <c r="AT33" s="56">
        <v>0</v>
      </c>
      <c r="AU33" s="56"/>
      <c r="AV33" s="56">
        <f t="shared" si="7"/>
        <v>0</v>
      </c>
      <c r="AW33" s="56"/>
      <c r="AX33" s="56">
        <v>0</v>
      </c>
      <c r="AY33" s="56"/>
      <c r="AZ33" s="56">
        <v>7500</v>
      </c>
      <c r="BA33" s="56">
        <f>SUM(AW33:AZ33)</f>
        <v>7500</v>
      </c>
      <c r="BB33" s="214"/>
      <c r="BC33" s="56"/>
      <c r="BD33" s="84">
        <f t="shared" si="3"/>
        <v>0</v>
      </c>
      <c r="BE33" s="56"/>
      <c r="BF33" s="56"/>
      <c r="BG33" s="56"/>
      <c r="BH33" s="72">
        <v>1</v>
      </c>
      <c r="BJ33">
        <v>1</v>
      </c>
    </row>
    <row r="34" spans="1:62" ht="20.100000000000001" customHeight="1" outlineLevel="1">
      <c r="A34" s="77" t="s">
        <v>43</v>
      </c>
      <c r="B34" s="77" t="s">
        <v>225</v>
      </c>
      <c r="C34" s="77" t="str">
        <f t="shared" si="5"/>
        <v>AD·</v>
      </c>
      <c r="D34" s="78" t="s">
        <v>46</v>
      </c>
      <c r="E34" s="78" t="str">
        <f t="shared" si="4"/>
        <v>000</v>
      </c>
      <c r="F34" s="3">
        <v>615013</v>
      </c>
      <c r="G34" s="120" t="s">
        <v>230</v>
      </c>
      <c r="H34" s="87"/>
      <c r="I34" s="13">
        <v>0</v>
      </c>
      <c r="J34" s="13">
        <v>0</v>
      </c>
      <c r="L34" s="56">
        <v>0</v>
      </c>
      <c r="M34" s="56"/>
      <c r="N34" s="56">
        <v>0</v>
      </c>
      <c r="O34" s="56"/>
      <c r="P34" s="56">
        <v>5000</v>
      </c>
      <c r="Q34" s="56"/>
      <c r="R34" s="56">
        <v>5000</v>
      </c>
      <c r="S34" s="56"/>
      <c r="T34" s="56">
        <v>0</v>
      </c>
      <c r="U34" s="56"/>
      <c r="V34" s="56">
        <v>5000</v>
      </c>
      <c r="W34" s="56"/>
      <c r="X34" s="56">
        <v>30532.5</v>
      </c>
      <c r="Y34" s="56"/>
      <c r="Z34" s="56">
        <v>5000</v>
      </c>
      <c r="AA34" s="56"/>
      <c r="AB34" s="56"/>
      <c r="AC34" s="56"/>
      <c r="AD34" s="56">
        <v>0</v>
      </c>
      <c r="AE34" s="56"/>
      <c r="AF34" s="56">
        <f t="shared" si="6"/>
        <v>5000</v>
      </c>
      <c r="AG34" s="56">
        <v>0</v>
      </c>
      <c r="AH34" s="56">
        <v>0</v>
      </c>
      <c r="AI34" s="56"/>
      <c r="AJ34" s="56">
        <f t="shared" si="1"/>
        <v>5000</v>
      </c>
      <c r="AK34" s="85"/>
      <c r="AL34" s="56">
        <v>0</v>
      </c>
      <c r="AM34" s="56"/>
      <c r="AN34" s="88">
        <v>11941</v>
      </c>
      <c r="AO34" s="88">
        <v>0</v>
      </c>
      <c r="AP34" s="88">
        <v>0</v>
      </c>
      <c r="AQ34" s="56"/>
      <c r="AR34" s="56">
        <v>0</v>
      </c>
      <c r="AS34" s="56"/>
      <c r="AT34" s="56">
        <v>0</v>
      </c>
      <c r="AU34" s="56"/>
      <c r="AV34" s="56">
        <f t="shared" si="7"/>
        <v>0</v>
      </c>
      <c r="AW34" s="56"/>
      <c r="AX34" s="56">
        <v>0</v>
      </c>
      <c r="AY34" s="56"/>
      <c r="AZ34" s="56">
        <v>0</v>
      </c>
      <c r="BA34" s="56">
        <v>0</v>
      </c>
      <c r="BB34" s="214"/>
      <c r="BC34" s="56"/>
      <c r="BD34" s="84">
        <f t="shared" si="3"/>
        <v>-11941</v>
      </c>
      <c r="BE34" s="56"/>
      <c r="BF34" s="56"/>
      <c r="BG34" s="56"/>
      <c r="BH34" s="72">
        <v>1</v>
      </c>
      <c r="BJ34">
        <v>1</v>
      </c>
    </row>
    <row r="35" spans="1:62" ht="20.100000000000001" customHeight="1" outlineLevel="1">
      <c r="A35" s="77" t="s">
        <v>43</v>
      </c>
      <c r="B35" s="77" t="s">
        <v>218</v>
      </c>
      <c r="C35" s="77" t="str">
        <f t="shared" si="5"/>
        <v>AD·</v>
      </c>
      <c r="D35" s="78" t="s">
        <v>46</v>
      </c>
      <c r="E35" s="78" t="str">
        <f t="shared" si="4"/>
        <v>000</v>
      </c>
      <c r="F35" s="3">
        <v>611931</v>
      </c>
      <c r="G35" s="120" t="s">
        <v>231</v>
      </c>
      <c r="H35" s="87"/>
      <c r="I35" s="13">
        <v>0</v>
      </c>
      <c r="J35" s="13">
        <v>0</v>
      </c>
      <c r="L35" s="56">
        <v>0</v>
      </c>
      <c r="M35" s="56"/>
      <c r="N35" s="56">
        <v>0</v>
      </c>
      <c r="O35" s="56"/>
      <c r="P35" s="56">
        <v>5000</v>
      </c>
      <c r="Q35" s="56"/>
      <c r="R35" s="56">
        <v>5000</v>
      </c>
      <c r="S35" s="56"/>
      <c r="T35" s="56">
        <v>0</v>
      </c>
      <c r="U35" s="56"/>
      <c r="V35" s="56">
        <v>5000</v>
      </c>
      <c r="W35" s="56"/>
      <c r="X35" s="56">
        <v>31156</v>
      </c>
      <c r="Y35" s="56"/>
      <c r="Z35" s="56">
        <v>5000</v>
      </c>
      <c r="AA35" s="56"/>
      <c r="AB35" s="56"/>
      <c r="AC35" s="56"/>
      <c r="AD35" s="56">
        <v>0</v>
      </c>
      <c r="AE35" s="56"/>
      <c r="AF35" s="56">
        <f t="shared" si="6"/>
        <v>5000</v>
      </c>
      <c r="AG35" s="56">
        <v>0</v>
      </c>
      <c r="AH35" s="56">
        <v>0</v>
      </c>
      <c r="AI35" s="56"/>
      <c r="AJ35" s="56">
        <f t="shared" si="1"/>
        <v>5000</v>
      </c>
      <c r="AK35" s="85"/>
      <c r="AL35" s="56">
        <v>0</v>
      </c>
      <c r="AM35" s="56"/>
      <c r="AN35" s="88">
        <v>18980.75</v>
      </c>
      <c r="AO35" s="88">
        <v>0</v>
      </c>
      <c r="AP35" s="88">
        <v>1035</v>
      </c>
      <c r="AQ35" s="56"/>
      <c r="AR35" s="56">
        <v>0</v>
      </c>
      <c r="AS35" s="56"/>
      <c r="AT35" s="56">
        <v>0</v>
      </c>
      <c r="AU35" s="56"/>
      <c r="AV35" s="56">
        <f t="shared" si="7"/>
        <v>1035</v>
      </c>
      <c r="AW35" s="56"/>
      <c r="AX35" s="56">
        <v>0</v>
      </c>
      <c r="AY35" s="56"/>
      <c r="AZ35" s="56">
        <v>0</v>
      </c>
      <c r="BA35" s="56">
        <v>0</v>
      </c>
      <c r="BB35" s="214"/>
      <c r="BC35" s="56"/>
      <c r="BD35" s="84">
        <f t="shared" si="3"/>
        <v>-17945.75</v>
      </c>
      <c r="BE35" s="56"/>
      <c r="BF35" s="56"/>
      <c r="BG35" s="56"/>
      <c r="BH35" s="72">
        <v>1</v>
      </c>
      <c r="BJ35">
        <v>1</v>
      </c>
    </row>
    <row r="36" spans="1:62" ht="20.100000000000001" customHeight="1" outlineLevel="1">
      <c r="A36" s="77" t="s">
        <v>43</v>
      </c>
      <c r="B36" s="77" t="s">
        <v>225</v>
      </c>
      <c r="C36" s="77" t="str">
        <f t="shared" si="5"/>
        <v>AD·</v>
      </c>
      <c r="D36" s="78" t="s">
        <v>46</v>
      </c>
      <c r="E36" s="78" t="str">
        <f t="shared" si="4"/>
        <v>000</v>
      </c>
      <c r="F36" s="3">
        <v>632015</v>
      </c>
      <c r="G36" s="120" t="s">
        <v>68</v>
      </c>
      <c r="H36" s="87"/>
      <c r="I36" s="13">
        <v>2563</v>
      </c>
      <c r="J36" s="13">
        <v>0</v>
      </c>
      <c r="L36" s="56">
        <v>0</v>
      </c>
      <c r="M36" s="56"/>
      <c r="N36" s="56">
        <v>0</v>
      </c>
      <c r="O36" s="56"/>
      <c r="P36" s="56">
        <v>0</v>
      </c>
      <c r="Q36" s="56"/>
      <c r="R36" s="56">
        <v>0</v>
      </c>
      <c r="S36" s="56"/>
      <c r="T36" s="56">
        <v>0</v>
      </c>
      <c r="U36" s="56"/>
      <c r="V36" s="56">
        <v>0</v>
      </c>
      <c r="W36" s="56"/>
      <c r="X36" s="56">
        <v>0</v>
      </c>
      <c r="Y36" s="56"/>
      <c r="Z36" s="56">
        <v>0</v>
      </c>
      <c r="AA36" s="56"/>
      <c r="AB36" s="56"/>
      <c r="AC36" s="56"/>
      <c r="AD36" s="56">
        <v>0</v>
      </c>
      <c r="AE36" s="56"/>
      <c r="AF36" s="56">
        <f t="shared" si="6"/>
        <v>0</v>
      </c>
      <c r="AG36" s="56">
        <v>0</v>
      </c>
      <c r="AH36" s="56">
        <v>0</v>
      </c>
      <c r="AI36" s="56"/>
      <c r="AJ36" s="56">
        <f t="shared" si="1"/>
        <v>0</v>
      </c>
      <c r="AK36" s="85"/>
      <c r="AL36" s="56">
        <v>0</v>
      </c>
      <c r="AM36" s="56"/>
      <c r="AN36" s="88">
        <f>SUM(AI36:AM36)</f>
        <v>0</v>
      </c>
      <c r="AO36" s="88">
        <v>0</v>
      </c>
      <c r="AP36" s="88">
        <v>0</v>
      </c>
      <c r="AQ36" s="56"/>
      <c r="AR36" s="56">
        <v>0</v>
      </c>
      <c r="AS36" s="56"/>
      <c r="AT36" s="56">
        <v>0</v>
      </c>
      <c r="AU36" s="56"/>
      <c r="AV36" s="56">
        <f t="shared" si="7"/>
        <v>0</v>
      </c>
      <c r="AW36" s="56"/>
      <c r="AX36" s="56">
        <v>0</v>
      </c>
      <c r="AY36" s="56"/>
      <c r="AZ36" s="56">
        <v>0</v>
      </c>
      <c r="BA36" s="56">
        <f>SUM(AW36:AZ36)</f>
        <v>0</v>
      </c>
      <c r="BB36" s="214"/>
      <c r="BC36" s="56"/>
      <c r="BD36" s="84">
        <f t="shared" si="3"/>
        <v>0</v>
      </c>
      <c r="BE36" s="56"/>
      <c r="BF36" s="56"/>
      <c r="BG36" s="56"/>
      <c r="BH36" s="72"/>
    </row>
    <row r="37" spans="1:62" ht="20.100000000000001" customHeight="1" outlineLevel="1">
      <c r="A37" s="77" t="s">
        <v>43</v>
      </c>
      <c r="B37" s="77" t="s">
        <v>86</v>
      </c>
      <c r="C37" s="77" t="str">
        <f t="shared" si="5"/>
        <v>AD·</v>
      </c>
      <c r="D37" s="78" t="s">
        <v>46</v>
      </c>
      <c r="E37" s="78" t="str">
        <f t="shared" si="4"/>
        <v>000</v>
      </c>
      <c r="F37" s="3">
        <v>611114</v>
      </c>
      <c r="G37" s="120" t="s">
        <v>232</v>
      </c>
      <c r="H37" s="87"/>
      <c r="I37" s="13">
        <v>78985</v>
      </c>
      <c r="J37" s="13">
        <v>79265</v>
      </c>
      <c r="L37" s="56">
        <v>85419</v>
      </c>
      <c r="M37" s="56"/>
      <c r="N37" s="56">
        <v>94319</v>
      </c>
      <c r="O37" s="56"/>
      <c r="P37" s="56">
        <v>94319</v>
      </c>
      <c r="Q37" s="56"/>
      <c r="R37" s="56">
        <v>96019</v>
      </c>
      <c r="S37" s="56"/>
      <c r="T37" s="56">
        <v>0</v>
      </c>
      <c r="U37" s="56"/>
      <c r="V37" s="56">
        <v>96019</v>
      </c>
      <c r="W37" s="56"/>
      <c r="X37" s="56">
        <v>96018</v>
      </c>
      <c r="Y37" s="56"/>
      <c r="Z37" s="56">
        <v>96071</v>
      </c>
      <c r="AA37" s="56"/>
      <c r="AB37" s="56"/>
      <c r="AC37" s="56"/>
      <c r="AD37" s="56">
        <v>0</v>
      </c>
      <c r="AE37" s="56"/>
      <c r="AF37" s="56">
        <f t="shared" si="6"/>
        <v>96071</v>
      </c>
      <c r="AG37" s="56">
        <v>0</v>
      </c>
      <c r="AH37" s="56">
        <v>1250</v>
      </c>
      <c r="AI37" s="56"/>
      <c r="AJ37" s="56">
        <f t="shared" si="1"/>
        <v>97321</v>
      </c>
      <c r="AK37" s="85"/>
      <c r="AL37" s="56">
        <v>0</v>
      </c>
      <c r="AM37" s="56"/>
      <c r="AN37" s="88">
        <f>SUM(AI37:AM37)</f>
        <v>97321</v>
      </c>
      <c r="AO37" s="88">
        <v>0</v>
      </c>
      <c r="AP37" s="88">
        <v>96071</v>
      </c>
      <c r="AQ37" s="56"/>
      <c r="AR37" s="56">
        <v>0</v>
      </c>
      <c r="AS37" s="56"/>
      <c r="AT37" s="56">
        <v>0</v>
      </c>
      <c r="AU37" s="56"/>
      <c r="AV37" s="56">
        <f t="shared" si="7"/>
        <v>96071</v>
      </c>
      <c r="AW37" s="56"/>
      <c r="AX37" s="56">
        <v>0</v>
      </c>
      <c r="AY37" s="56"/>
      <c r="AZ37" s="56">
        <v>96071</v>
      </c>
      <c r="BA37" s="56">
        <f>SUM(AW37:AZ37)</f>
        <v>96071</v>
      </c>
      <c r="BB37" s="214"/>
      <c r="BC37" s="56"/>
      <c r="BD37" s="84">
        <f t="shared" si="3"/>
        <v>-1250</v>
      </c>
      <c r="BE37" s="56"/>
      <c r="BF37" s="56"/>
      <c r="BG37" s="56"/>
      <c r="BH37" s="72">
        <v>1</v>
      </c>
      <c r="BJ37">
        <v>1</v>
      </c>
    </row>
    <row r="38" spans="1:62" ht="20.100000000000001" customHeight="1" outlineLevel="1">
      <c r="A38" s="77" t="s">
        <v>43</v>
      </c>
      <c r="B38" s="77" t="s">
        <v>86</v>
      </c>
      <c r="C38" s="77" t="str">
        <f t="shared" si="5"/>
        <v>AD·</v>
      </c>
      <c r="D38" s="78" t="s">
        <v>46</v>
      </c>
      <c r="E38" s="78" t="str">
        <f t="shared" si="4"/>
        <v>000</v>
      </c>
      <c r="F38" s="3">
        <v>611411</v>
      </c>
      <c r="G38" s="120" t="s">
        <v>80</v>
      </c>
      <c r="H38" s="87"/>
      <c r="I38" s="13">
        <v>26448</v>
      </c>
      <c r="J38" s="13">
        <v>26115</v>
      </c>
      <c r="L38" s="56">
        <v>31287</v>
      </c>
      <c r="M38" s="56"/>
      <c r="N38" s="56">
        <v>28355</v>
      </c>
      <c r="O38" s="56"/>
      <c r="P38" s="56">
        <v>28355</v>
      </c>
      <c r="Q38" s="56"/>
      <c r="R38" s="56">
        <v>30305</v>
      </c>
      <c r="S38" s="56"/>
      <c r="T38" s="56">
        <v>0</v>
      </c>
      <c r="U38" s="56"/>
      <c r="V38" s="56">
        <v>30305</v>
      </c>
      <c r="W38" s="56"/>
      <c r="X38" s="56">
        <v>30788</v>
      </c>
      <c r="Y38" s="56"/>
      <c r="Z38" s="56">
        <v>28605</v>
      </c>
      <c r="AA38" s="56"/>
      <c r="AB38" s="56"/>
      <c r="AC38" s="56"/>
      <c r="AD38" s="56">
        <v>0</v>
      </c>
      <c r="AE38" s="56"/>
      <c r="AF38" s="56">
        <f t="shared" si="6"/>
        <v>28605</v>
      </c>
      <c r="AG38" s="104">
        <v>650</v>
      </c>
      <c r="AH38" s="56">
        <v>2250</v>
      </c>
      <c r="AI38" s="56"/>
      <c r="AJ38" s="56">
        <f t="shared" si="1"/>
        <v>31505</v>
      </c>
      <c r="AK38" s="85"/>
      <c r="AL38" s="56">
        <v>0</v>
      </c>
      <c r="AM38" s="56"/>
      <c r="AN38" s="88">
        <v>32247</v>
      </c>
      <c r="AO38" s="88">
        <v>0</v>
      </c>
      <c r="AP38" s="88">
        <v>30867</v>
      </c>
      <c r="AQ38" s="56"/>
      <c r="AR38" s="56">
        <v>0</v>
      </c>
      <c r="AS38" s="56"/>
      <c r="AT38" s="56">
        <v>0</v>
      </c>
      <c r="AU38" s="56"/>
      <c r="AV38" s="56">
        <f t="shared" si="7"/>
        <v>30867</v>
      </c>
      <c r="AW38" s="56"/>
      <c r="AX38" s="106">
        <v>4000</v>
      </c>
      <c r="AY38" s="56"/>
      <c r="AZ38" s="56">
        <v>28605</v>
      </c>
      <c r="BA38" s="56">
        <v>29942</v>
      </c>
      <c r="BB38" s="214"/>
      <c r="BC38" s="56"/>
      <c r="BD38" s="84">
        <f t="shared" si="3"/>
        <v>-1380</v>
      </c>
      <c r="BE38" s="56"/>
      <c r="BF38" s="56"/>
      <c r="BG38" s="56"/>
      <c r="BH38" s="72">
        <v>1</v>
      </c>
      <c r="BJ38">
        <v>1</v>
      </c>
    </row>
    <row r="39" spans="1:62" ht="20.100000000000001" customHeight="1" outlineLevel="1">
      <c r="A39" s="77" t="s">
        <v>43</v>
      </c>
      <c r="B39" s="77" t="s">
        <v>86</v>
      </c>
      <c r="C39" s="77" t="str">
        <f t="shared" si="5"/>
        <v>AD·</v>
      </c>
      <c r="D39" s="78" t="s">
        <v>46</v>
      </c>
      <c r="E39" s="78" t="str">
        <f t="shared" si="4"/>
        <v>000</v>
      </c>
      <c r="F39" s="3">
        <v>644212</v>
      </c>
      <c r="G39" s="120" t="s">
        <v>233</v>
      </c>
      <c r="H39" s="87"/>
      <c r="I39" s="13">
        <v>2408</v>
      </c>
      <c r="J39" s="13">
        <v>2408</v>
      </c>
      <c r="L39" s="56">
        <v>2408</v>
      </c>
      <c r="M39" s="56"/>
      <c r="N39" s="56">
        <v>2500</v>
      </c>
      <c r="O39" s="56"/>
      <c r="P39" s="56">
        <v>2500</v>
      </c>
      <c r="Q39" s="56"/>
      <c r="R39" s="56">
        <v>2500</v>
      </c>
      <c r="S39" s="56"/>
      <c r="T39" s="56">
        <v>0</v>
      </c>
      <c r="U39" s="56"/>
      <c r="V39" s="56">
        <v>2500</v>
      </c>
      <c r="W39" s="56"/>
      <c r="X39" s="56">
        <v>2402.16</v>
      </c>
      <c r="Y39" s="56"/>
      <c r="Z39" s="56">
        <v>0</v>
      </c>
      <c r="AA39" s="56"/>
      <c r="AB39" s="56"/>
      <c r="AC39" s="56"/>
      <c r="AD39" s="56">
        <v>0</v>
      </c>
      <c r="AE39" s="56"/>
      <c r="AF39" s="56">
        <f t="shared" si="6"/>
        <v>0</v>
      </c>
      <c r="AG39" s="56">
        <v>0</v>
      </c>
      <c r="AH39" s="56">
        <v>0</v>
      </c>
      <c r="AI39" s="56"/>
      <c r="AJ39" s="56">
        <f t="shared" si="1"/>
        <v>0</v>
      </c>
      <c r="AK39" s="85"/>
      <c r="AL39" s="56">
        <v>0</v>
      </c>
      <c r="AM39" s="56"/>
      <c r="AN39" s="88">
        <v>2113</v>
      </c>
      <c r="AO39" s="88">
        <v>0</v>
      </c>
      <c r="AP39" s="88">
        <v>2455.31</v>
      </c>
      <c r="AQ39" s="56"/>
      <c r="AR39" s="56">
        <v>0</v>
      </c>
      <c r="AS39" s="56"/>
      <c r="AT39" s="56">
        <v>0</v>
      </c>
      <c r="AU39" s="56"/>
      <c r="AV39" s="56">
        <f t="shared" si="7"/>
        <v>2455.31</v>
      </c>
      <c r="AW39" s="56"/>
      <c r="AX39" s="56">
        <v>0</v>
      </c>
      <c r="AY39" s="56"/>
      <c r="AZ39" s="56">
        <v>0</v>
      </c>
      <c r="BA39" s="56">
        <f>SUM(AW39:AZ39)</f>
        <v>0</v>
      </c>
      <c r="BB39" s="214"/>
      <c r="BC39" s="56"/>
      <c r="BD39" s="84">
        <f t="shared" si="3"/>
        <v>342.30999999999995</v>
      </c>
      <c r="BE39" s="56"/>
      <c r="BF39" s="56"/>
      <c r="BG39" s="56"/>
      <c r="BH39" s="72"/>
    </row>
    <row r="40" spans="1:62" ht="20.100000000000001" customHeight="1" outlineLevel="1">
      <c r="A40" s="77" t="s">
        <v>43</v>
      </c>
      <c r="B40" s="77" t="s">
        <v>86</v>
      </c>
      <c r="C40" s="77" t="str">
        <f t="shared" si="5"/>
        <v>AD·</v>
      </c>
      <c r="D40" s="78" t="s">
        <v>46</v>
      </c>
      <c r="E40" s="78" t="str">
        <f t="shared" si="4"/>
        <v>000</v>
      </c>
      <c r="F40" s="3">
        <v>653051</v>
      </c>
      <c r="G40" s="120" t="s">
        <v>71</v>
      </c>
      <c r="H40" s="87"/>
      <c r="I40" s="13">
        <v>11287</v>
      </c>
      <c r="J40" s="13">
        <v>6555</v>
      </c>
      <c r="L40" s="56">
        <v>10200</v>
      </c>
      <c r="M40" s="56"/>
      <c r="N40" s="56">
        <v>10000</v>
      </c>
      <c r="O40" s="56"/>
      <c r="P40" s="56">
        <v>10000</v>
      </c>
      <c r="Q40" s="56"/>
      <c r="R40" s="56">
        <v>10000</v>
      </c>
      <c r="S40" s="56"/>
      <c r="T40" s="56">
        <v>0</v>
      </c>
      <c r="U40" s="56"/>
      <c r="V40" s="56">
        <v>10000</v>
      </c>
      <c r="W40" s="56"/>
      <c r="X40" s="56">
        <v>12050.69</v>
      </c>
      <c r="Y40" s="56"/>
      <c r="Z40" s="56">
        <v>10000</v>
      </c>
      <c r="AA40" s="56"/>
      <c r="AB40" s="56"/>
      <c r="AC40" s="56"/>
      <c r="AD40" s="56">
        <v>0</v>
      </c>
      <c r="AE40" s="56"/>
      <c r="AF40" s="56">
        <f t="shared" si="6"/>
        <v>10000</v>
      </c>
      <c r="AG40" s="56">
        <v>0</v>
      </c>
      <c r="AH40" s="56">
        <v>0</v>
      </c>
      <c r="AI40" s="56"/>
      <c r="AJ40" s="56">
        <f t="shared" si="1"/>
        <v>10000</v>
      </c>
      <c r="AK40" s="85"/>
      <c r="AL40" s="56">
        <v>0</v>
      </c>
      <c r="AM40" s="56"/>
      <c r="AN40" s="88">
        <v>11137.6</v>
      </c>
      <c r="AO40" s="88">
        <v>0</v>
      </c>
      <c r="AP40" s="88">
        <v>5847.72</v>
      </c>
      <c r="AQ40" s="56"/>
      <c r="AR40" s="56">
        <v>0</v>
      </c>
      <c r="AS40" s="56"/>
      <c r="AT40" s="56">
        <v>0</v>
      </c>
      <c r="AU40" s="56"/>
      <c r="AV40" s="56">
        <f t="shared" si="7"/>
        <v>5847.72</v>
      </c>
      <c r="AW40" s="56"/>
      <c r="AX40" s="56">
        <v>0</v>
      </c>
      <c r="AY40" s="56"/>
      <c r="AZ40" s="56">
        <v>10000</v>
      </c>
      <c r="BA40" s="56">
        <v>5325</v>
      </c>
      <c r="BB40" s="214"/>
      <c r="BC40" s="56"/>
      <c r="BD40" s="84">
        <f t="shared" si="3"/>
        <v>-5289.88</v>
      </c>
      <c r="BE40" s="56"/>
      <c r="BF40" s="56"/>
      <c r="BG40" s="56"/>
      <c r="BH40" s="72"/>
    </row>
    <row r="41" spans="1:62" ht="20.100000000000001" customHeight="1" outlineLevel="1">
      <c r="A41" s="77" t="s">
        <v>43</v>
      </c>
      <c r="B41" s="77" t="s">
        <v>86</v>
      </c>
      <c r="C41" s="77" t="str">
        <f t="shared" si="5"/>
        <v>AD·</v>
      </c>
      <c r="D41" s="78" t="s">
        <v>46</v>
      </c>
      <c r="E41" s="78" t="str">
        <f t="shared" si="4"/>
        <v>000</v>
      </c>
      <c r="F41" s="3">
        <v>655011</v>
      </c>
      <c r="G41" s="120" t="s">
        <v>54</v>
      </c>
      <c r="H41" s="87"/>
      <c r="I41" s="13">
        <v>37535</v>
      </c>
      <c r="J41" s="13">
        <v>7329</v>
      </c>
      <c r="L41" s="56">
        <v>21839</v>
      </c>
      <c r="M41" s="56"/>
      <c r="N41" s="56">
        <v>50000</v>
      </c>
      <c r="O41" s="56"/>
      <c r="P41" s="56">
        <v>62032</v>
      </c>
      <c r="Q41" s="56"/>
      <c r="R41" s="56">
        <v>62032</v>
      </c>
      <c r="S41" s="56"/>
      <c r="T41" s="56">
        <v>0</v>
      </c>
      <c r="U41" s="56"/>
      <c r="V41" s="56">
        <v>62032</v>
      </c>
      <c r="W41" s="56"/>
      <c r="X41" s="56">
        <v>17160.55</v>
      </c>
      <c r="Y41" s="56"/>
      <c r="Z41" s="56">
        <v>59500</v>
      </c>
      <c r="AA41" s="56"/>
      <c r="AB41" s="56"/>
      <c r="AC41" s="56"/>
      <c r="AD41" s="56">
        <v>4127</v>
      </c>
      <c r="AE41" s="56"/>
      <c r="AF41" s="56">
        <f t="shared" si="6"/>
        <v>63627</v>
      </c>
      <c r="AG41" s="56">
        <v>0</v>
      </c>
      <c r="AH41" s="56">
        <v>0</v>
      </c>
      <c r="AI41" s="56"/>
      <c r="AJ41" s="56">
        <f t="shared" si="1"/>
        <v>63627</v>
      </c>
      <c r="AK41" s="85"/>
      <c r="AL41" s="56">
        <v>0</v>
      </c>
      <c r="AM41" s="56"/>
      <c r="AN41" s="88">
        <v>45988.97</v>
      </c>
      <c r="AO41" s="88">
        <v>0</v>
      </c>
      <c r="AP41" s="88">
        <v>30017.43</v>
      </c>
      <c r="AQ41" s="56"/>
      <c r="AR41" s="56">
        <v>0</v>
      </c>
      <c r="AS41" s="56"/>
      <c r="AT41" s="56">
        <v>0</v>
      </c>
      <c r="AU41" s="56"/>
      <c r="AV41" s="56">
        <f t="shared" si="7"/>
        <v>30017.43</v>
      </c>
      <c r="AW41" s="56"/>
      <c r="AX41" s="56">
        <v>0</v>
      </c>
      <c r="AY41" s="56"/>
      <c r="AZ41" s="56">
        <v>63627</v>
      </c>
      <c r="BA41" s="56">
        <v>69074</v>
      </c>
      <c r="BB41" s="214"/>
      <c r="BC41" s="56"/>
      <c r="BD41" s="84">
        <f t="shared" si="3"/>
        <v>-15971.54</v>
      </c>
      <c r="BE41" s="56"/>
      <c r="BF41" s="56"/>
      <c r="BG41" s="56"/>
      <c r="BH41" s="72"/>
    </row>
    <row r="42" spans="1:62" ht="20.100000000000001" customHeight="1" outlineLevel="1">
      <c r="A42" s="77" t="s">
        <v>43</v>
      </c>
      <c r="B42" s="77" t="s">
        <v>86</v>
      </c>
      <c r="C42" s="77" t="str">
        <f t="shared" si="5"/>
        <v>AD·</v>
      </c>
      <c r="D42" s="78" t="s">
        <v>46</v>
      </c>
      <c r="E42" s="78" t="str">
        <f t="shared" si="4"/>
        <v>000</v>
      </c>
      <c r="F42" s="3">
        <v>658211</v>
      </c>
      <c r="G42" s="120" t="s">
        <v>234</v>
      </c>
      <c r="H42" s="87"/>
      <c r="I42" s="13">
        <v>1451</v>
      </c>
      <c r="J42" s="13">
        <v>5408</v>
      </c>
      <c r="L42" s="56">
        <v>1883</v>
      </c>
      <c r="M42" s="56"/>
      <c r="N42" s="56">
        <v>2500</v>
      </c>
      <c r="O42" s="56"/>
      <c r="P42" s="56">
        <v>2500</v>
      </c>
      <c r="Q42" s="56"/>
      <c r="R42" s="56">
        <v>2500</v>
      </c>
      <c r="S42" s="56"/>
      <c r="T42" s="56">
        <v>0</v>
      </c>
      <c r="U42" s="56"/>
      <c r="V42" s="56">
        <v>2500</v>
      </c>
      <c r="W42" s="56"/>
      <c r="X42" s="56">
        <v>611.52</v>
      </c>
      <c r="Y42" s="56"/>
      <c r="Z42" s="56">
        <v>2500</v>
      </c>
      <c r="AA42" s="56"/>
      <c r="AB42" s="56"/>
      <c r="AC42" s="56"/>
      <c r="AD42" s="56">
        <v>0</v>
      </c>
      <c r="AE42" s="56"/>
      <c r="AF42" s="56">
        <f t="shared" si="6"/>
        <v>2500</v>
      </c>
      <c r="AG42" s="56">
        <v>0</v>
      </c>
      <c r="AH42" s="56">
        <v>0</v>
      </c>
      <c r="AI42" s="56"/>
      <c r="AJ42" s="56">
        <f t="shared" si="1"/>
        <v>2500</v>
      </c>
      <c r="AK42" s="85"/>
      <c r="AL42" s="56">
        <v>0</v>
      </c>
      <c r="AM42" s="56"/>
      <c r="AN42" s="88">
        <v>407.52</v>
      </c>
      <c r="AO42" s="88">
        <v>0</v>
      </c>
      <c r="AP42" s="88">
        <v>3179.61</v>
      </c>
      <c r="AQ42" s="56"/>
      <c r="AR42" s="56">
        <v>0</v>
      </c>
      <c r="AS42" s="56"/>
      <c r="AT42" s="56">
        <v>0</v>
      </c>
      <c r="AU42" s="56"/>
      <c r="AV42" s="56">
        <f t="shared" si="7"/>
        <v>3179.61</v>
      </c>
      <c r="AW42" s="56"/>
      <c r="AX42" s="56">
        <v>0</v>
      </c>
      <c r="AY42" s="56"/>
      <c r="AZ42" s="56">
        <v>1500</v>
      </c>
      <c r="BA42" s="56">
        <v>1500</v>
      </c>
      <c r="BB42" s="214"/>
      <c r="BC42" s="56"/>
      <c r="BD42" s="84">
        <f t="shared" si="3"/>
        <v>2772.09</v>
      </c>
      <c r="BE42" s="56"/>
      <c r="BF42" s="56"/>
      <c r="BG42" s="56"/>
      <c r="BH42" s="72"/>
    </row>
    <row r="43" spans="1:62" ht="20.100000000000001" customHeight="1" outlineLevel="1">
      <c r="A43" s="77" t="s">
        <v>43</v>
      </c>
      <c r="B43" s="77" t="s">
        <v>86</v>
      </c>
      <c r="C43" s="77" t="str">
        <f t="shared" si="5"/>
        <v>AD·</v>
      </c>
      <c r="D43" s="78" t="s">
        <v>46</v>
      </c>
      <c r="E43" s="78" t="str">
        <f t="shared" si="4"/>
        <v>000</v>
      </c>
      <c r="F43" s="3">
        <v>661001</v>
      </c>
      <c r="G43" s="120" t="s">
        <v>73</v>
      </c>
      <c r="H43" s="87"/>
      <c r="I43" s="13">
        <v>3267</v>
      </c>
      <c r="J43" s="13">
        <v>4320</v>
      </c>
      <c r="L43" s="56">
        <v>3114</v>
      </c>
      <c r="M43" s="56"/>
      <c r="N43" s="56">
        <v>4000</v>
      </c>
      <c r="O43" s="56"/>
      <c r="P43" s="56">
        <v>4000</v>
      </c>
      <c r="Q43" s="56"/>
      <c r="R43" s="56">
        <v>4000</v>
      </c>
      <c r="S43" s="56"/>
      <c r="T43" s="56">
        <v>0</v>
      </c>
      <c r="U43" s="56"/>
      <c r="V43" s="56">
        <v>4000</v>
      </c>
      <c r="W43" s="56"/>
      <c r="X43" s="56">
        <v>3043.59</v>
      </c>
      <c r="Y43" s="56"/>
      <c r="Z43" s="56">
        <v>4000</v>
      </c>
      <c r="AA43" s="56"/>
      <c r="AB43" s="56"/>
      <c r="AC43" s="56"/>
      <c r="AD43" s="56">
        <v>0</v>
      </c>
      <c r="AE43" s="56"/>
      <c r="AF43" s="56">
        <f t="shared" si="6"/>
        <v>4000</v>
      </c>
      <c r="AG43" s="56">
        <v>0</v>
      </c>
      <c r="AH43" s="56">
        <v>0</v>
      </c>
      <c r="AI43" s="56"/>
      <c r="AJ43" s="56">
        <f t="shared" si="1"/>
        <v>4000</v>
      </c>
      <c r="AK43" s="85"/>
      <c r="AL43" s="56">
        <v>0</v>
      </c>
      <c r="AM43" s="56"/>
      <c r="AN43" s="88">
        <v>2795.53</v>
      </c>
      <c r="AO43" s="88">
        <v>0</v>
      </c>
      <c r="AP43" s="88">
        <v>2518.48</v>
      </c>
      <c r="AQ43" s="56"/>
      <c r="AR43" s="56">
        <v>0</v>
      </c>
      <c r="AS43" s="56"/>
      <c r="AT43" s="56">
        <v>0</v>
      </c>
      <c r="AU43" s="56"/>
      <c r="AV43" s="56">
        <f t="shared" si="7"/>
        <v>2518.48</v>
      </c>
      <c r="AW43" s="56"/>
      <c r="AX43" s="56">
        <v>0</v>
      </c>
      <c r="AY43" s="56"/>
      <c r="AZ43" s="56">
        <v>3000</v>
      </c>
      <c r="BA43" s="56">
        <v>3773</v>
      </c>
      <c r="BB43" s="214"/>
      <c r="BC43" s="56"/>
      <c r="BD43" s="84">
        <f t="shared" si="3"/>
        <v>-277.05000000000018</v>
      </c>
      <c r="BE43" s="56"/>
      <c r="BF43" s="56"/>
      <c r="BG43" s="56"/>
      <c r="BH43" s="72"/>
    </row>
    <row r="44" spans="1:62" ht="20.100000000000001" customHeight="1" outlineLevel="1">
      <c r="A44" s="77" t="s">
        <v>43</v>
      </c>
      <c r="B44" s="77" t="s">
        <v>86</v>
      </c>
      <c r="C44" s="77" t="str">
        <f t="shared" si="5"/>
        <v>AD·</v>
      </c>
      <c r="D44" s="78" t="s">
        <v>46</v>
      </c>
      <c r="E44" s="78" t="str">
        <f t="shared" si="4"/>
        <v>000</v>
      </c>
      <c r="F44" s="3">
        <v>673001</v>
      </c>
      <c r="G44" s="120" t="s">
        <v>235</v>
      </c>
      <c r="H44" s="87"/>
      <c r="I44" s="13">
        <v>7633</v>
      </c>
      <c r="J44" s="13">
        <v>5374</v>
      </c>
      <c r="L44" s="56">
        <v>1069</v>
      </c>
      <c r="M44" s="56"/>
      <c r="N44" s="56">
        <v>6000</v>
      </c>
      <c r="O44" s="56"/>
      <c r="P44" s="56">
        <v>14316</v>
      </c>
      <c r="Q44" s="56"/>
      <c r="R44" s="56">
        <v>14316</v>
      </c>
      <c r="S44" s="56"/>
      <c r="T44" s="56">
        <v>0</v>
      </c>
      <c r="U44" s="56"/>
      <c r="V44" s="56">
        <v>14316</v>
      </c>
      <c r="W44" s="56"/>
      <c r="X44" s="56">
        <v>1148.8</v>
      </c>
      <c r="Y44" s="56"/>
      <c r="Z44" s="56">
        <v>6000</v>
      </c>
      <c r="AA44" s="56"/>
      <c r="AB44" s="56"/>
      <c r="AC44" s="56"/>
      <c r="AD44" s="56">
        <v>0</v>
      </c>
      <c r="AE44" s="56"/>
      <c r="AF44" s="56">
        <f t="shared" si="6"/>
        <v>6000</v>
      </c>
      <c r="AG44" s="56">
        <v>0</v>
      </c>
      <c r="AH44" s="56">
        <v>0</v>
      </c>
      <c r="AI44" s="56"/>
      <c r="AJ44" s="56">
        <f t="shared" si="1"/>
        <v>6000</v>
      </c>
      <c r="AK44" s="85"/>
      <c r="AL44" s="56">
        <v>0</v>
      </c>
      <c r="AM44" s="56"/>
      <c r="AN44" s="88">
        <v>0</v>
      </c>
      <c r="AO44" s="88">
        <v>0</v>
      </c>
      <c r="AP44" s="88">
        <v>0</v>
      </c>
      <c r="AQ44" s="56"/>
      <c r="AR44" s="56">
        <v>0</v>
      </c>
      <c r="AS44" s="56"/>
      <c r="AT44" s="56">
        <v>0</v>
      </c>
      <c r="AU44" s="56"/>
      <c r="AV44" s="56">
        <f t="shared" si="7"/>
        <v>0</v>
      </c>
      <c r="AW44" s="56"/>
      <c r="AX44" s="56">
        <v>0</v>
      </c>
      <c r="AY44" s="56"/>
      <c r="AZ44" s="56">
        <v>0</v>
      </c>
      <c r="BA44" s="56">
        <f>SUM(AW44:AZ44)</f>
        <v>0</v>
      </c>
      <c r="BB44" s="214"/>
      <c r="BC44" s="56"/>
      <c r="BD44" s="84">
        <f t="shared" si="3"/>
        <v>0</v>
      </c>
      <c r="BE44" s="56"/>
      <c r="BF44" s="56"/>
      <c r="BG44" s="56"/>
      <c r="BH44" s="72"/>
    </row>
    <row r="45" spans="1:62" ht="20.100000000000001" customHeight="1" outlineLevel="1">
      <c r="A45" s="77" t="s">
        <v>43</v>
      </c>
      <c r="B45" s="77" t="s">
        <v>86</v>
      </c>
      <c r="C45" s="77" t="str">
        <f t="shared" si="5"/>
        <v>AD·</v>
      </c>
      <c r="D45" s="78" t="s">
        <v>46</v>
      </c>
      <c r="E45" s="78" t="str">
        <f t="shared" si="4"/>
        <v>000</v>
      </c>
      <c r="F45" s="3">
        <v>689011</v>
      </c>
      <c r="G45" s="120" t="s">
        <v>236</v>
      </c>
      <c r="H45" s="87"/>
      <c r="I45" s="13">
        <v>1085</v>
      </c>
      <c r="J45" s="13">
        <v>473</v>
      </c>
      <c r="L45" s="56">
        <v>0</v>
      </c>
      <c r="M45" s="56"/>
      <c r="N45" s="56">
        <v>0</v>
      </c>
      <c r="O45" s="56"/>
      <c r="P45" s="56">
        <v>0</v>
      </c>
      <c r="Q45" s="56"/>
      <c r="R45" s="56">
        <v>0</v>
      </c>
      <c r="S45" s="56"/>
      <c r="T45" s="56">
        <v>0</v>
      </c>
      <c r="U45" s="56"/>
      <c r="V45" s="56">
        <v>0</v>
      </c>
      <c r="W45" s="56"/>
      <c r="X45" s="56">
        <v>0</v>
      </c>
      <c r="Y45" s="56"/>
      <c r="Z45" s="56">
        <v>0</v>
      </c>
      <c r="AA45" s="56"/>
      <c r="AB45" s="56"/>
      <c r="AC45" s="56"/>
      <c r="AD45" s="56">
        <v>0</v>
      </c>
      <c r="AE45" s="56"/>
      <c r="AF45" s="56">
        <f t="shared" si="6"/>
        <v>0</v>
      </c>
      <c r="AG45" s="56">
        <v>0</v>
      </c>
      <c r="AH45" s="56">
        <v>0</v>
      </c>
      <c r="AI45" s="56"/>
      <c r="AJ45" s="56">
        <f t="shared" si="1"/>
        <v>0</v>
      </c>
      <c r="AK45" s="85"/>
      <c r="AL45" s="56">
        <v>0</v>
      </c>
      <c r="AM45" s="56"/>
      <c r="AN45" s="88">
        <f>SUM(AI45:AM45)</f>
        <v>0</v>
      </c>
      <c r="AO45" s="88">
        <v>0</v>
      </c>
      <c r="AP45" s="88">
        <v>20</v>
      </c>
      <c r="AQ45" s="56"/>
      <c r="AR45" s="56">
        <v>0</v>
      </c>
      <c r="AS45" s="56"/>
      <c r="AT45" s="56">
        <v>0</v>
      </c>
      <c r="AU45" s="56"/>
      <c r="AV45" s="56">
        <f t="shared" si="7"/>
        <v>20</v>
      </c>
      <c r="AW45" s="56"/>
      <c r="AX45" s="56">
        <v>0</v>
      </c>
      <c r="AY45" s="56"/>
      <c r="AZ45" s="56">
        <v>0</v>
      </c>
      <c r="BA45" s="56">
        <f>SUM(AW45:AZ45)</f>
        <v>0</v>
      </c>
      <c r="BB45" s="214"/>
      <c r="BC45" s="56"/>
      <c r="BD45" s="84">
        <f t="shared" si="3"/>
        <v>20</v>
      </c>
      <c r="BE45" s="56"/>
      <c r="BF45" s="56"/>
      <c r="BG45" s="56"/>
      <c r="BH45" s="72"/>
    </row>
    <row r="46" spans="1:62" ht="20.100000000000001" customHeight="1" outlineLevel="1">
      <c r="A46" s="77" t="s">
        <v>43</v>
      </c>
      <c r="B46" s="124" t="s">
        <v>237</v>
      </c>
      <c r="C46" s="77" t="str">
        <f>+C44</f>
        <v>AD·</v>
      </c>
      <c r="D46" s="78" t="s">
        <v>46</v>
      </c>
      <c r="E46" s="78" t="str">
        <f t="shared" si="4"/>
        <v>000</v>
      </c>
      <c r="F46" s="3">
        <v>611411</v>
      </c>
      <c r="G46" s="120" t="s">
        <v>1124</v>
      </c>
      <c r="H46" s="87"/>
      <c r="I46" s="13"/>
      <c r="J46" s="13"/>
      <c r="L46" s="56">
        <v>0</v>
      </c>
      <c r="M46" s="56"/>
      <c r="N46" s="56"/>
      <c r="O46" s="56"/>
      <c r="P46" s="56"/>
      <c r="Q46" s="56"/>
      <c r="R46" s="56"/>
      <c r="S46" s="56"/>
      <c r="T46" s="56"/>
      <c r="U46" s="56"/>
      <c r="V46" s="56"/>
      <c r="W46" s="56"/>
      <c r="X46" s="56">
        <v>0</v>
      </c>
      <c r="Y46" s="56"/>
      <c r="Z46" s="56"/>
      <c r="AA46" s="56"/>
      <c r="AB46" s="56"/>
      <c r="AC46" s="56"/>
      <c r="AD46" s="56"/>
      <c r="AE46" s="56"/>
      <c r="AF46" s="56"/>
      <c r="AG46" s="56"/>
      <c r="AH46" s="56"/>
      <c r="AI46" s="56"/>
      <c r="AJ46" s="56"/>
      <c r="AK46" s="85"/>
      <c r="AL46" s="56"/>
      <c r="AM46" s="56"/>
      <c r="AN46" s="88">
        <v>0</v>
      </c>
      <c r="AO46" s="88"/>
      <c r="AP46" s="88">
        <v>1563.04</v>
      </c>
      <c r="AQ46" s="56"/>
      <c r="AR46" s="56"/>
      <c r="AS46" s="56"/>
      <c r="AT46" s="56"/>
      <c r="AU46" s="56"/>
      <c r="AV46" s="56"/>
      <c r="AW46" s="56"/>
      <c r="AX46" s="56"/>
      <c r="AY46" s="56"/>
      <c r="AZ46" s="56">
        <v>0</v>
      </c>
      <c r="BA46" s="56">
        <v>0</v>
      </c>
      <c r="BB46" s="214"/>
      <c r="BC46" s="56"/>
      <c r="BD46" s="84"/>
      <c r="BE46" s="56"/>
      <c r="BF46" s="56"/>
      <c r="BG46" s="56"/>
      <c r="BH46" s="72"/>
    </row>
    <row r="47" spans="1:62" ht="20.100000000000001" customHeight="1" outlineLevel="1">
      <c r="A47" s="77" t="s">
        <v>43</v>
      </c>
      <c r="B47" s="124" t="s">
        <v>237</v>
      </c>
      <c r="C47" s="77" t="str">
        <f>+C45</f>
        <v>AD·</v>
      </c>
      <c r="D47" s="78" t="s">
        <v>46</v>
      </c>
      <c r="E47" s="78" t="str">
        <f t="shared" si="4"/>
        <v>000</v>
      </c>
      <c r="F47" s="3">
        <v>653011</v>
      </c>
      <c r="G47" s="120" t="s">
        <v>238</v>
      </c>
      <c r="H47" s="87"/>
      <c r="I47" s="13">
        <v>146790</v>
      </c>
      <c r="J47" s="13">
        <v>146999</v>
      </c>
      <c r="L47" s="56">
        <v>146617</v>
      </c>
      <c r="M47" s="56"/>
      <c r="N47" s="56">
        <v>200000</v>
      </c>
      <c r="O47" s="56"/>
      <c r="P47" s="56">
        <v>200000</v>
      </c>
      <c r="Q47" s="56"/>
      <c r="R47" s="56">
        <v>200000</v>
      </c>
      <c r="S47" s="56"/>
      <c r="T47" s="56">
        <v>0</v>
      </c>
      <c r="U47" s="56"/>
      <c r="V47" s="56">
        <v>200000</v>
      </c>
      <c r="W47" s="56"/>
      <c r="X47" s="56">
        <v>195949.06</v>
      </c>
      <c r="Y47" s="56"/>
      <c r="Z47" s="56">
        <v>200000</v>
      </c>
      <c r="AA47" s="56"/>
      <c r="AB47" s="56"/>
      <c r="AC47" s="56"/>
      <c r="AD47" s="56">
        <v>0</v>
      </c>
      <c r="AE47" s="56"/>
      <c r="AF47" s="56">
        <f t="shared" si="6"/>
        <v>200000</v>
      </c>
      <c r="AG47" s="56">
        <v>0</v>
      </c>
      <c r="AH47" s="56">
        <v>0</v>
      </c>
      <c r="AI47" s="56"/>
      <c r="AJ47" s="56">
        <f t="shared" si="1"/>
        <v>200000</v>
      </c>
      <c r="AK47" s="85"/>
      <c r="AL47" s="56">
        <v>0</v>
      </c>
      <c r="AM47" s="56"/>
      <c r="AN47" s="88">
        <v>184740.92</v>
      </c>
      <c r="AO47" s="88">
        <v>0</v>
      </c>
      <c r="AP47" s="88">
        <v>113973.14</v>
      </c>
      <c r="AQ47" s="56"/>
      <c r="AR47" s="56">
        <v>0</v>
      </c>
      <c r="AS47" s="56"/>
      <c r="AT47" s="56">
        <v>0</v>
      </c>
      <c r="AU47" s="56"/>
      <c r="AV47" s="56">
        <f t="shared" si="7"/>
        <v>113973.14</v>
      </c>
      <c r="AW47" s="56"/>
      <c r="AX47" s="56">
        <v>0</v>
      </c>
      <c r="AY47" s="56"/>
      <c r="AZ47" s="56">
        <v>20000</v>
      </c>
      <c r="BA47" s="56">
        <v>20000</v>
      </c>
      <c r="BB47" s="214"/>
      <c r="BC47" s="56"/>
      <c r="BD47" s="84">
        <f t="shared" si="3"/>
        <v>-70767.780000000013</v>
      </c>
      <c r="BE47" s="56"/>
      <c r="BF47" s="56"/>
      <c r="BG47" s="56"/>
      <c r="BH47" s="72"/>
    </row>
    <row r="48" spans="1:62" ht="20.100000000000001" customHeight="1" outlineLevel="1">
      <c r="A48" s="77" t="s">
        <v>43</v>
      </c>
      <c r="B48" s="77" t="s">
        <v>237</v>
      </c>
      <c r="C48" s="77" t="str">
        <f t="shared" si="5"/>
        <v>AD·</v>
      </c>
      <c r="D48" s="78" t="s">
        <v>46</v>
      </c>
      <c r="E48" s="78" t="str">
        <f t="shared" si="4"/>
        <v>000</v>
      </c>
      <c r="F48" s="3">
        <v>661001</v>
      </c>
      <c r="G48" s="120" t="s">
        <v>239</v>
      </c>
      <c r="H48" s="87"/>
      <c r="I48" s="13">
        <v>41340</v>
      </c>
      <c r="J48" s="13">
        <v>15271</v>
      </c>
      <c r="L48" s="56">
        <v>29942</v>
      </c>
      <c r="M48" s="56"/>
      <c r="N48" s="56">
        <v>30000</v>
      </c>
      <c r="O48" s="56"/>
      <c r="P48" s="56">
        <v>30000</v>
      </c>
      <c r="Q48" s="56"/>
      <c r="R48" s="56">
        <v>30000</v>
      </c>
      <c r="S48" s="56"/>
      <c r="T48" s="56">
        <v>0</v>
      </c>
      <c r="U48" s="56"/>
      <c r="V48" s="56">
        <v>30000</v>
      </c>
      <c r="W48" s="56"/>
      <c r="X48" s="56">
        <v>28075.4</v>
      </c>
      <c r="Y48" s="56"/>
      <c r="Z48" s="56">
        <v>60000</v>
      </c>
      <c r="AA48" s="56"/>
      <c r="AB48" s="56"/>
      <c r="AC48" s="56"/>
      <c r="AD48" s="56">
        <v>1863</v>
      </c>
      <c r="AE48" s="56"/>
      <c r="AF48" s="56">
        <f t="shared" si="6"/>
        <v>61863</v>
      </c>
      <c r="AG48" s="56">
        <v>0</v>
      </c>
      <c r="AH48" s="56">
        <v>0</v>
      </c>
      <c r="AI48" s="56"/>
      <c r="AJ48" s="56">
        <f t="shared" si="1"/>
        <v>61863</v>
      </c>
      <c r="AK48" s="85"/>
      <c r="AL48" s="56">
        <v>0</v>
      </c>
      <c r="AM48" s="56"/>
      <c r="AN48" s="88">
        <v>33270.32</v>
      </c>
      <c r="AO48" s="88">
        <v>0</v>
      </c>
      <c r="AP48" s="88">
        <v>26339.48</v>
      </c>
      <c r="AQ48" s="56"/>
      <c r="AR48" s="56">
        <v>0</v>
      </c>
      <c r="AS48" s="56"/>
      <c r="AT48" s="56">
        <v>3932.73</v>
      </c>
      <c r="AU48" s="56"/>
      <c r="AV48" s="56">
        <f t="shared" si="7"/>
        <v>30272.21</v>
      </c>
      <c r="AW48" s="56"/>
      <c r="AX48" s="56">
        <v>0</v>
      </c>
      <c r="AY48" s="56"/>
      <c r="AZ48" s="56">
        <v>32796</v>
      </c>
      <c r="BA48" s="56">
        <v>32796</v>
      </c>
      <c r="BB48" s="214"/>
      <c r="BC48" s="56"/>
      <c r="BD48" s="84">
        <f t="shared" si="3"/>
        <v>-6930.84</v>
      </c>
      <c r="BE48" s="56"/>
      <c r="BF48" s="56"/>
      <c r="BG48" s="56"/>
      <c r="BH48" s="72"/>
    </row>
    <row r="49" spans="1:62" ht="20.100000000000001" customHeight="1" outlineLevel="1">
      <c r="A49" s="77" t="s">
        <v>43</v>
      </c>
      <c r="B49" s="77" t="s">
        <v>237</v>
      </c>
      <c r="C49" s="77" t="str">
        <f t="shared" si="5"/>
        <v>AD·</v>
      </c>
      <c r="D49" s="78" t="s">
        <v>46</v>
      </c>
      <c r="E49" s="78" t="str">
        <f t="shared" si="4"/>
        <v>000</v>
      </c>
      <c r="F49" s="3">
        <v>673001</v>
      </c>
      <c r="G49" s="120" t="s">
        <v>240</v>
      </c>
      <c r="H49" s="87"/>
      <c r="I49" s="13">
        <v>9609</v>
      </c>
      <c r="J49" s="13">
        <v>0</v>
      </c>
      <c r="L49" s="56">
        <v>0</v>
      </c>
      <c r="M49" s="56"/>
      <c r="N49" s="56">
        <v>53000</v>
      </c>
      <c r="O49" s="56"/>
      <c r="P49" s="56">
        <v>53000</v>
      </c>
      <c r="Q49" s="56"/>
      <c r="R49" s="56">
        <v>53000</v>
      </c>
      <c r="S49" s="56"/>
      <c r="T49" s="56">
        <v>0</v>
      </c>
      <c r="U49" s="56"/>
      <c r="V49" s="56">
        <v>53000</v>
      </c>
      <c r="W49" s="56"/>
      <c r="X49" s="56">
        <v>0</v>
      </c>
      <c r="Y49" s="56"/>
      <c r="Z49" s="56">
        <v>20000</v>
      </c>
      <c r="AA49" s="56"/>
      <c r="AB49" s="56"/>
      <c r="AC49" s="56"/>
      <c r="AD49" s="56">
        <v>8025</v>
      </c>
      <c r="AE49" s="56"/>
      <c r="AF49" s="56">
        <f t="shared" si="6"/>
        <v>28025</v>
      </c>
      <c r="AG49" s="56">
        <v>0</v>
      </c>
      <c r="AH49" s="56">
        <v>0</v>
      </c>
      <c r="AI49" s="56"/>
      <c r="AJ49" s="56">
        <f t="shared" si="1"/>
        <v>28025</v>
      </c>
      <c r="AK49" s="85"/>
      <c r="AL49" s="56">
        <v>0</v>
      </c>
      <c r="AM49" s="56"/>
      <c r="AN49" s="88">
        <v>6328</v>
      </c>
      <c r="AO49" s="88">
        <v>0</v>
      </c>
      <c r="AP49" s="88">
        <v>0</v>
      </c>
      <c r="AQ49" s="56"/>
      <c r="AR49" s="56">
        <v>0</v>
      </c>
      <c r="AS49" s="56"/>
      <c r="AT49" s="56">
        <v>0</v>
      </c>
      <c r="AU49" s="56"/>
      <c r="AV49" s="56">
        <f t="shared" si="7"/>
        <v>0</v>
      </c>
      <c r="AW49" s="56"/>
      <c r="AX49" s="56">
        <v>0</v>
      </c>
      <c r="AY49" s="56"/>
      <c r="AZ49" s="56">
        <v>14025</v>
      </c>
      <c r="BA49" s="56">
        <v>14025</v>
      </c>
      <c r="BB49" s="214"/>
      <c r="BC49" s="56"/>
      <c r="BD49" s="84">
        <f t="shared" si="3"/>
        <v>-6328</v>
      </c>
      <c r="BE49" s="56"/>
      <c r="BF49" s="56"/>
      <c r="BG49" s="56"/>
      <c r="BH49" s="72"/>
    </row>
    <row r="50" spans="1:62" ht="20.100000000000001" customHeight="1" outlineLevel="1">
      <c r="A50" s="77" t="s">
        <v>43</v>
      </c>
      <c r="B50" s="77" t="s">
        <v>61</v>
      </c>
      <c r="C50" s="77" t="str">
        <f t="shared" si="5"/>
        <v>AD·</v>
      </c>
      <c r="D50" s="78" t="s">
        <v>46</v>
      </c>
      <c r="E50" s="78" t="str">
        <f t="shared" si="4"/>
        <v>000</v>
      </c>
      <c r="F50" s="3">
        <v>611641</v>
      </c>
      <c r="G50" s="120" t="s">
        <v>241</v>
      </c>
      <c r="H50" s="87"/>
      <c r="I50" s="13">
        <v>21043</v>
      </c>
      <c r="J50" s="13">
        <v>20611</v>
      </c>
      <c r="L50" s="56">
        <v>24173</v>
      </c>
      <c r="M50" s="56"/>
      <c r="N50" s="56">
        <v>24063</v>
      </c>
      <c r="O50" s="56"/>
      <c r="P50" s="56">
        <v>24063</v>
      </c>
      <c r="Q50" s="56"/>
      <c r="R50" s="56">
        <v>26013</v>
      </c>
      <c r="S50" s="56"/>
      <c r="T50" s="56">
        <v>0</v>
      </c>
      <c r="U50" s="56"/>
      <c r="V50" s="56">
        <v>26013</v>
      </c>
      <c r="W50" s="56"/>
      <c r="X50" s="56">
        <v>25132.68</v>
      </c>
      <c r="Y50" s="56"/>
      <c r="Z50" s="56">
        <v>23693</v>
      </c>
      <c r="AA50" s="56"/>
      <c r="AB50" s="56"/>
      <c r="AC50" s="56"/>
      <c r="AD50" s="56">
        <v>0</v>
      </c>
      <c r="AE50" s="56"/>
      <c r="AF50" s="56">
        <f t="shared" si="6"/>
        <v>23693</v>
      </c>
      <c r="AG50" s="56">
        <v>0</v>
      </c>
      <c r="AH50" s="56">
        <v>2250</v>
      </c>
      <c r="AI50" s="56"/>
      <c r="AJ50" s="56">
        <f t="shared" si="1"/>
        <v>25943</v>
      </c>
      <c r="AK50" s="85"/>
      <c r="AL50" s="56">
        <v>0</v>
      </c>
      <c r="AM50" s="56"/>
      <c r="AN50" s="88">
        <v>25977.91</v>
      </c>
      <c r="AO50" s="88">
        <v>0</v>
      </c>
      <c r="AP50" s="88">
        <v>24130.46</v>
      </c>
      <c r="AQ50" s="56"/>
      <c r="AR50" s="56">
        <v>0</v>
      </c>
      <c r="AS50" s="56"/>
      <c r="AT50" s="56">
        <v>0</v>
      </c>
      <c r="AU50" s="56"/>
      <c r="AV50" s="56">
        <f t="shared" si="7"/>
        <v>24130.46</v>
      </c>
      <c r="AW50" s="56"/>
      <c r="AX50" s="56">
        <v>0</v>
      </c>
      <c r="AY50" s="56"/>
      <c r="AZ50" s="56">
        <v>24094</v>
      </c>
      <c r="BA50" s="56">
        <f>SUM(AW50:AZ50)</f>
        <v>24094</v>
      </c>
      <c r="BB50" s="214"/>
      <c r="BC50" s="56"/>
      <c r="BD50" s="84">
        <f t="shared" si="3"/>
        <v>-1847.4500000000007</v>
      </c>
      <c r="BE50" s="56"/>
      <c r="BF50" s="56"/>
      <c r="BG50" s="56"/>
      <c r="BH50" s="72">
        <v>1</v>
      </c>
      <c r="BJ50">
        <v>1</v>
      </c>
    </row>
    <row r="51" spans="1:62" ht="20.100000000000001" customHeight="1" outlineLevel="1">
      <c r="A51" s="77" t="s">
        <v>43</v>
      </c>
      <c r="B51" s="77" t="s">
        <v>61</v>
      </c>
      <c r="C51" s="77" t="str">
        <f t="shared" si="5"/>
        <v>AD·</v>
      </c>
      <c r="D51" s="78" t="s">
        <v>46</v>
      </c>
      <c r="E51" s="78" t="str">
        <f t="shared" si="4"/>
        <v>000</v>
      </c>
      <c r="F51" s="3">
        <v>661001</v>
      </c>
      <c r="G51" s="120" t="s">
        <v>242</v>
      </c>
      <c r="H51" s="87"/>
      <c r="I51" s="13"/>
      <c r="J51" s="13"/>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85"/>
      <c r="AL51" s="56"/>
      <c r="AM51" s="56"/>
      <c r="AN51" s="88"/>
      <c r="AO51" s="88"/>
      <c r="AP51" s="88">
        <v>922.1</v>
      </c>
      <c r="AQ51" s="56"/>
      <c r="AR51" s="56">
        <v>200</v>
      </c>
      <c r="AS51" s="56"/>
      <c r="AT51" s="56">
        <v>0</v>
      </c>
      <c r="AU51" s="56"/>
      <c r="AV51" s="56">
        <f t="shared" si="7"/>
        <v>1122.0999999999999</v>
      </c>
      <c r="AW51" s="56"/>
      <c r="AX51" s="56">
        <v>0</v>
      </c>
      <c r="AY51" s="56"/>
      <c r="AZ51" s="56">
        <v>200</v>
      </c>
      <c r="BA51" s="56">
        <f>SUM(AW51:AZ51)</f>
        <v>200</v>
      </c>
      <c r="BB51" s="214"/>
      <c r="BC51" s="56"/>
      <c r="BD51" s="84"/>
      <c r="BE51" s="56"/>
      <c r="BF51" s="56"/>
      <c r="BG51" s="56"/>
      <c r="BH51" s="72"/>
    </row>
    <row r="52" spans="1:62" ht="20.100000000000001" customHeight="1" outlineLevel="1">
      <c r="A52" s="77" t="s">
        <v>43</v>
      </c>
      <c r="B52" s="77" t="s">
        <v>91</v>
      </c>
      <c r="C52" s="77" t="str">
        <f t="shared" si="5"/>
        <v>AD·</v>
      </c>
      <c r="D52" s="78" t="s">
        <v>46</v>
      </c>
      <c r="E52" s="78" t="str">
        <f t="shared" si="4"/>
        <v>000</v>
      </c>
      <c r="F52" s="3">
        <v>661025</v>
      </c>
      <c r="G52" s="120" t="s">
        <v>243</v>
      </c>
      <c r="H52" s="87"/>
      <c r="I52" s="87">
        <v>1340</v>
      </c>
      <c r="J52" s="13">
        <v>0</v>
      </c>
      <c r="L52" s="56">
        <v>359</v>
      </c>
      <c r="M52" s="56"/>
      <c r="N52" s="56">
        <v>0</v>
      </c>
      <c r="O52" s="56"/>
      <c r="P52" s="56">
        <v>0</v>
      </c>
      <c r="Q52" s="56"/>
      <c r="R52" s="56">
        <v>0</v>
      </c>
      <c r="S52" s="56"/>
      <c r="T52" s="56">
        <v>0</v>
      </c>
      <c r="U52" s="56"/>
      <c r="V52" s="56">
        <v>0</v>
      </c>
      <c r="W52" s="56"/>
      <c r="X52" s="56">
        <f>1212.45+404.79+280.16</f>
        <v>1897.4</v>
      </c>
      <c r="Y52" s="56"/>
      <c r="Z52" s="56">
        <v>0</v>
      </c>
      <c r="AA52" s="56"/>
      <c r="AB52" s="56"/>
      <c r="AC52" s="56"/>
      <c r="AD52" s="56">
        <v>0</v>
      </c>
      <c r="AE52" s="56"/>
      <c r="AF52" s="56">
        <f t="shared" ref="AF52:AF59" si="8">SUM(Z52:AE52)</f>
        <v>0</v>
      </c>
      <c r="AG52" s="56">
        <v>0</v>
      </c>
      <c r="AH52" s="56">
        <v>0</v>
      </c>
      <c r="AI52" s="56"/>
      <c r="AJ52" s="56">
        <f t="shared" ref="AJ52:AJ59" si="9">SUM(AE52:AI52)</f>
        <v>0</v>
      </c>
      <c r="AK52" s="85"/>
      <c r="AL52" s="56">
        <v>0</v>
      </c>
      <c r="AM52" s="56"/>
      <c r="AN52" s="88">
        <v>1021.22</v>
      </c>
      <c r="AO52" s="88">
        <v>0</v>
      </c>
      <c r="AP52" s="88">
        <v>0</v>
      </c>
      <c r="AQ52" s="56"/>
      <c r="AR52" s="56">
        <v>0</v>
      </c>
      <c r="AS52" s="56"/>
      <c r="AT52" s="56">
        <v>0</v>
      </c>
      <c r="AU52" s="56"/>
      <c r="AV52" s="56">
        <f t="shared" si="7"/>
        <v>0</v>
      </c>
      <c r="AW52" s="56"/>
      <c r="AX52" s="56">
        <v>0</v>
      </c>
      <c r="AY52" s="56"/>
      <c r="AZ52" s="56">
        <v>0</v>
      </c>
      <c r="BA52" s="56">
        <f>SUM(AW52:AZ52)</f>
        <v>0</v>
      </c>
      <c r="BB52" s="214"/>
      <c r="BC52" s="56"/>
      <c r="BD52" s="84">
        <f t="shared" ref="BD52:BD60" si="10">+AP52-AN52</f>
        <v>-1021.22</v>
      </c>
      <c r="BE52" s="56"/>
      <c r="BF52" s="56"/>
      <c r="BG52" s="56"/>
      <c r="BH52" s="72"/>
    </row>
    <row r="53" spans="1:62" ht="20.100000000000001" customHeight="1" outlineLevel="1">
      <c r="A53" s="77" t="s">
        <v>43</v>
      </c>
      <c r="B53" s="77" t="s">
        <v>162</v>
      </c>
      <c r="C53" s="77" t="str">
        <f t="shared" si="5"/>
        <v>AD·</v>
      </c>
      <c r="D53" s="78" t="s">
        <v>46</v>
      </c>
      <c r="E53" s="78" t="str">
        <f t="shared" si="4"/>
        <v>000</v>
      </c>
      <c r="F53" s="3">
        <v>659016</v>
      </c>
      <c r="G53" s="120" t="s">
        <v>244</v>
      </c>
      <c r="H53" s="87"/>
      <c r="I53" s="13">
        <v>197906</v>
      </c>
      <c r="J53" s="13">
        <v>385561</v>
      </c>
      <c r="L53" s="56">
        <v>391979</v>
      </c>
      <c r="M53" s="56"/>
      <c r="N53" s="56">
        <v>375000</v>
      </c>
      <c r="O53" s="56"/>
      <c r="P53" s="56">
        <v>375000</v>
      </c>
      <c r="Q53" s="56"/>
      <c r="R53" s="56">
        <v>475000</v>
      </c>
      <c r="S53" s="56"/>
      <c r="T53" s="56">
        <v>0</v>
      </c>
      <c r="U53" s="56"/>
      <c r="V53" s="56">
        <v>475000</v>
      </c>
      <c r="W53" s="56"/>
      <c r="X53" s="56">
        <v>443398.84</v>
      </c>
      <c r="Y53" s="56"/>
      <c r="Z53" s="56">
        <v>475000</v>
      </c>
      <c r="AA53" s="56"/>
      <c r="AB53" s="56"/>
      <c r="AC53" s="56"/>
      <c r="AD53" s="56">
        <v>69985</v>
      </c>
      <c r="AE53" s="56"/>
      <c r="AF53" s="56">
        <f t="shared" si="8"/>
        <v>544985</v>
      </c>
      <c r="AG53" s="56">
        <v>0</v>
      </c>
      <c r="AH53" s="56">
        <v>0</v>
      </c>
      <c r="AI53" s="56"/>
      <c r="AJ53" s="56">
        <f t="shared" si="9"/>
        <v>544985</v>
      </c>
      <c r="AK53" s="85"/>
      <c r="AL53" s="56">
        <v>0</v>
      </c>
      <c r="AM53" s="56"/>
      <c r="AN53" s="88">
        <f>575778.07+1118.26</f>
        <v>576896.32999999996</v>
      </c>
      <c r="AO53" s="88">
        <v>0</v>
      </c>
      <c r="AP53" s="88">
        <v>628562.02</v>
      </c>
      <c r="AQ53" s="56"/>
      <c r="AR53" s="56">
        <v>0</v>
      </c>
      <c r="AS53" s="56"/>
      <c r="AT53" s="56">
        <v>0</v>
      </c>
      <c r="AU53" s="56"/>
      <c r="AV53" s="56">
        <f t="shared" si="7"/>
        <v>628562.02</v>
      </c>
      <c r="AW53" s="56"/>
      <c r="AX53" s="56">
        <v>0</v>
      </c>
      <c r="AY53" s="56"/>
      <c r="AZ53" s="56">
        <v>506000</v>
      </c>
      <c r="BA53" s="56">
        <v>506000</v>
      </c>
      <c r="BB53" s="214"/>
      <c r="BC53" s="56"/>
      <c r="BD53" s="84">
        <f t="shared" si="10"/>
        <v>51665.690000000061</v>
      </c>
      <c r="BE53" s="56"/>
      <c r="BF53" s="56"/>
      <c r="BG53" s="56"/>
      <c r="BH53" s="72"/>
    </row>
    <row r="54" spans="1:62" ht="20.100000000000001" customHeight="1" outlineLevel="1">
      <c r="A54" s="77" t="s">
        <v>43</v>
      </c>
      <c r="B54" s="77" t="s">
        <v>218</v>
      </c>
      <c r="C54" s="77" t="str">
        <f t="shared" si="5"/>
        <v>AD·</v>
      </c>
      <c r="D54" s="78" t="s">
        <v>46</v>
      </c>
      <c r="E54" s="78" t="str">
        <f t="shared" si="4"/>
        <v>000</v>
      </c>
      <c r="F54" s="3">
        <v>611942</v>
      </c>
      <c r="G54" s="102" t="s">
        <v>245</v>
      </c>
      <c r="H54" s="87"/>
      <c r="I54" s="13">
        <v>84068</v>
      </c>
      <c r="J54" s="13">
        <v>111295</v>
      </c>
      <c r="L54" s="56">
        <v>94160</v>
      </c>
      <c r="M54" s="56"/>
      <c r="N54" s="56">
        <v>98756</v>
      </c>
      <c r="O54" s="56"/>
      <c r="P54" s="56">
        <v>98756</v>
      </c>
      <c r="Q54" s="56"/>
      <c r="R54" s="56">
        <v>105564</v>
      </c>
      <c r="S54" s="56"/>
      <c r="T54" s="56">
        <v>0</v>
      </c>
      <c r="U54" s="56"/>
      <c r="V54" s="56">
        <v>105564</v>
      </c>
      <c r="W54" s="56"/>
      <c r="X54" s="56">
        <v>161363.96</v>
      </c>
      <c r="Y54" s="56"/>
      <c r="Z54" s="56">
        <v>160771</v>
      </c>
      <c r="AA54" s="56"/>
      <c r="AB54" s="56"/>
      <c r="AC54" s="56"/>
      <c r="AD54" s="56">
        <v>0</v>
      </c>
      <c r="AE54" s="56"/>
      <c r="AF54" s="56">
        <f t="shared" si="8"/>
        <v>160771</v>
      </c>
      <c r="AG54" s="104">
        <v>2500</v>
      </c>
      <c r="AH54" s="56">
        <v>3750</v>
      </c>
      <c r="AI54" s="56"/>
      <c r="AJ54" s="56">
        <f t="shared" si="9"/>
        <v>167021</v>
      </c>
      <c r="AK54" s="85"/>
      <c r="AL54" s="56">
        <v>0</v>
      </c>
      <c r="AM54" s="56"/>
      <c r="AN54" s="88">
        <f>SUM(AI54:AM54)</f>
        <v>167021</v>
      </c>
      <c r="AO54" s="88">
        <v>0</v>
      </c>
      <c r="AP54" s="88">
        <v>164257.92000000001</v>
      </c>
      <c r="AQ54" s="56"/>
      <c r="AR54" s="56">
        <v>0</v>
      </c>
      <c r="AS54" s="56"/>
      <c r="AT54" s="56">
        <v>0</v>
      </c>
      <c r="AU54" s="56"/>
      <c r="AV54" s="56">
        <f t="shared" si="7"/>
        <v>164257.92000000001</v>
      </c>
      <c r="AW54" s="56"/>
      <c r="AX54" s="56">
        <v>0</v>
      </c>
      <c r="AY54" s="56"/>
      <c r="AZ54" s="56">
        <v>110364</v>
      </c>
      <c r="BA54" s="56">
        <v>110800</v>
      </c>
      <c r="BB54" s="214"/>
      <c r="BC54" s="56"/>
      <c r="BD54" s="84">
        <f t="shared" si="10"/>
        <v>-2763.0799999999872</v>
      </c>
      <c r="BE54" s="56"/>
      <c r="BF54" s="56"/>
      <c r="BG54" s="56"/>
      <c r="BH54" s="72">
        <v>1</v>
      </c>
      <c r="BJ54">
        <v>1</v>
      </c>
    </row>
    <row r="55" spans="1:62" ht="20.100000000000001" customHeight="1" outlineLevel="1">
      <c r="A55" s="77" t="s">
        <v>43</v>
      </c>
      <c r="B55" s="77" t="s">
        <v>246</v>
      </c>
      <c r="C55" s="77" t="str">
        <f t="shared" si="5"/>
        <v>AD·</v>
      </c>
      <c r="D55" s="78" t="s">
        <v>46</v>
      </c>
      <c r="E55" s="78" t="str">
        <f t="shared" si="4"/>
        <v>000</v>
      </c>
      <c r="F55" s="3">
        <v>632015</v>
      </c>
      <c r="G55" s="120" t="s">
        <v>247</v>
      </c>
      <c r="H55" s="87"/>
      <c r="I55" s="13">
        <v>15027</v>
      </c>
      <c r="J55" s="13">
        <v>455</v>
      </c>
      <c r="L55" s="56">
        <v>0</v>
      </c>
      <c r="M55" s="56"/>
      <c r="N55" s="56">
        <v>6000</v>
      </c>
      <c r="O55" s="56"/>
      <c r="P55" s="56">
        <v>6000</v>
      </c>
      <c r="Q55" s="56"/>
      <c r="R55" s="56">
        <v>6000</v>
      </c>
      <c r="S55" s="56"/>
      <c r="T55" s="56">
        <v>0</v>
      </c>
      <c r="U55" s="56"/>
      <c r="V55" s="56">
        <v>6000</v>
      </c>
      <c r="W55" s="56"/>
      <c r="X55" s="56">
        <v>0</v>
      </c>
      <c r="Y55" s="56"/>
      <c r="Z55" s="56">
        <v>6000</v>
      </c>
      <c r="AA55" s="56"/>
      <c r="AB55" s="56"/>
      <c r="AC55" s="56"/>
      <c r="AD55" s="56">
        <v>0</v>
      </c>
      <c r="AE55" s="56"/>
      <c r="AF55" s="56">
        <f t="shared" si="8"/>
        <v>6000</v>
      </c>
      <c r="AG55" s="56">
        <v>0</v>
      </c>
      <c r="AH55" s="56">
        <v>0</v>
      </c>
      <c r="AI55" s="56"/>
      <c r="AJ55" s="56">
        <f t="shared" si="9"/>
        <v>6000</v>
      </c>
      <c r="AK55" s="85"/>
      <c r="AL55" s="56">
        <v>-6000</v>
      </c>
      <c r="AM55" s="56"/>
      <c r="AN55" s="88">
        <f>SUM(AI55:AM55)</f>
        <v>0</v>
      </c>
      <c r="AO55" s="88">
        <v>0</v>
      </c>
      <c r="AP55" s="88">
        <v>1000</v>
      </c>
      <c r="AQ55" s="56"/>
      <c r="AR55" s="56">
        <v>0</v>
      </c>
      <c r="AS55" s="56"/>
      <c r="AT55" s="56">
        <v>0</v>
      </c>
      <c r="AU55" s="56"/>
      <c r="AV55" s="56">
        <f t="shared" si="7"/>
        <v>1000</v>
      </c>
      <c r="AW55" s="56"/>
      <c r="AX55" s="56">
        <v>-5000</v>
      </c>
      <c r="AY55" s="56"/>
      <c r="AZ55" s="56">
        <v>0</v>
      </c>
      <c r="BA55" s="56">
        <v>0</v>
      </c>
      <c r="BB55" s="214"/>
      <c r="BC55" s="56"/>
      <c r="BD55" s="84">
        <f t="shared" si="10"/>
        <v>1000</v>
      </c>
      <c r="BE55" s="56"/>
      <c r="BF55" s="56"/>
      <c r="BG55" s="56"/>
      <c r="BH55" s="72"/>
    </row>
    <row r="56" spans="1:62" ht="20.100000000000001" customHeight="1" outlineLevel="1">
      <c r="A56" s="77" t="s">
        <v>43</v>
      </c>
      <c r="B56" s="77" t="s">
        <v>246</v>
      </c>
      <c r="C56" s="77" t="str">
        <f t="shared" si="5"/>
        <v>AD·</v>
      </c>
      <c r="D56" s="78" t="s">
        <v>46</v>
      </c>
      <c r="E56" s="78" t="str">
        <f t="shared" si="4"/>
        <v>000</v>
      </c>
      <c r="F56" s="3">
        <v>658211</v>
      </c>
      <c r="G56" s="120" t="s">
        <v>248</v>
      </c>
      <c r="H56" s="87"/>
      <c r="I56" s="13">
        <v>12802</v>
      </c>
      <c r="J56" s="13">
        <v>15529</v>
      </c>
      <c r="L56" s="56">
        <v>24379</v>
      </c>
      <c r="M56" s="56"/>
      <c r="N56" s="56">
        <v>17000</v>
      </c>
      <c r="O56" s="56"/>
      <c r="P56" s="56">
        <v>17000</v>
      </c>
      <c r="Q56" s="56"/>
      <c r="R56" s="56">
        <v>17000</v>
      </c>
      <c r="S56" s="56"/>
      <c r="T56" s="56">
        <v>0</v>
      </c>
      <c r="U56" s="56"/>
      <c r="V56" s="56">
        <v>17000</v>
      </c>
      <c r="W56" s="56"/>
      <c r="X56" s="56">
        <v>13766.9</v>
      </c>
      <c r="Y56" s="56"/>
      <c r="Z56" s="56">
        <v>17000</v>
      </c>
      <c r="AA56" s="56"/>
      <c r="AB56" s="56"/>
      <c r="AC56" s="56"/>
      <c r="AD56" s="56">
        <v>0</v>
      </c>
      <c r="AE56" s="56"/>
      <c r="AF56" s="56">
        <f t="shared" si="8"/>
        <v>17000</v>
      </c>
      <c r="AG56" s="56">
        <v>0</v>
      </c>
      <c r="AH56" s="56">
        <v>0</v>
      </c>
      <c r="AI56" s="56"/>
      <c r="AJ56" s="56">
        <f t="shared" si="9"/>
        <v>17000</v>
      </c>
      <c r="AK56" s="85"/>
      <c r="AL56" s="56">
        <v>0</v>
      </c>
      <c r="AM56" s="56"/>
      <c r="AN56" s="88">
        <v>13986.85</v>
      </c>
      <c r="AO56" s="88">
        <v>0</v>
      </c>
      <c r="AP56" s="88">
        <v>12677.42</v>
      </c>
      <c r="AQ56" s="56"/>
      <c r="AR56" s="56">
        <v>0</v>
      </c>
      <c r="AS56" s="56"/>
      <c r="AT56" s="56">
        <v>0</v>
      </c>
      <c r="AU56" s="56"/>
      <c r="AV56" s="56">
        <f t="shared" si="7"/>
        <v>12677.42</v>
      </c>
      <c r="AW56" s="56"/>
      <c r="AX56" s="56">
        <v>0</v>
      </c>
      <c r="AY56" s="56"/>
      <c r="AZ56" s="56">
        <v>7000</v>
      </c>
      <c r="BA56" s="56">
        <v>7000</v>
      </c>
      <c r="BB56" s="214"/>
      <c r="BC56" s="56"/>
      <c r="BD56" s="84">
        <f t="shared" si="10"/>
        <v>-1309.4300000000003</v>
      </c>
      <c r="BE56" s="56"/>
      <c r="BF56" s="56"/>
      <c r="BG56" s="56"/>
      <c r="BH56" s="72"/>
    </row>
    <row r="57" spans="1:62" ht="20.100000000000001" customHeight="1" outlineLevel="1">
      <c r="A57" s="77" t="s">
        <v>43</v>
      </c>
      <c r="B57" s="77" t="s">
        <v>246</v>
      </c>
      <c r="C57" s="77" t="str">
        <f t="shared" si="5"/>
        <v>AD·</v>
      </c>
      <c r="D57" s="78" t="s">
        <v>46</v>
      </c>
      <c r="E57" s="78" t="str">
        <f t="shared" si="4"/>
        <v>000</v>
      </c>
      <c r="F57" s="3">
        <v>661001</v>
      </c>
      <c r="G57" s="120" t="s">
        <v>249</v>
      </c>
      <c r="H57" s="87"/>
      <c r="I57" s="13">
        <v>17998</v>
      </c>
      <c r="J57" s="13">
        <v>25589</v>
      </c>
      <c r="L57" s="56">
        <v>20318</v>
      </c>
      <c r="M57" s="56"/>
      <c r="N57" s="56">
        <v>20550</v>
      </c>
      <c r="O57" s="56"/>
      <c r="P57" s="56">
        <v>20550</v>
      </c>
      <c r="Q57" s="56"/>
      <c r="R57" s="56">
        <v>20550</v>
      </c>
      <c r="S57" s="56"/>
      <c r="T57" s="56">
        <v>0</v>
      </c>
      <c r="U57" s="56"/>
      <c r="V57" s="56">
        <v>20550</v>
      </c>
      <c r="W57" s="56"/>
      <c r="X57" s="56">
        <v>19000.62</v>
      </c>
      <c r="Y57" s="56"/>
      <c r="Z57" s="56">
        <v>20550</v>
      </c>
      <c r="AA57" s="56"/>
      <c r="AB57" s="56"/>
      <c r="AC57" s="56"/>
      <c r="AD57" s="56">
        <v>0</v>
      </c>
      <c r="AE57" s="56"/>
      <c r="AF57" s="56">
        <f t="shared" si="8"/>
        <v>20550</v>
      </c>
      <c r="AG57" s="56">
        <v>0</v>
      </c>
      <c r="AH57" s="56">
        <v>0</v>
      </c>
      <c r="AI57" s="56"/>
      <c r="AJ57" s="56">
        <f t="shared" si="9"/>
        <v>20550</v>
      </c>
      <c r="AK57" s="85"/>
      <c r="AL57" s="56">
        <v>4000</v>
      </c>
      <c r="AM57" s="56"/>
      <c r="AN57" s="88">
        <v>18826.259999999998</v>
      </c>
      <c r="AO57" s="88">
        <v>0</v>
      </c>
      <c r="AP57" s="88">
        <v>20012.77</v>
      </c>
      <c r="AQ57" s="56"/>
      <c r="AR57" s="56">
        <v>2760</v>
      </c>
      <c r="AS57" s="56"/>
      <c r="AT57" s="56">
        <f>459</f>
        <v>459</v>
      </c>
      <c r="AU57" s="56"/>
      <c r="AV57" s="56">
        <f t="shared" si="7"/>
        <v>23231.77</v>
      </c>
      <c r="AW57" s="56"/>
      <c r="AX57" s="56">
        <v>-2000</v>
      </c>
      <c r="AY57" s="56"/>
      <c r="AZ57" s="56">
        <v>10000</v>
      </c>
      <c r="BA57" s="56">
        <v>10000</v>
      </c>
      <c r="BB57" s="214"/>
      <c r="BC57" s="56"/>
      <c r="BD57" s="84">
        <f t="shared" si="10"/>
        <v>1186.510000000002</v>
      </c>
      <c r="BE57" s="56"/>
      <c r="BF57" s="56"/>
      <c r="BG57" s="56"/>
      <c r="BH57" s="72"/>
    </row>
    <row r="58" spans="1:62" ht="20.100000000000001" customHeight="1" outlineLevel="1">
      <c r="A58" s="77" t="s">
        <v>43</v>
      </c>
      <c r="B58" s="77" t="s">
        <v>246</v>
      </c>
      <c r="C58" s="77" t="str">
        <f t="shared" si="5"/>
        <v>AD·</v>
      </c>
      <c r="D58" s="78" t="s">
        <v>46</v>
      </c>
      <c r="E58" s="78" t="str">
        <f t="shared" si="4"/>
        <v>000</v>
      </c>
      <c r="F58" s="3">
        <v>673001</v>
      </c>
      <c r="G58" s="120" t="s">
        <v>250</v>
      </c>
      <c r="H58" s="87"/>
      <c r="I58" s="13">
        <v>9152</v>
      </c>
      <c r="J58" s="13">
        <v>0</v>
      </c>
      <c r="L58" s="56">
        <v>0</v>
      </c>
      <c r="M58" s="56"/>
      <c r="N58" s="56">
        <v>0</v>
      </c>
      <c r="O58" s="56"/>
      <c r="P58" s="56">
        <v>0</v>
      </c>
      <c r="Q58" s="56"/>
      <c r="R58" s="56">
        <v>0</v>
      </c>
      <c r="S58" s="56"/>
      <c r="T58" s="56">
        <v>0</v>
      </c>
      <c r="U58" s="56"/>
      <c r="V58" s="56">
        <v>0</v>
      </c>
      <c r="W58" s="56"/>
      <c r="X58" s="56">
        <v>0</v>
      </c>
      <c r="Y58" s="56"/>
      <c r="Z58" s="56">
        <v>0</v>
      </c>
      <c r="AA58" s="56"/>
      <c r="AB58" s="56"/>
      <c r="AC58" s="56"/>
      <c r="AD58" s="56">
        <v>0</v>
      </c>
      <c r="AE58" s="56"/>
      <c r="AF58" s="56">
        <f t="shared" si="8"/>
        <v>0</v>
      </c>
      <c r="AG58" s="56">
        <v>0</v>
      </c>
      <c r="AH58" s="56">
        <v>0</v>
      </c>
      <c r="AI58" s="56"/>
      <c r="AJ58" s="56">
        <f t="shared" si="9"/>
        <v>0</v>
      </c>
      <c r="AK58" s="85"/>
      <c r="AL58" s="56">
        <v>0</v>
      </c>
      <c r="AM58" s="56"/>
      <c r="AN58" s="88">
        <f>SUM(AI58:AM58)</f>
        <v>0</v>
      </c>
      <c r="AO58" s="88">
        <v>0</v>
      </c>
      <c r="AP58" s="88">
        <v>0</v>
      </c>
      <c r="AQ58" s="56"/>
      <c r="AR58" s="56">
        <v>0</v>
      </c>
      <c r="AS58" s="56"/>
      <c r="AT58" s="56">
        <v>0</v>
      </c>
      <c r="AU58" s="56"/>
      <c r="AV58" s="56">
        <f t="shared" si="7"/>
        <v>0</v>
      </c>
      <c r="AW58" s="56"/>
      <c r="AX58" s="56">
        <v>0</v>
      </c>
      <c r="AY58" s="56"/>
      <c r="AZ58" s="56">
        <v>0</v>
      </c>
      <c r="BA58" s="56">
        <f>SUM(AW58:AZ58)</f>
        <v>0</v>
      </c>
      <c r="BB58" s="214"/>
      <c r="BC58" s="56"/>
      <c r="BD58" s="84">
        <f t="shared" si="10"/>
        <v>0</v>
      </c>
      <c r="BE58" s="56"/>
      <c r="BF58" s="56"/>
      <c r="BG58" s="56"/>
      <c r="BH58" s="72"/>
    </row>
    <row r="59" spans="1:62" ht="20.100000000000001" customHeight="1" outlineLevel="1">
      <c r="A59" s="77" t="s">
        <v>43</v>
      </c>
      <c r="B59" s="77" t="s">
        <v>246</v>
      </c>
      <c r="C59" s="77" t="str">
        <f t="shared" si="5"/>
        <v>AD·</v>
      </c>
      <c r="D59" s="78" t="s">
        <v>46</v>
      </c>
      <c r="E59" s="78" t="str">
        <f t="shared" si="4"/>
        <v>000</v>
      </c>
      <c r="F59" s="3">
        <v>689011</v>
      </c>
      <c r="G59" s="120" t="s">
        <v>251</v>
      </c>
      <c r="H59" s="87"/>
      <c r="I59" s="13">
        <v>10000</v>
      </c>
      <c r="J59" s="13">
        <v>10000</v>
      </c>
      <c r="L59" s="56">
        <v>10000</v>
      </c>
      <c r="M59" s="56"/>
      <c r="N59" s="56">
        <v>10000</v>
      </c>
      <c r="O59" s="56"/>
      <c r="P59" s="56">
        <v>10000</v>
      </c>
      <c r="Q59" s="56"/>
      <c r="R59" s="56">
        <v>10000</v>
      </c>
      <c r="S59" s="56"/>
      <c r="T59" s="56">
        <v>0</v>
      </c>
      <c r="U59" s="56"/>
      <c r="V59" s="56">
        <v>10000</v>
      </c>
      <c r="W59" s="56"/>
      <c r="X59" s="56">
        <v>10000</v>
      </c>
      <c r="Y59" s="56"/>
      <c r="Z59" s="56">
        <v>0</v>
      </c>
      <c r="AA59" s="56"/>
      <c r="AB59" s="56"/>
      <c r="AC59" s="56"/>
      <c r="AD59" s="56">
        <v>0</v>
      </c>
      <c r="AE59" s="56"/>
      <c r="AF59" s="56">
        <f t="shared" si="8"/>
        <v>0</v>
      </c>
      <c r="AG59" s="89">
        <v>10000</v>
      </c>
      <c r="AH59" s="56">
        <v>0</v>
      </c>
      <c r="AI59" s="56"/>
      <c r="AJ59" s="56">
        <f t="shared" si="9"/>
        <v>10000</v>
      </c>
      <c r="AK59" s="85"/>
      <c r="AL59" s="56">
        <v>0</v>
      </c>
      <c r="AM59" s="56"/>
      <c r="AN59" s="88">
        <f>SUM(AI59:AM59)</f>
        <v>10000</v>
      </c>
      <c r="AO59" s="88">
        <v>0</v>
      </c>
      <c r="AP59" s="88">
        <v>10000</v>
      </c>
      <c r="AQ59" s="56"/>
      <c r="AR59" s="56">
        <v>0</v>
      </c>
      <c r="AS59" s="56"/>
      <c r="AT59" s="56">
        <v>0</v>
      </c>
      <c r="AU59" s="56"/>
      <c r="AV59" s="56">
        <f t="shared" si="7"/>
        <v>10000</v>
      </c>
      <c r="AW59" s="56"/>
      <c r="AX59" s="56">
        <v>0</v>
      </c>
      <c r="AY59" s="56"/>
      <c r="AZ59" s="56">
        <v>10000</v>
      </c>
      <c r="BA59" s="56">
        <f>SUM(AW59:AZ59)</f>
        <v>10000</v>
      </c>
      <c r="BB59" s="214"/>
      <c r="BC59" s="56"/>
      <c r="BD59" s="84">
        <f t="shared" si="10"/>
        <v>0</v>
      </c>
      <c r="BE59" s="56"/>
      <c r="BF59" s="56"/>
      <c r="BG59" s="56"/>
      <c r="BH59" s="72"/>
    </row>
    <row r="60" spans="1:62">
      <c r="B60" s="77"/>
      <c r="C60" s="77"/>
      <c r="D60" s="90"/>
      <c r="E60" s="90"/>
      <c r="F60" s="3"/>
      <c r="G60" s="110" t="s">
        <v>252</v>
      </c>
      <c r="H60" s="81"/>
      <c r="I60" s="92">
        <v>3917856</v>
      </c>
      <c r="J60" s="93">
        <v>4891454</v>
      </c>
      <c r="L60" s="125">
        <v>5348547</v>
      </c>
      <c r="M60" s="126"/>
      <c r="N60" s="125">
        <v>3581955</v>
      </c>
      <c r="O60" s="126"/>
      <c r="P60" s="125">
        <v>3985980</v>
      </c>
      <c r="Q60" s="126"/>
      <c r="R60" s="125">
        <v>5145195</v>
      </c>
      <c r="S60" s="95"/>
      <c r="T60" s="94">
        <v>0</v>
      </c>
      <c r="U60" s="126"/>
      <c r="V60" s="125">
        <v>5145195</v>
      </c>
      <c r="W60" s="126"/>
      <c r="X60" s="125">
        <f>SUBTOTAL(9,X11:X59)</f>
        <v>6464251.410000002</v>
      </c>
      <c r="Y60" s="126"/>
      <c r="Z60" s="125">
        <f>SUBTOTAL(9,Z11:Z59)</f>
        <v>4988635</v>
      </c>
      <c r="AA60" s="126"/>
      <c r="AB60" s="125">
        <f>SUBTOTAL(9,AB11:AB59)</f>
        <v>64000</v>
      </c>
      <c r="AC60" s="126"/>
      <c r="AD60" s="125">
        <f>SUBTOTAL(9,AD11:AD59)</f>
        <v>87537.040000000008</v>
      </c>
      <c r="AE60" s="126"/>
      <c r="AF60" s="125">
        <f>SUBTOTAL(9,AF11:AF59)</f>
        <v>5140172.04</v>
      </c>
      <c r="AG60" s="125">
        <f>SUBTOTAL(9,AG11:AG59)</f>
        <v>34150</v>
      </c>
      <c r="AH60" s="125">
        <f>SUBTOTAL(9,AH11:AH59)</f>
        <v>15375</v>
      </c>
      <c r="AI60" s="126"/>
      <c r="AJ60" s="125">
        <f>SUBTOTAL(9,AJ11:AJ59)</f>
        <v>5189697.04</v>
      </c>
      <c r="AK60" s="96"/>
      <c r="AL60" s="125">
        <f>SUBTOTAL(9,AL11:AL59)</f>
        <v>450000</v>
      </c>
      <c r="AM60" s="126"/>
      <c r="AN60" s="127">
        <f>SUBTOTAL(9,AN11:AN59)</f>
        <v>6065559.5199999977</v>
      </c>
      <c r="AO60" s="127">
        <f>SUBTOTAL(9,AO11:AO59)</f>
        <v>0</v>
      </c>
      <c r="AP60" s="127">
        <f>SUBTOTAL(9,AP11:AP59)</f>
        <v>6346329.0199999977</v>
      </c>
      <c r="AQ60" s="126"/>
      <c r="AR60" s="125">
        <f>SUBTOTAL(9,AR11:AR59)</f>
        <v>321960</v>
      </c>
      <c r="AS60" s="126"/>
      <c r="AT60" s="125">
        <f>SUBTOTAL(9,AT11:AT59)</f>
        <v>4391.7299999999996</v>
      </c>
      <c r="AU60" s="126"/>
      <c r="AV60" s="125">
        <f>SUBTOTAL(9,AV11:AV59)</f>
        <v>6671117.7099999972</v>
      </c>
      <c r="AW60" s="126"/>
      <c r="AX60" s="125">
        <f>SUBTOTAL(9,AX11:AX59)</f>
        <v>-3515</v>
      </c>
      <c r="AY60" s="126"/>
      <c r="AZ60" s="125">
        <f>SUBTOTAL(9,AZ11:AZ59)</f>
        <v>4655215</v>
      </c>
      <c r="BA60" s="125">
        <f>SUBTOTAL(9,BA11:BA59)</f>
        <v>4662744</v>
      </c>
      <c r="BB60" s="214"/>
      <c r="BC60" s="56"/>
      <c r="BD60" s="98">
        <f t="shared" si="10"/>
        <v>280769.5</v>
      </c>
      <c r="BE60" s="126"/>
      <c r="BF60" s="126"/>
      <c r="BG60" s="126"/>
    </row>
    <row r="61" spans="1:62" ht="9" customHeight="1">
      <c r="A61" s="77"/>
      <c r="B61" s="77"/>
      <c r="C61" s="77"/>
      <c r="D61" s="90"/>
      <c r="E61" s="90"/>
      <c r="F61" s="3"/>
      <c r="G61" s="80"/>
      <c r="H61" s="87"/>
      <c r="L61" s="83"/>
      <c r="M61" s="83"/>
      <c r="N61" s="83"/>
      <c r="O61" s="83"/>
      <c r="P61" s="83"/>
      <c r="Q61" s="83"/>
      <c r="R61" s="83"/>
      <c r="S61" s="83"/>
      <c r="T61" s="83"/>
      <c r="U61" s="83"/>
      <c r="V61" s="83"/>
      <c r="W61" s="83"/>
      <c r="X61" s="83"/>
      <c r="Y61" s="83"/>
      <c r="Z61" s="83"/>
      <c r="AA61" s="83"/>
      <c r="AB61" s="83"/>
      <c r="AC61" s="83"/>
      <c r="AD61" s="83"/>
      <c r="AE61" s="83"/>
      <c r="AF61" s="83"/>
      <c r="AG61" s="83"/>
      <c r="AH61" s="83"/>
      <c r="AI61" s="83"/>
      <c r="AJ61" s="83"/>
      <c r="AK61" s="85"/>
      <c r="AL61" s="83"/>
      <c r="AM61" s="83"/>
      <c r="AN61" s="100"/>
      <c r="AO61" s="100"/>
      <c r="AP61" s="100"/>
      <c r="AQ61" s="83"/>
      <c r="AR61" s="83"/>
      <c r="AS61" s="83"/>
      <c r="AT61" s="83"/>
      <c r="AU61" s="83"/>
      <c r="AV61" s="83"/>
      <c r="AW61" s="83"/>
      <c r="AX61" s="83"/>
      <c r="AY61" s="83"/>
      <c r="AZ61" s="83"/>
      <c r="BA61" s="83"/>
      <c r="BB61" s="34"/>
      <c r="BC61" s="56"/>
      <c r="BD61" s="83"/>
      <c r="BE61" s="83"/>
      <c r="BF61" s="83"/>
      <c r="BG61" s="83"/>
      <c r="BH61" s="19"/>
    </row>
  </sheetData>
  <autoFilter ref="A9:BH61"/>
  <mergeCells count="8">
    <mergeCell ref="A8:E8"/>
    <mergeCell ref="AG2:AH2"/>
    <mergeCell ref="AG3:AH3"/>
    <mergeCell ref="AG4:AH4"/>
    <mergeCell ref="AB4:AD4"/>
    <mergeCell ref="A6:F6"/>
    <mergeCell ref="A7:F7"/>
    <mergeCell ref="AB5:AD5"/>
  </mergeCells>
  <phoneticPr fontId="3" type="noConversion"/>
  <conditionalFormatting sqref="F1:F1048576">
    <cfRule type="cellIs" dxfId="35" priority="1" stopIfTrue="1" operator="between">
      <formula>610000</formula>
      <formula>619999</formula>
    </cfRule>
  </conditionalFormatting>
  <conditionalFormatting sqref="G53 G55:G59">
    <cfRule type="cellIs" dxfId="34" priority="2" stopIfTrue="1" operator="between">
      <formula>"qlt"</formula>
      <formula>"qlt"</formula>
    </cfRule>
  </conditionalFormatting>
  <conditionalFormatting sqref="I52">
    <cfRule type="cellIs" dxfId="33" priority="3" stopIfTrue="1" operator="lessThan">
      <formula>0</formula>
    </cfRule>
  </conditionalFormatting>
  <pageMargins left="0.54" right="0.25" top="0.24" bottom="0.49" header="0.25" footer="0"/>
  <pageSetup scale="76" fitToHeight="0" orientation="landscape" r:id="rId1"/>
  <headerFooter alignWithMargins="0">
    <oddFooter>&amp;C&amp;8Detail of Expenditures Budget By Department, Page &amp;P of &amp;N</oddFooter>
  </headerFooter>
  <legacyDrawing r:id="rId2"/>
</worksheet>
</file>

<file path=xl/worksheets/sheet5.xml><?xml version="1.0" encoding="utf-8"?>
<worksheet xmlns="http://schemas.openxmlformats.org/spreadsheetml/2006/main" xmlns:r="http://schemas.openxmlformats.org/officeDocument/2006/relationships">
  <sheetPr codeName="Sheet7" enableFormatConditionsCalculation="0">
    <tabColor indexed="17"/>
    <pageSetUpPr fitToPage="1"/>
  </sheetPr>
  <dimension ref="A1:BJ64"/>
  <sheetViews>
    <sheetView zoomScale="87" zoomScaleNormal="90" workbookViewId="0">
      <pane xSplit="8" ySplit="9" topLeftCell="AN10" activePane="bottomRight" state="frozen"/>
      <selection activeCell="A28" sqref="A28"/>
      <selection pane="topRight" activeCell="A28" sqref="A28"/>
      <selection pane="bottomLeft" activeCell="A28" sqref="A28"/>
      <selection pane="bottomRight"/>
    </sheetView>
  </sheetViews>
  <sheetFormatPr defaultRowHeight="12.75" outlineLevelRow="1" outlineLevelCol="1"/>
  <cols>
    <col min="1" max="1" width="7" style="39" customWidth="1" outlineLevel="1"/>
    <col min="2" max="2" width="6.140625" style="39" customWidth="1" outlineLevel="1"/>
    <col min="3" max="3" width="3.7109375" style="39" customWidth="1" outlineLevel="1"/>
    <col min="4" max="5" width="4.85546875" style="168" customWidth="1" outlineLevel="1"/>
    <col min="6" max="6" width="8.7109375" style="40" customWidth="1" outlineLevel="1"/>
    <col min="7" max="7" width="28.5703125" style="4" customWidth="1"/>
    <col min="8" max="8" width="16.5703125" style="4" hidden="1" customWidth="1"/>
    <col min="9" max="10" width="15.140625" style="4" hidden="1" customWidth="1" collapsed="1"/>
    <col min="11" max="11" width="39.5703125" style="4" hidden="1" customWidth="1"/>
    <col min="12" max="12" width="15.140625" style="7" bestFit="1" customWidth="1" collapsed="1"/>
    <col min="13" max="13" width="31.7109375" style="7" hidden="1" customWidth="1"/>
    <col min="14" max="14" width="35.5703125" style="7" hidden="1" customWidth="1" collapsed="1"/>
    <col min="15" max="15" width="0.140625" style="7" customWidth="1"/>
    <col min="16" max="16" width="25.28515625" style="7" hidden="1" customWidth="1" outlineLevel="1" collapsed="1"/>
    <col min="17" max="17" width="23.42578125" style="7" hidden="1" customWidth="1" outlineLevel="1"/>
    <col min="18" max="18" width="20.5703125" style="7" hidden="1" customWidth="1" outlineLevel="1" collapsed="1"/>
    <col min="19" max="19" width="18" style="7" hidden="1" customWidth="1" outlineLevel="1"/>
    <col min="20" max="20" width="19.5703125" style="7" hidden="1" customWidth="1" outlineLevel="1"/>
    <col min="21" max="21" width="18.42578125" style="7" hidden="1" customWidth="1" outlineLevel="1"/>
    <col min="22" max="22" width="13.140625" style="7" hidden="1" customWidth="1"/>
    <col min="23" max="23" width="14.140625" style="7" hidden="1" customWidth="1"/>
    <col min="24" max="24" width="14.5703125" style="7" customWidth="1" collapsed="1"/>
    <col min="25" max="25" width="0.85546875" style="7" hidden="1" customWidth="1"/>
    <col min="26" max="26" width="16.140625" style="7" hidden="1" customWidth="1"/>
    <col min="27" max="27" width="0.140625" style="7" hidden="1" customWidth="1"/>
    <col min="28" max="28" width="16.140625" style="7" hidden="1" customWidth="1" outlineLevel="1"/>
    <col min="29" max="29" width="0.42578125" style="7" hidden="1" customWidth="1" outlineLevel="1"/>
    <col min="30" max="30" width="17.85546875" style="7" hidden="1" customWidth="1" outlineLevel="1"/>
    <col min="31" max="31" width="0.42578125" style="7" hidden="1" customWidth="1" outlineLevel="1"/>
    <col min="32" max="32" width="16.140625" style="7" hidden="1" customWidth="1" collapsed="1"/>
    <col min="33" max="33" width="16" style="7" hidden="1" customWidth="1" outlineLevel="1"/>
    <col min="34" max="34" width="17" style="7" hidden="1" customWidth="1" outlineLevel="1"/>
    <col min="35" max="35" width="10.5703125" style="7" hidden="1" customWidth="1" outlineLevel="1"/>
    <col min="36" max="36" width="16.140625" style="7" hidden="1" customWidth="1" collapsed="1"/>
    <col min="37" max="37" width="0.7109375" style="7" hidden="1" customWidth="1"/>
    <col min="38" max="38" width="16.140625" style="7" hidden="1" customWidth="1" outlineLevel="1"/>
    <col min="39" max="39" width="4.140625" style="7" hidden="1" customWidth="1" outlineLevel="1"/>
    <col min="40" max="40" width="16.140625" style="17" customWidth="1" collapsed="1"/>
    <col min="41" max="41" width="16.140625" style="17" hidden="1" customWidth="1" collapsed="1"/>
    <col min="42" max="42" width="16.140625" style="17" customWidth="1" collapsed="1"/>
    <col min="43" max="43" width="0.7109375" style="7" hidden="1" customWidth="1" outlineLevel="1"/>
    <col min="44" max="44" width="22.140625" style="7" hidden="1" customWidth="1" outlineLevel="1"/>
    <col min="45" max="45" width="0.42578125" style="7" hidden="1" customWidth="1" outlineLevel="1"/>
    <col min="46" max="46" width="17.85546875" style="7" hidden="1" customWidth="1" outlineLevel="1"/>
    <col min="47" max="47" width="0.42578125" style="7" hidden="1" customWidth="1" outlineLevel="1"/>
    <col min="48" max="48" width="18" style="7" hidden="1" customWidth="1" collapsed="1"/>
    <col min="49" max="49" width="0.5703125" style="7" hidden="1" customWidth="1"/>
    <col min="50" max="50" width="18" style="7" hidden="1" customWidth="1"/>
    <col min="51" max="51" width="0.5703125" style="7" customWidth="1"/>
    <col min="52" max="52" width="16.140625" style="17" customWidth="1" collapsed="1"/>
    <col min="53" max="53" width="15.7109375" style="7" bestFit="1" customWidth="1"/>
    <col min="54" max="54" width="15.140625" style="7" customWidth="1"/>
    <col min="55" max="55" width="23.140625" style="7" customWidth="1"/>
    <col min="56" max="56" width="19.85546875" style="7" bestFit="1" customWidth="1"/>
    <col min="57" max="59" width="12.42578125" style="7" customWidth="1"/>
    <col min="60" max="60" width="3.85546875" style="76" customWidth="1"/>
    <col min="61" max="61" width="14.5703125" style="12" bestFit="1" customWidth="1"/>
  </cols>
  <sheetData>
    <row r="1" spans="1:62" ht="15">
      <c r="A1" s="1" t="s">
        <v>0</v>
      </c>
      <c r="B1" s="2"/>
      <c r="C1" s="2"/>
      <c r="D1" s="1"/>
      <c r="E1" s="1"/>
      <c r="F1" s="3"/>
      <c r="H1" s="5"/>
      <c r="I1" s="6"/>
      <c r="T1" s="8"/>
      <c r="Z1" s="9"/>
      <c r="AB1" s="9"/>
      <c r="AD1" s="9"/>
      <c r="AF1" s="9"/>
      <c r="AH1" s="10" t="e">
        <f>+#REF!</f>
        <v>#REF!</v>
      </c>
      <c r="AJ1" s="9"/>
      <c r="AK1" s="9"/>
      <c r="AN1" s="9"/>
      <c r="AO1" s="9"/>
      <c r="AP1" s="9"/>
      <c r="AR1" s="9"/>
      <c r="AT1" s="9"/>
      <c r="AV1" s="9"/>
      <c r="AW1" s="9"/>
      <c r="AX1" s="9"/>
      <c r="AY1" s="9"/>
      <c r="AZ1" s="9"/>
      <c r="BA1" s="9"/>
      <c r="BB1" s="9"/>
      <c r="BC1" s="9"/>
      <c r="BD1" s="9"/>
      <c r="BE1" s="9"/>
      <c r="BF1" s="9"/>
      <c r="BG1" s="9"/>
      <c r="BH1" s="11"/>
    </row>
    <row r="2" spans="1:62" ht="15">
      <c r="A2" s="1" t="s">
        <v>1053</v>
      </c>
      <c r="B2" s="2"/>
      <c r="C2" s="2"/>
      <c r="D2" s="1"/>
      <c r="E2" s="1"/>
      <c r="F2" s="3"/>
      <c r="H2" s="5"/>
      <c r="I2" s="13"/>
      <c r="J2" s="14"/>
      <c r="K2" s="14"/>
      <c r="L2" s="15"/>
      <c r="M2" s="15"/>
      <c r="N2" s="15"/>
      <c r="O2" s="15"/>
      <c r="P2" s="15"/>
      <c r="R2" s="15"/>
      <c r="T2" s="8"/>
      <c r="V2" s="15"/>
      <c r="X2" s="15"/>
      <c r="Z2" s="15"/>
      <c r="AB2" s="15"/>
      <c r="AD2" s="15"/>
      <c r="AF2" s="15"/>
      <c r="AG2" s="238" t="s">
        <v>1</v>
      </c>
      <c r="AH2" s="238"/>
      <c r="AI2" s="17"/>
      <c r="AJ2" s="18"/>
      <c r="AK2" s="15"/>
      <c r="AL2" s="10" t="e">
        <f>+#REF!</f>
        <v>#REF!</v>
      </c>
      <c r="AN2" s="18"/>
      <c r="AO2" s="18"/>
      <c r="AP2" s="18"/>
      <c r="AR2" s="15"/>
      <c r="AT2" s="15"/>
      <c r="AV2" s="15"/>
      <c r="AW2" s="15"/>
      <c r="AX2" s="15"/>
      <c r="AY2" s="15"/>
      <c r="AZ2" s="18"/>
      <c r="BA2" s="15"/>
      <c r="BB2" s="15"/>
      <c r="BC2" s="15"/>
      <c r="BD2" s="15"/>
      <c r="BE2" s="15"/>
      <c r="BF2" s="15"/>
      <c r="BG2" s="15"/>
      <c r="BH2" s="19"/>
    </row>
    <row r="3" spans="1:62">
      <c r="A3" s="20" t="str">
        <f>IF(G7=1,"DETAIL OF EXPENDITURES BUDGET BY DEPARTMENT WITH COMPARATIVE AMOUNTS", "SUMMARY OF EXPENDITURES BUDGET BY DEPARTMENT WITH COMPARATIVE AMOUNTS")</f>
        <v>DETAIL OF EXPENDITURES BUDGET BY DEPARTMENT WITH COMPARATIVE AMOUNTS</v>
      </c>
      <c r="B3" s="21"/>
      <c r="C3" s="21"/>
      <c r="D3" s="22"/>
      <c r="E3" s="22"/>
      <c r="F3" s="3"/>
      <c r="H3" s="5"/>
      <c r="I3" s="23"/>
      <c r="J3" s="15"/>
      <c r="L3" s="15"/>
      <c r="M3" s="10"/>
      <c r="N3" s="10"/>
      <c r="O3" s="10"/>
      <c r="P3" s="24"/>
      <c r="R3" s="24"/>
      <c r="V3" s="24"/>
      <c r="W3" s="24"/>
      <c r="X3" s="15"/>
      <c r="Y3" s="24"/>
      <c r="AA3" s="24"/>
      <c r="AB3" s="24" t="e">
        <f>+#REF!</f>
        <v>#REF!</v>
      </c>
      <c r="AC3" s="24"/>
      <c r="AD3" s="24" t="e">
        <f>+#REF!</f>
        <v>#REF!</v>
      </c>
      <c r="AE3" s="24"/>
      <c r="AF3" s="10" t="e">
        <f>+#REF!</f>
        <v>#REF!</v>
      </c>
      <c r="AG3" s="239" t="s">
        <v>2</v>
      </c>
      <c r="AH3" s="239"/>
      <c r="AI3" s="25"/>
      <c r="AJ3" s="25" t="e">
        <f>+#REF!</f>
        <v>#REF!</v>
      </c>
      <c r="AK3" s="24"/>
      <c r="AL3" s="16" t="s">
        <v>1</v>
      </c>
      <c r="AM3" s="25"/>
      <c r="AN3" s="25"/>
      <c r="AO3" s="25"/>
      <c r="AP3" s="25"/>
      <c r="AQ3" s="24"/>
      <c r="AR3" s="24" t="e">
        <f>+#REF!</f>
        <v>#REF!</v>
      </c>
      <c r="AS3" s="24"/>
      <c r="AT3" s="24" t="e">
        <f>+#REF!</f>
        <v>#REF!</v>
      </c>
      <c r="AU3" s="24"/>
      <c r="AV3" s="24" t="e">
        <f>+#REF!</f>
        <v>#REF!</v>
      </c>
      <c r="AW3" s="24"/>
      <c r="AX3" s="24" t="e">
        <f>+#REF!</f>
        <v>#REF!</v>
      </c>
      <c r="AY3" s="24"/>
      <c r="AZ3" s="25"/>
      <c r="BA3" s="24"/>
      <c r="BB3" s="24"/>
      <c r="BC3" s="24"/>
      <c r="BD3" s="26"/>
      <c r="BE3" s="26"/>
      <c r="BF3" s="26"/>
      <c r="BG3" s="26"/>
      <c r="BH3" s="27"/>
    </row>
    <row r="4" spans="1:62" ht="15">
      <c r="A4" s="28" t="s">
        <v>1070</v>
      </c>
      <c r="B4" s="29"/>
      <c r="C4" s="29"/>
      <c r="D4" s="28"/>
      <c r="E4" s="28"/>
      <c r="F4" s="3"/>
      <c r="H4" s="30"/>
      <c r="I4" s="31" t="e">
        <f>+#REF!</f>
        <v>#REF!</v>
      </c>
      <c r="J4" s="31" t="e">
        <f>+#REF!</f>
        <v>#REF!</v>
      </c>
      <c r="L4" s="31"/>
      <c r="M4" s="32"/>
      <c r="N4" s="33"/>
      <c r="O4" s="32"/>
      <c r="P4" s="33"/>
      <c r="R4" s="33"/>
      <c r="T4" s="33"/>
      <c r="X4" s="31"/>
      <c r="Z4" s="10"/>
      <c r="AB4" s="241"/>
      <c r="AC4" s="241"/>
      <c r="AD4" s="241"/>
      <c r="AE4" s="35"/>
      <c r="AF4" s="34"/>
      <c r="AG4" s="240"/>
      <c r="AH4" s="240"/>
      <c r="AI4" s="17"/>
      <c r="AJ4" s="16"/>
      <c r="AK4" s="24"/>
      <c r="AL4" s="16"/>
      <c r="AM4" s="17"/>
      <c r="AN4" s="31"/>
      <c r="AO4" s="31"/>
      <c r="AP4" s="31"/>
      <c r="AR4" s="34" t="s">
        <v>5</v>
      </c>
      <c r="AU4" s="35"/>
      <c r="AV4" s="34"/>
      <c r="AW4" s="34"/>
      <c r="AX4" s="34" t="s">
        <v>5</v>
      </c>
      <c r="AY4" s="34"/>
      <c r="AZ4" s="31"/>
      <c r="BA4" s="34"/>
      <c r="BB4" s="34"/>
      <c r="BC4" s="34"/>
      <c r="BD4" s="37"/>
      <c r="BE4" s="37"/>
      <c r="BF4" s="37"/>
      <c r="BG4" s="37"/>
      <c r="BH4" s="38"/>
    </row>
    <row r="5" spans="1:62" ht="15">
      <c r="B5" s="29"/>
      <c r="C5" s="29"/>
      <c r="D5" s="28"/>
      <c r="E5" s="28"/>
      <c r="G5" s="28"/>
      <c r="H5" s="5"/>
      <c r="I5" s="41" t="s">
        <v>6</v>
      </c>
      <c r="J5" s="42" t="s">
        <v>7</v>
      </c>
      <c r="L5" s="16" t="s">
        <v>8</v>
      </c>
      <c r="M5" s="16"/>
      <c r="N5" s="16" t="s">
        <v>9</v>
      </c>
      <c r="O5" s="16"/>
      <c r="P5" s="16" t="s">
        <v>9</v>
      </c>
      <c r="Q5" s="17"/>
      <c r="R5" s="43"/>
      <c r="S5" s="17"/>
      <c r="T5" s="16"/>
      <c r="U5" s="17"/>
      <c r="V5" s="16" t="s">
        <v>9</v>
      </c>
      <c r="X5" s="16" t="s">
        <v>9</v>
      </c>
      <c r="Z5" s="34" t="s">
        <v>1</v>
      </c>
      <c r="AB5" s="243" t="s">
        <v>10</v>
      </c>
      <c r="AC5" s="243"/>
      <c r="AD5" s="243"/>
      <c r="AE5" s="35"/>
      <c r="AF5" s="34" t="s">
        <v>1</v>
      </c>
      <c r="AG5" s="17"/>
      <c r="AH5" s="16" t="s">
        <v>11</v>
      </c>
      <c r="AI5" s="17"/>
      <c r="AJ5" s="16" t="s">
        <v>1</v>
      </c>
      <c r="AK5" s="24"/>
      <c r="AL5" s="43" t="s">
        <v>12</v>
      </c>
      <c r="AM5" s="17"/>
      <c r="AN5" s="16" t="s">
        <v>1</v>
      </c>
      <c r="AO5" s="45" t="s">
        <v>1</v>
      </c>
      <c r="AP5" s="16" t="s">
        <v>5</v>
      </c>
      <c r="AQ5" s="47"/>
      <c r="AR5" s="48" t="s">
        <v>10</v>
      </c>
      <c r="AS5" s="47"/>
      <c r="AT5" s="47"/>
      <c r="AU5" s="47"/>
      <c r="AV5" s="46" t="s">
        <v>5</v>
      </c>
      <c r="AW5" s="34"/>
      <c r="AX5" s="49" t="s">
        <v>3</v>
      </c>
      <c r="AY5" s="34"/>
      <c r="AZ5" s="46" t="s">
        <v>1054</v>
      </c>
      <c r="BA5" s="46" t="s">
        <v>1054</v>
      </c>
      <c r="BB5" s="34" t="s">
        <v>1069</v>
      </c>
      <c r="BC5" s="34"/>
      <c r="BD5" s="50" t="s">
        <v>13</v>
      </c>
      <c r="BE5" s="37"/>
      <c r="BF5" s="37"/>
      <c r="BG5" s="37"/>
      <c r="BH5" s="51"/>
    </row>
    <row r="6" spans="1:62">
      <c r="A6" s="242"/>
      <c r="B6" s="242"/>
      <c r="C6" s="242"/>
      <c r="D6" s="242"/>
      <c r="E6" s="242"/>
      <c r="F6" s="242"/>
      <c r="G6" s="22"/>
      <c r="H6" s="5"/>
      <c r="I6" s="52" t="s">
        <v>14</v>
      </c>
      <c r="J6" s="52" t="s">
        <v>14</v>
      </c>
      <c r="L6" s="43" t="s">
        <v>14</v>
      </c>
      <c r="M6" s="43"/>
      <c r="N6" s="43" t="s">
        <v>15</v>
      </c>
      <c r="O6" s="43"/>
      <c r="P6" s="43" t="s">
        <v>4</v>
      </c>
      <c r="Q6" s="17"/>
      <c r="R6" s="43" t="s">
        <v>4</v>
      </c>
      <c r="S6" s="43"/>
      <c r="T6" s="43" t="s">
        <v>16</v>
      </c>
      <c r="U6" s="43"/>
      <c r="V6" s="43" t="s">
        <v>4</v>
      </c>
      <c r="W6" s="43"/>
      <c r="X6" s="43" t="s">
        <v>14</v>
      </c>
      <c r="Y6" s="43"/>
      <c r="Z6" s="34" t="s">
        <v>17</v>
      </c>
      <c r="AA6" s="43"/>
      <c r="AB6" s="53" t="s">
        <v>16</v>
      </c>
      <c r="AC6" s="53"/>
      <c r="AD6" s="34"/>
      <c r="AE6" s="53"/>
      <c r="AF6" s="34" t="s">
        <v>17</v>
      </c>
      <c r="AG6" s="43" t="s">
        <v>16</v>
      </c>
      <c r="AH6" s="16" t="s">
        <v>18</v>
      </c>
      <c r="AI6" s="43"/>
      <c r="AJ6" s="16" t="s">
        <v>19</v>
      </c>
      <c r="AK6" s="24"/>
      <c r="AL6" s="43" t="s">
        <v>16</v>
      </c>
      <c r="AM6" s="43"/>
      <c r="AN6" s="43" t="s">
        <v>14</v>
      </c>
      <c r="AO6" s="45" t="s">
        <v>20</v>
      </c>
      <c r="AP6" s="43" t="s">
        <v>14</v>
      </c>
      <c r="AQ6" s="54"/>
      <c r="AR6" s="54" t="s">
        <v>16</v>
      </c>
      <c r="AS6" s="54"/>
      <c r="AT6" s="46"/>
      <c r="AU6" s="54"/>
      <c r="AV6" s="46" t="s">
        <v>19</v>
      </c>
      <c r="AW6" s="34"/>
      <c r="AX6" s="55" t="s">
        <v>16</v>
      </c>
      <c r="AY6" s="34"/>
      <c r="AZ6" s="54" t="s">
        <v>19</v>
      </c>
      <c r="BA6" s="46" t="s">
        <v>19</v>
      </c>
      <c r="BB6" s="34" t="s">
        <v>19</v>
      </c>
      <c r="BC6" s="56"/>
      <c r="BD6" s="50" t="s">
        <v>21</v>
      </c>
      <c r="BE6" s="37"/>
      <c r="BF6" s="37"/>
      <c r="BG6" s="37"/>
      <c r="BH6" s="57"/>
    </row>
    <row r="7" spans="1:62" ht="15">
      <c r="A7" s="237"/>
      <c r="B7" s="237"/>
      <c r="C7" s="237"/>
      <c r="D7" s="237"/>
      <c r="E7" s="237"/>
      <c r="F7" s="237"/>
      <c r="G7" s="59">
        <v>1</v>
      </c>
      <c r="H7" s="60"/>
      <c r="I7" s="52" t="s">
        <v>22</v>
      </c>
      <c r="J7" s="52" t="s">
        <v>22</v>
      </c>
      <c r="L7" s="43" t="s">
        <v>22</v>
      </c>
      <c r="M7" s="43"/>
      <c r="N7" s="43" t="s">
        <v>23</v>
      </c>
      <c r="O7" s="43"/>
      <c r="P7" s="43" t="s">
        <v>24</v>
      </c>
      <c r="Q7" s="43"/>
      <c r="R7" s="43" t="s">
        <v>24</v>
      </c>
      <c r="S7" s="43"/>
      <c r="T7" s="43" t="s">
        <v>25</v>
      </c>
      <c r="U7" s="43"/>
      <c r="V7" s="43" t="s">
        <v>24</v>
      </c>
      <c r="W7" s="43"/>
      <c r="X7" s="43" t="s">
        <v>22</v>
      </c>
      <c r="Y7" s="43"/>
      <c r="Z7" s="53" t="s">
        <v>15</v>
      </c>
      <c r="AA7" s="43"/>
      <c r="AB7" s="53" t="s">
        <v>26</v>
      </c>
      <c r="AC7" s="53"/>
      <c r="AD7" s="53"/>
      <c r="AE7" s="53"/>
      <c r="AF7" s="53" t="s">
        <v>4</v>
      </c>
      <c r="AG7" s="43" t="s">
        <v>26</v>
      </c>
      <c r="AH7" s="43" t="s">
        <v>27</v>
      </c>
      <c r="AI7" s="43"/>
      <c r="AJ7" s="43" t="s">
        <v>4</v>
      </c>
      <c r="AK7" s="24"/>
      <c r="AL7" s="43" t="s">
        <v>26</v>
      </c>
      <c r="AM7" s="43"/>
      <c r="AN7" s="43" t="s">
        <v>22</v>
      </c>
      <c r="AO7" s="61" t="s">
        <v>22</v>
      </c>
      <c r="AP7" s="43" t="s">
        <v>22</v>
      </c>
      <c r="AQ7" s="54"/>
      <c r="AR7" s="54" t="s">
        <v>26</v>
      </c>
      <c r="AS7" s="54"/>
      <c r="AT7" s="54"/>
      <c r="AU7" s="54"/>
      <c r="AV7" s="54" t="s">
        <v>4</v>
      </c>
      <c r="AW7" s="53"/>
      <c r="AX7" s="55" t="s">
        <v>26</v>
      </c>
      <c r="AY7" s="53"/>
      <c r="AZ7" s="54" t="s">
        <v>15</v>
      </c>
      <c r="BA7" s="54" t="s">
        <v>4</v>
      </c>
      <c r="BB7" s="34" t="s">
        <v>15</v>
      </c>
      <c r="BC7" s="56"/>
      <c r="BD7" s="50" t="s">
        <v>28</v>
      </c>
      <c r="BE7" s="62"/>
      <c r="BF7" s="62"/>
      <c r="BG7" s="62"/>
      <c r="BH7" s="57"/>
      <c r="BI7" s="63"/>
    </row>
    <row r="8" spans="1:62" ht="15">
      <c r="A8" s="237" t="s">
        <v>29</v>
      </c>
      <c r="B8" s="237"/>
      <c r="C8" s="237"/>
      <c r="D8" s="237"/>
      <c r="E8" s="237"/>
      <c r="F8" s="64" t="s">
        <v>30</v>
      </c>
      <c r="G8" s="64" t="s">
        <v>31</v>
      </c>
      <c r="H8" s="60"/>
      <c r="I8" s="65" t="s">
        <v>32</v>
      </c>
      <c r="J8" s="65" t="s">
        <v>32</v>
      </c>
      <c r="L8" s="66" t="s">
        <v>32</v>
      </c>
      <c r="M8" s="36"/>
      <c r="N8" s="36" t="s">
        <v>2</v>
      </c>
      <c r="O8" s="36"/>
      <c r="P8" s="36" t="s">
        <v>33</v>
      </c>
      <c r="Q8" s="36"/>
      <c r="R8" s="36" t="s">
        <v>34</v>
      </c>
      <c r="S8" s="36"/>
      <c r="T8" s="36" t="s">
        <v>35</v>
      </c>
      <c r="U8" s="36"/>
      <c r="V8" s="36" t="s">
        <v>36</v>
      </c>
      <c r="W8" s="36"/>
      <c r="X8" s="66" t="s">
        <v>32</v>
      </c>
      <c r="Y8" s="36"/>
      <c r="Z8" s="44" t="s">
        <v>24</v>
      </c>
      <c r="AA8" s="36"/>
      <c r="AB8" s="44" t="s">
        <v>35</v>
      </c>
      <c r="AC8" s="44"/>
      <c r="AD8" s="44" t="s">
        <v>37</v>
      </c>
      <c r="AE8" s="44"/>
      <c r="AF8" s="44" t="s">
        <v>38</v>
      </c>
      <c r="AG8" s="36" t="s">
        <v>35</v>
      </c>
      <c r="AH8" s="36" t="s">
        <v>39</v>
      </c>
      <c r="AI8" s="36"/>
      <c r="AJ8" s="36" t="s">
        <v>40</v>
      </c>
      <c r="AK8" s="24"/>
      <c r="AL8" s="36" t="s">
        <v>35</v>
      </c>
      <c r="AM8" s="36"/>
      <c r="AN8" s="36" t="s">
        <v>32</v>
      </c>
      <c r="AO8" s="67" t="s">
        <v>32</v>
      </c>
      <c r="AP8" s="36" t="s">
        <v>32</v>
      </c>
      <c r="AQ8" s="48"/>
      <c r="AR8" s="48" t="s">
        <v>35</v>
      </c>
      <c r="AS8" s="48"/>
      <c r="AT8" s="48" t="s">
        <v>37</v>
      </c>
      <c r="AU8" s="48"/>
      <c r="AV8" s="48" t="s">
        <v>38</v>
      </c>
      <c r="AW8" s="44"/>
      <c r="AX8" s="49" t="s">
        <v>35</v>
      </c>
      <c r="AY8" s="44"/>
      <c r="AZ8" s="48" t="s">
        <v>2</v>
      </c>
      <c r="BA8" s="48" t="s">
        <v>40</v>
      </c>
      <c r="BB8" s="44" t="s">
        <v>2</v>
      </c>
      <c r="BC8" s="56"/>
      <c r="BD8" s="50" t="s">
        <v>41</v>
      </c>
      <c r="BE8" s="68"/>
      <c r="BF8" s="68"/>
      <c r="BG8" s="68"/>
      <c r="BH8" s="69"/>
    </row>
    <row r="9" spans="1:62" ht="15">
      <c r="A9" s="58"/>
      <c r="B9" s="58"/>
      <c r="C9" s="58"/>
      <c r="D9" s="64"/>
      <c r="E9" s="64"/>
      <c r="F9" s="64"/>
      <c r="G9" s="70"/>
      <c r="H9" s="60"/>
      <c r="J9" s="71"/>
      <c r="AK9" s="24"/>
      <c r="BB9" s="34"/>
      <c r="BC9" s="56"/>
      <c r="BH9" s="72">
        <v>2</v>
      </c>
    </row>
    <row r="10" spans="1:62" ht="15" outlineLevel="1">
      <c r="A10" s="75" t="s">
        <v>253</v>
      </c>
      <c r="B10" s="77"/>
      <c r="C10" s="77"/>
      <c r="D10" s="90"/>
      <c r="E10" s="90"/>
      <c r="F10" s="3"/>
      <c r="H10" s="87"/>
      <c r="L10" s="44"/>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5"/>
      <c r="AL10" s="83"/>
      <c r="AM10" s="83"/>
      <c r="AN10" s="100"/>
      <c r="AO10" s="100"/>
      <c r="AP10" s="100"/>
      <c r="AQ10" s="83"/>
      <c r="AR10" s="83"/>
      <c r="AS10" s="83"/>
      <c r="AT10" s="83"/>
      <c r="AU10" s="83"/>
      <c r="AV10" s="83"/>
      <c r="AW10" s="83"/>
      <c r="AX10" s="83"/>
      <c r="AY10" s="83"/>
      <c r="AZ10" s="100"/>
      <c r="BA10" s="83"/>
      <c r="BB10" s="83"/>
      <c r="BC10" s="56"/>
      <c r="BD10" s="83"/>
      <c r="BE10" s="83"/>
      <c r="BF10" s="83"/>
      <c r="BG10" s="83"/>
      <c r="BH10" s="19"/>
    </row>
    <row r="11" spans="1:62" ht="20.100000000000001" customHeight="1" outlineLevel="1">
      <c r="A11" s="77" t="s">
        <v>43</v>
      </c>
      <c r="B11" s="77" t="s">
        <v>211</v>
      </c>
      <c r="C11" s="77" t="s">
        <v>1077</v>
      </c>
      <c r="D11" s="78" t="s">
        <v>46</v>
      </c>
      <c r="E11" s="78" t="str">
        <f>+D11</f>
        <v>000</v>
      </c>
      <c r="F11" s="79">
        <v>611211</v>
      </c>
      <c r="G11" s="102" t="s">
        <v>254</v>
      </c>
      <c r="H11" s="87"/>
      <c r="I11" s="82">
        <v>3660994</v>
      </c>
      <c r="J11" s="82">
        <v>3658902</v>
      </c>
      <c r="L11" s="83">
        <v>4032028</v>
      </c>
      <c r="M11" s="83"/>
      <c r="N11" s="83">
        <v>4242290</v>
      </c>
      <c r="O11" s="83"/>
      <c r="P11" s="83">
        <v>4242290</v>
      </c>
      <c r="Q11" s="83"/>
      <c r="R11" s="83">
        <v>4344381</v>
      </c>
      <c r="S11" s="83"/>
      <c r="T11" s="83">
        <v>0</v>
      </c>
      <c r="U11" s="83"/>
      <c r="V11" s="83">
        <v>4344381</v>
      </c>
      <c r="W11" s="83"/>
      <c r="X11" s="83">
        <v>4313330.87</v>
      </c>
      <c r="Y11" s="83"/>
      <c r="Z11" s="83">
        <v>4315612</v>
      </c>
      <c r="AA11" s="83"/>
      <c r="AB11" s="83"/>
      <c r="AC11" s="83"/>
      <c r="AD11" s="83"/>
      <c r="AE11" s="83"/>
      <c r="AF11" s="84">
        <f t="shared" ref="AF11:AF34" si="0">SUM(Z11:AE11)</f>
        <v>4315612</v>
      </c>
      <c r="AG11" s="103">
        <v>244250</v>
      </c>
      <c r="AH11" s="83">
        <v>112500</v>
      </c>
      <c r="AI11" s="83"/>
      <c r="AJ11" s="84">
        <f t="shared" ref="AJ11:AJ34" si="1">SUM(AE11:AI11)</f>
        <v>4672362</v>
      </c>
      <c r="AK11" s="85"/>
      <c r="AL11" s="83">
        <v>0</v>
      </c>
      <c r="AM11" s="83"/>
      <c r="AN11" s="86">
        <v>4654140.57</v>
      </c>
      <c r="AO11" s="86">
        <v>0</v>
      </c>
      <c r="AP11" s="86">
        <v>4467880.46</v>
      </c>
      <c r="AQ11" s="83"/>
      <c r="AR11" s="83">
        <v>0</v>
      </c>
      <c r="AS11" s="83"/>
      <c r="AT11" s="83">
        <v>0</v>
      </c>
      <c r="AU11" s="83"/>
      <c r="AV11" s="84">
        <f t="shared" ref="AV11:AV34" si="2">SUM(AP11:AU11)</f>
        <v>4467880.46</v>
      </c>
      <c r="AW11" s="84"/>
      <c r="AX11" s="128">
        <v>-123112</v>
      </c>
      <c r="AY11" s="84"/>
      <c r="AZ11" s="226">
        <v>4470000</v>
      </c>
      <c r="BA11" s="226">
        <v>4583950</v>
      </c>
      <c r="BB11" s="214"/>
      <c r="BC11" s="56"/>
      <c r="BD11" s="84">
        <f t="shared" ref="BD11:BD34" si="3">+AP11-AN11</f>
        <v>-186260.11000000034</v>
      </c>
      <c r="BE11" s="84"/>
      <c r="BF11" s="84"/>
      <c r="BG11" s="84"/>
      <c r="BH11" s="72">
        <v>1</v>
      </c>
      <c r="BJ11">
        <v>1</v>
      </c>
    </row>
    <row r="12" spans="1:62" ht="20.100000000000001" customHeight="1" outlineLevel="1">
      <c r="A12" s="77" t="s">
        <v>43</v>
      </c>
      <c r="B12" s="77" t="s">
        <v>43</v>
      </c>
      <c r="C12" s="77" t="str">
        <f>+C11</f>
        <v>AE·</v>
      </c>
      <c r="D12" s="78" t="s">
        <v>46</v>
      </c>
      <c r="E12" s="78" t="str">
        <f t="shared" ref="E12:E60" si="4">+D12</f>
        <v>000</v>
      </c>
      <c r="F12" s="3">
        <v>611211</v>
      </c>
      <c r="G12" s="102" t="s">
        <v>255</v>
      </c>
      <c r="H12" s="87"/>
      <c r="I12" s="13">
        <v>22787345</v>
      </c>
      <c r="J12" s="13">
        <v>23242337</v>
      </c>
      <c r="L12" s="56">
        <v>26191649</v>
      </c>
      <c r="M12" s="56"/>
      <c r="N12" s="56">
        <v>27763444</v>
      </c>
      <c r="O12" s="56"/>
      <c r="P12" s="56">
        <v>27763444</v>
      </c>
      <c r="Q12" s="56"/>
      <c r="R12" s="56">
        <v>29533441</v>
      </c>
      <c r="S12" s="56"/>
      <c r="T12" s="56">
        <v>0</v>
      </c>
      <c r="U12" s="56"/>
      <c r="V12" s="56">
        <v>29533441</v>
      </c>
      <c r="W12" s="56"/>
      <c r="X12" s="56">
        <v>29330360.280000001</v>
      </c>
      <c r="Y12" s="56"/>
      <c r="Z12" s="56">
        <v>29327158</v>
      </c>
      <c r="AA12" s="56"/>
      <c r="AB12" s="56"/>
      <c r="AC12" s="56"/>
      <c r="AD12" s="56"/>
      <c r="AE12" s="56"/>
      <c r="AF12" s="56">
        <f t="shared" si="0"/>
        <v>29327158</v>
      </c>
      <c r="AG12" s="104">
        <v>579672</v>
      </c>
      <c r="AH12" s="56">
        <v>786250</v>
      </c>
      <c r="AI12" s="56"/>
      <c r="AJ12" s="56">
        <f t="shared" si="1"/>
        <v>30693080</v>
      </c>
      <c r="AK12" s="85"/>
      <c r="AL12" s="56">
        <v>0</v>
      </c>
      <c r="AM12" s="56"/>
      <c r="AN12" s="88">
        <v>30146846.879999999</v>
      </c>
      <c r="AO12" s="88">
        <v>0</v>
      </c>
      <c r="AP12" s="88">
        <v>28203968.539999999</v>
      </c>
      <c r="AQ12" s="56"/>
      <c r="AR12" s="56">
        <v>0</v>
      </c>
      <c r="AS12" s="56"/>
      <c r="AT12" s="56">
        <v>0</v>
      </c>
      <c r="AU12" s="56"/>
      <c r="AV12" s="56">
        <f t="shared" si="2"/>
        <v>28203968.539999999</v>
      </c>
      <c r="AW12" s="56"/>
      <c r="AX12" s="106">
        <v>52670</v>
      </c>
      <c r="AY12" s="56"/>
      <c r="AZ12" s="88">
        <v>26589000</v>
      </c>
      <c r="BA12" s="56">
        <v>27808156</v>
      </c>
      <c r="BB12" s="214"/>
      <c r="BC12" s="56"/>
      <c r="BD12" s="84">
        <f t="shared" si="3"/>
        <v>-1942878.3399999999</v>
      </c>
      <c r="BE12" s="56"/>
      <c r="BF12" s="56"/>
      <c r="BG12" s="56"/>
      <c r="BH12" s="72">
        <v>1</v>
      </c>
      <c r="BJ12">
        <v>1</v>
      </c>
    </row>
    <row r="13" spans="1:62" ht="20.100000000000001" customHeight="1" outlineLevel="1">
      <c r="A13" s="77" t="s">
        <v>43</v>
      </c>
      <c r="B13" s="77" t="s">
        <v>43</v>
      </c>
      <c r="C13" s="77" t="str">
        <f t="shared" ref="C13:C60" si="5">+C12</f>
        <v>AE·</v>
      </c>
      <c r="D13" s="78" t="s">
        <v>46</v>
      </c>
      <c r="E13" s="78" t="str">
        <f t="shared" si="4"/>
        <v>000</v>
      </c>
      <c r="F13" s="3">
        <v>611511</v>
      </c>
      <c r="G13" s="102" t="s">
        <v>256</v>
      </c>
      <c r="H13" s="87"/>
      <c r="I13" s="13">
        <v>13848</v>
      </c>
      <c r="J13" s="13">
        <v>12990</v>
      </c>
      <c r="L13" s="56">
        <v>31275</v>
      </c>
      <c r="M13" s="56"/>
      <c r="N13" s="56">
        <v>80828</v>
      </c>
      <c r="O13" s="56"/>
      <c r="P13" s="56">
        <v>80828</v>
      </c>
      <c r="Q13" s="56"/>
      <c r="R13" s="56">
        <v>59962</v>
      </c>
      <c r="S13" s="56"/>
      <c r="T13" s="56">
        <v>0</v>
      </c>
      <c r="U13" s="56"/>
      <c r="V13" s="56">
        <v>59962</v>
      </c>
      <c r="W13" s="56"/>
      <c r="X13" s="56">
        <v>81778.52</v>
      </c>
      <c r="Y13" s="56"/>
      <c r="Z13" s="56">
        <v>62000</v>
      </c>
      <c r="AA13" s="56"/>
      <c r="AB13" s="56"/>
      <c r="AC13" s="56"/>
      <c r="AD13" s="56"/>
      <c r="AE13" s="56"/>
      <c r="AF13" s="56">
        <f t="shared" si="0"/>
        <v>62000</v>
      </c>
      <c r="AG13" s="104">
        <v>5000</v>
      </c>
      <c r="AH13" s="56">
        <v>10125</v>
      </c>
      <c r="AI13" s="56"/>
      <c r="AJ13" s="56">
        <f t="shared" si="1"/>
        <v>77125</v>
      </c>
      <c r="AK13" s="85"/>
      <c r="AL13" s="56">
        <v>0</v>
      </c>
      <c r="AM13" s="56"/>
      <c r="AN13" s="88">
        <v>61759.23</v>
      </c>
      <c r="AO13" s="88">
        <v>0</v>
      </c>
      <c r="AP13" s="88">
        <v>88576.65</v>
      </c>
      <c r="AQ13" s="56"/>
      <c r="AR13" s="56">
        <v>0</v>
      </c>
      <c r="AS13" s="56"/>
      <c r="AT13" s="56">
        <v>0</v>
      </c>
      <c r="AU13" s="56"/>
      <c r="AV13" s="56">
        <f t="shared" si="2"/>
        <v>88576.65</v>
      </c>
      <c r="AW13" s="56"/>
      <c r="AX13" s="106">
        <v>21545</v>
      </c>
      <c r="AY13" s="56"/>
      <c r="AZ13" s="88">
        <v>46537</v>
      </c>
      <c r="BA13" s="56">
        <v>46537</v>
      </c>
      <c r="BB13" s="214"/>
      <c r="BC13" s="56"/>
      <c r="BD13" s="84">
        <f t="shared" si="3"/>
        <v>26817.419999999991</v>
      </c>
      <c r="BE13" s="56"/>
      <c r="BF13" s="56"/>
      <c r="BG13" s="56"/>
      <c r="BH13" s="72">
        <v>1</v>
      </c>
      <c r="BJ13">
        <v>1</v>
      </c>
    </row>
    <row r="14" spans="1:62" ht="20.100000000000001" customHeight="1" outlineLevel="1">
      <c r="A14" s="77" t="s">
        <v>43</v>
      </c>
      <c r="B14" s="77" t="s">
        <v>203</v>
      </c>
      <c r="C14" s="77" t="str">
        <f t="shared" si="5"/>
        <v>AE·</v>
      </c>
      <c r="D14" s="78" t="s">
        <v>46</v>
      </c>
      <c r="E14" s="78" t="str">
        <f t="shared" si="4"/>
        <v>000</v>
      </c>
      <c r="F14" s="3">
        <v>633941</v>
      </c>
      <c r="G14" s="102" t="s">
        <v>257</v>
      </c>
      <c r="H14" s="87"/>
      <c r="I14" s="13">
        <v>0</v>
      </c>
      <c r="J14" s="13">
        <v>0</v>
      </c>
      <c r="L14" s="56">
        <v>0</v>
      </c>
      <c r="M14" s="56"/>
      <c r="N14" s="56">
        <v>0</v>
      </c>
      <c r="O14" s="56"/>
      <c r="P14" s="56">
        <v>0</v>
      </c>
      <c r="Q14" s="56"/>
      <c r="R14" s="56">
        <v>0</v>
      </c>
      <c r="S14" s="56"/>
      <c r="T14" s="56">
        <v>0</v>
      </c>
      <c r="U14" s="56"/>
      <c r="V14" s="56">
        <v>0</v>
      </c>
      <c r="W14" s="56"/>
      <c r="X14" s="56">
        <v>0</v>
      </c>
      <c r="Y14" s="56"/>
      <c r="Z14" s="56">
        <v>0</v>
      </c>
      <c r="AA14" s="56"/>
      <c r="AB14" s="56"/>
      <c r="AC14" s="56"/>
      <c r="AD14" s="56"/>
      <c r="AE14" s="56"/>
      <c r="AF14" s="56">
        <f t="shared" si="0"/>
        <v>0</v>
      </c>
      <c r="AG14" s="56">
        <v>0</v>
      </c>
      <c r="AH14" s="56">
        <v>0</v>
      </c>
      <c r="AI14" s="56"/>
      <c r="AJ14" s="56">
        <f t="shared" si="1"/>
        <v>0</v>
      </c>
      <c r="AK14" s="85"/>
      <c r="AL14" s="56">
        <v>0</v>
      </c>
      <c r="AM14" s="56"/>
      <c r="AN14" s="88">
        <f>SUM(AI14:AM14)</f>
        <v>0</v>
      </c>
      <c r="AO14" s="88">
        <v>0</v>
      </c>
      <c r="AP14" s="88">
        <v>0</v>
      </c>
      <c r="AQ14" s="56"/>
      <c r="AR14" s="56">
        <v>0</v>
      </c>
      <c r="AS14" s="56"/>
      <c r="AT14" s="56">
        <v>0</v>
      </c>
      <c r="AU14" s="56"/>
      <c r="AV14" s="56">
        <f t="shared" si="2"/>
        <v>0</v>
      </c>
      <c r="AW14" s="56"/>
      <c r="AX14" s="56">
        <v>0</v>
      </c>
      <c r="AY14" s="56"/>
      <c r="AZ14" s="88">
        <v>0</v>
      </c>
      <c r="BA14" s="56">
        <f>SUM(AV14:AY14)</f>
        <v>0</v>
      </c>
      <c r="BB14" s="214"/>
      <c r="BC14" s="56"/>
      <c r="BD14" s="84">
        <f t="shared" si="3"/>
        <v>0</v>
      </c>
      <c r="BE14" s="56"/>
      <c r="BF14" s="56"/>
      <c r="BG14" s="56"/>
      <c r="BH14" s="72"/>
    </row>
    <row r="15" spans="1:62" ht="20.100000000000001" customHeight="1" outlineLevel="1">
      <c r="A15" s="77" t="s">
        <v>43</v>
      </c>
      <c r="B15" s="77" t="s">
        <v>203</v>
      </c>
      <c r="C15" s="77" t="str">
        <f t="shared" si="5"/>
        <v>AE·</v>
      </c>
      <c r="D15" s="78" t="s">
        <v>46</v>
      </c>
      <c r="E15" s="78" t="str">
        <f t="shared" si="4"/>
        <v>000</v>
      </c>
      <c r="F15" s="3">
        <v>634011</v>
      </c>
      <c r="G15" s="102" t="s">
        <v>258</v>
      </c>
      <c r="H15" s="87"/>
      <c r="I15" s="13">
        <v>0</v>
      </c>
      <c r="J15" s="13">
        <v>0</v>
      </c>
      <c r="L15" s="56">
        <v>0</v>
      </c>
      <c r="M15" s="56"/>
      <c r="N15" s="56">
        <v>0</v>
      </c>
      <c r="O15" s="56"/>
      <c r="P15" s="56">
        <v>0</v>
      </c>
      <c r="Q15" s="56"/>
      <c r="R15" s="56">
        <v>0</v>
      </c>
      <c r="S15" s="56"/>
      <c r="T15" s="56">
        <v>0</v>
      </c>
      <c r="U15" s="56"/>
      <c r="V15" s="56">
        <v>0</v>
      </c>
      <c r="W15" s="56"/>
      <c r="X15" s="56">
        <v>0</v>
      </c>
      <c r="Y15" s="56"/>
      <c r="Z15" s="56">
        <v>0</v>
      </c>
      <c r="AA15" s="56"/>
      <c r="AB15" s="56"/>
      <c r="AC15" s="56"/>
      <c r="AD15" s="56"/>
      <c r="AE15" s="56"/>
      <c r="AF15" s="56">
        <f t="shared" si="0"/>
        <v>0</v>
      </c>
      <c r="AG15" s="56">
        <v>0</v>
      </c>
      <c r="AH15" s="56">
        <v>0</v>
      </c>
      <c r="AI15" s="56"/>
      <c r="AJ15" s="56">
        <f t="shared" si="1"/>
        <v>0</v>
      </c>
      <c r="AK15" s="85"/>
      <c r="AL15" s="56">
        <v>0</v>
      </c>
      <c r="AM15" s="56"/>
      <c r="AN15" s="88">
        <f>SUM(AI15:AM15)</f>
        <v>0</v>
      </c>
      <c r="AO15" s="88">
        <v>0</v>
      </c>
      <c r="AP15" s="88">
        <v>0</v>
      </c>
      <c r="AQ15" s="56"/>
      <c r="AR15" s="56">
        <v>0</v>
      </c>
      <c r="AS15" s="56"/>
      <c r="AT15" s="56">
        <v>0</v>
      </c>
      <c r="AU15" s="56"/>
      <c r="AV15" s="56">
        <f t="shared" si="2"/>
        <v>0</v>
      </c>
      <c r="AW15" s="56"/>
      <c r="AX15" s="56">
        <v>0</v>
      </c>
      <c r="AY15" s="56"/>
      <c r="AZ15" s="88">
        <v>0</v>
      </c>
      <c r="BA15" s="56">
        <f>SUM(AV15:AY15)</f>
        <v>0</v>
      </c>
      <c r="BB15" s="214"/>
      <c r="BC15" s="56"/>
      <c r="BD15" s="84">
        <f t="shared" si="3"/>
        <v>0</v>
      </c>
      <c r="BE15" s="56"/>
      <c r="BF15" s="56"/>
      <c r="BG15" s="56"/>
      <c r="BH15" s="72"/>
    </row>
    <row r="16" spans="1:62" ht="20.100000000000001" customHeight="1" outlineLevel="1">
      <c r="A16" s="77" t="s">
        <v>43</v>
      </c>
      <c r="B16" s="77" t="s">
        <v>203</v>
      </c>
      <c r="C16" s="77" t="str">
        <f t="shared" si="5"/>
        <v>AE·</v>
      </c>
      <c r="D16" s="78" t="s">
        <v>46</v>
      </c>
      <c r="E16" s="78" t="str">
        <f t="shared" si="4"/>
        <v>000</v>
      </c>
      <c r="F16" s="3">
        <v>658223</v>
      </c>
      <c r="G16" s="102" t="s">
        <v>259</v>
      </c>
      <c r="H16" s="87"/>
      <c r="I16" s="13">
        <v>1823</v>
      </c>
      <c r="J16" s="13">
        <v>827</v>
      </c>
      <c r="L16" s="56">
        <v>1526</v>
      </c>
      <c r="M16" s="56"/>
      <c r="N16" s="56">
        <v>1800</v>
      </c>
      <c r="O16" s="56"/>
      <c r="P16" s="56">
        <v>1800</v>
      </c>
      <c r="Q16" s="56"/>
      <c r="R16" s="56">
        <v>1800</v>
      </c>
      <c r="S16" s="56"/>
      <c r="T16" s="56">
        <v>0</v>
      </c>
      <c r="U16" s="56"/>
      <c r="V16" s="56">
        <v>1800</v>
      </c>
      <c r="W16" s="56"/>
      <c r="X16" s="56">
        <v>1751.14</v>
      </c>
      <c r="Y16" s="56"/>
      <c r="Z16" s="56">
        <v>2500</v>
      </c>
      <c r="AA16" s="56"/>
      <c r="AB16" s="56"/>
      <c r="AC16" s="56"/>
      <c r="AD16" s="56"/>
      <c r="AE16" s="56"/>
      <c r="AF16" s="56">
        <f t="shared" si="0"/>
        <v>2500</v>
      </c>
      <c r="AG16" s="56">
        <v>0</v>
      </c>
      <c r="AH16" s="56">
        <v>0</v>
      </c>
      <c r="AI16" s="56"/>
      <c r="AJ16" s="56">
        <f t="shared" si="1"/>
        <v>2500</v>
      </c>
      <c r="AK16" s="85"/>
      <c r="AL16" s="56">
        <v>0</v>
      </c>
      <c r="AM16" s="56"/>
      <c r="AN16" s="88">
        <v>1702.93</v>
      </c>
      <c r="AO16" s="88">
        <v>0</v>
      </c>
      <c r="AP16" s="88">
        <v>2979.52</v>
      </c>
      <c r="AQ16" s="56"/>
      <c r="AR16" s="56">
        <v>0</v>
      </c>
      <c r="AS16" s="56"/>
      <c r="AT16" s="56">
        <v>0</v>
      </c>
      <c r="AU16" s="56"/>
      <c r="AV16" s="56">
        <f t="shared" si="2"/>
        <v>2979.52</v>
      </c>
      <c r="AW16" s="56"/>
      <c r="AX16" s="56">
        <v>0</v>
      </c>
      <c r="AY16" s="56"/>
      <c r="AZ16" s="88">
        <v>2500</v>
      </c>
      <c r="BA16" s="56">
        <v>2500</v>
      </c>
      <c r="BB16" s="214"/>
      <c r="BC16" s="56"/>
      <c r="BD16" s="84">
        <f t="shared" si="3"/>
        <v>1276.5899999999999</v>
      </c>
      <c r="BE16" s="56"/>
      <c r="BF16" s="56"/>
      <c r="BG16" s="56"/>
      <c r="BH16" s="72"/>
    </row>
    <row r="17" spans="1:62" ht="20.100000000000001" customHeight="1" outlineLevel="1">
      <c r="A17" s="77" t="s">
        <v>43</v>
      </c>
      <c r="B17" s="77" t="s">
        <v>203</v>
      </c>
      <c r="C17" s="77" t="str">
        <f t="shared" si="5"/>
        <v>AE·</v>
      </c>
      <c r="D17" s="78" t="s">
        <v>46</v>
      </c>
      <c r="E17" s="78" t="str">
        <f t="shared" si="4"/>
        <v>000</v>
      </c>
      <c r="F17" s="3">
        <v>661011</v>
      </c>
      <c r="G17" s="102" t="s">
        <v>260</v>
      </c>
      <c r="H17" s="87"/>
      <c r="I17" s="13">
        <v>201</v>
      </c>
      <c r="J17" s="13">
        <v>0</v>
      </c>
      <c r="L17" s="56">
        <v>0</v>
      </c>
      <c r="M17" s="56"/>
      <c r="N17" s="56">
        <v>0</v>
      </c>
      <c r="O17" s="56"/>
      <c r="P17" s="56">
        <v>0</v>
      </c>
      <c r="Q17" s="56"/>
      <c r="R17" s="56">
        <v>0</v>
      </c>
      <c r="S17" s="56"/>
      <c r="T17" s="56">
        <v>0</v>
      </c>
      <c r="U17" s="56"/>
      <c r="V17" s="56">
        <v>0</v>
      </c>
      <c r="W17" s="56"/>
      <c r="X17" s="56">
        <v>0</v>
      </c>
      <c r="Y17" s="56"/>
      <c r="Z17" s="56">
        <v>0</v>
      </c>
      <c r="AA17" s="56"/>
      <c r="AB17" s="56"/>
      <c r="AC17" s="56"/>
      <c r="AD17" s="56"/>
      <c r="AE17" s="56"/>
      <c r="AF17" s="56">
        <f t="shared" si="0"/>
        <v>0</v>
      </c>
      <c r="AG17" s="56">
        <v>0</v>
      </c>
      <c r="AH17" s="56">
        <v>0</v>
      </c>
      <c r="AI17" s="56"/>
      <c r="AJ17" s="56">
        <f t="shared" si="1"/>
        <v>0</v>
      </c>
      <c r="AK17" s="85"/>
      <c r="AL17" s="56">
        <v>0</v>
      </c>
      <c r="AM17" s="56"/>
      <c r="AN17" s="88">
        <f>SUM(AI17:AM17)</f>
        <v>0</v>
      </c>
      <c r="AO17" s="88">
        <v>0</v>
      </c>
      <c r="AP17" s="88">
        <v>90.62</v>
      </c>
      <c r="AQ17" s="56"/>
      <c r="AR17" s="56">
        <v>0</v>
      </c>
      <c r="AS17" s="56"/>
      <c r="AT17" s="56">
        <v>0</v>
      </c>
      <c r="AU17" s="56"/>
      <c r="AV17" s="56">
        <f t="shared" si="2"/>
        <v>90.62</v>
      </c>
      <c r="AW17" s="56"/>
      <c r="AX17" s="56">
        <v>0</v>
      </c>
      <c r="AY17" s="56"/>
      <c r="AZ17" s="88">
        <v>0</v>
      </c>
      <c r="BA17" s="56">
        <v>0</v>
      </c>
      <c r="BB17" s="214"/>
      <c r="BC17" s="56"/>
      <c r="BD17" s="84">
        <f t="shared" si="3"/>
        <v>90.62</v>
      </c>
      <c r="BE17" s="56"/>
      <c r="BF17" s="56"/>
      <c r="BG17" s="56"/>
      <c r="BH17" s="72"/>
    </row>
    <row r="18" spans="1:62" ht="20.100000000000001" customHeight="1" outlineLevel="1">
      <c r="A18" s="77" t="s">
        <v>43</v>
      </c>
      <c r="B18" s="77" t="s">
        <v>203</v>
      </c>
      <c r="C18" s="77" t="str">
        <f t="shared" si="5"/>
        <v>AE·</v>
      </c>
      <c r="D18" s="78" t="s">
        <v>46</v>
      </c>
      <c r="E18" s="78" t="str">
        <f t="shared" si="4"/>
        <v>000</v>
      </c>
      <c r="F18" s="3">
        <v>661023</v>
      </c>
      <c r="G18" s="102" t="s">
        <v>261</v>
      </c>
      <c r="H18" s="87"/>
      <c r="I18" s="13">
        <v>0</v>
      </c>
      <c r="J18" s="13">
        <v>0</v>
      </c>
      <c r="L18" s="56">
        <v>0</v>
      </c>
      <c r="M18" s="56"/>
      <c r="N18" s="56">
        <v>0</v>
      </c>
      <c r="O18" s="56"/>
      <c r="P18" s="56">
        <v>0</v>
      </c>
      <c r="Q18" s="56"/>
      <c r="R18" s="56">
        <v>0</v>
      </c>
      <c r="S18" s="56"/>
      <c r="T18" s="56">
        <v>0</v>
      </c>
      <c r="U18" s="56"/>
      <c r="V18" s="56">
        <v>0</v>
      </c>
      <c r="W18" s="56"/>
      <c r="X18" s="56">
        <v>0</v>
      </c>
      <c r="Y18" s="56"/>
      <c r="Z18" s="56">
        <v>0</v>
      </c>
      <c r="AA18" s="56"/>
      <c r="AB18" s="56"/>
      <c r="AC18" s="56"/>
      <c r="AD18" s="56"/>
      <c r="AE18" s="56"/>
      <c r="AF18" s="56">
        <f t="shared" si="0"/>
        <v>0</v>
      </c>
      <c r="AG18" s="56">
        <v>0</v>
      </c>
      <c r="AH18" s="56">
        <v>0</v>
      </c>
      <c r="AI18" s="56"/>
      <c r="AJ18" s="56">
        <f t="shared" si="1"/>
        <v>0</v>
      </c>
      <c r="AK18" s="85"/>
      <c r="AL18" s="56">
        <v>0</v>
      </c>
      <c r="AM18" s="56"/>
      <c r="AN18" s="88">
        <f>SUM(AI18:AM18)</f>
        <v>0</v>
      </c>
      <c r="AO18" s="88">
        <v>0</v>
      </c>
      <c r="AP18" s="88">
        <v>0</v>
      </c>
      <c r="AQ18" s="56"/>
      <c r="AR18" s="56">
        <v>0</v>
      </c>
      <c r="AS18" s="56"/>
      <c r="AT18" s="56">
        <v>0</v>
      </c>
      <c r="AU18" s="56"/>
      <c r="AV18" s="56">
        <f t="shared" si="2"/>
        <v>0</v>
      </c>
      <c r="AW18" s="56"/>
      <c r="AX18" s="56">
        <v>0</v>
      </c>
      <c r="AY18" s="56"/>
      <c r="AZ18" s="88">
        <v>0</v>
      </c>
      <c r="BA18" s="56">
        <f>SUM(AV18:AY18)</f>
        <v>0</v>
      </c>
      <c r="BB18" s="214"/>
      <c r="BC18" s="56"/>
      <c r="BD18" s="84">
        <f t="shared" si="3"/>
        <v>0</v>
      </c>
      <c r="BE18" s="56"/>
      <c r="BF18" s="56"/>
      <c r="BG18" s="56"/>
      <c r="BH18" s="72"/>
    </row>
    <row r="19" spans="1:62" ht="20.100000000000001" customHeight="1" outlineLevel="1">
      <c r="A19" s="77" t="s">
        <v>43</v>
      </c>
      <c r="B19" s="77" t="s">
        <v>203</v>
      </c>
      <c r="C19" s="77" t="str">
        <f t="shared" si="5"/>
        <v>AE·</v>
      </c>
      <c r="D19" s="78" t="s">
        <v>46</v>
      </c>
      <c r="E19" s="78" t="str">
        <f t="shared" si="4"/>
        <v>000</v>
      </c>
      <c r="F19" s="3">
        <v>661024</v>
      </c>
      <c r="G19" s="102" t="s">
        <v>262</v>
      </c>
      <c r="H19" s="87"/>
      <c r="I19" s="13">
        <v>0</v>
      </c>
      <c r="J19" s="13">
        <v>204</v>
      </c>
      <c r="L19" s="56">
        <v>0</v>
      </c>
      <c r="M19" s="56"/>
      <c r="N19" s="56">
        <v>0</v>
      </c>
      <c r="O19" s="56"/>
      <c r="P19" s="56">
        <v>0</v>
      </c>
      <c r="Q19" s="56"/>
      <c r="R19" s="56">
        <v>0</v>
      </c>
      <c r="S19" s="56"/>
      <c r="T19" s="56">
        <v>0</v>
      </c>
      <c r="U19" s="56"/>
      <c r="V19" s="56">
        <v>0</v>
      </c>
      <c r="W19" s="56"/>
      <c r="X19" s="56">
        <f>10070.5+0.1</f>
        <v>10070.6</v>
      </c>
      <c r="Y19" s="56"/>
      <c r="Z19" s="56">
        <v>0</v>
      </c>
      <c r="AA19" s="56"/>
      <c r="AB19" s="56"/>
      <c r="AC19" s="56"/>
      <c r="AD19" s="56"/>
      <c r="AE19" s="56"/>
      <c r="AF19" s="56">
        <f t="shared" si="0"/>
        <v>0</v>
      </c>
      <c r="AG19" s="56">
        <v>0</v>
      </c>
      <c r="AH19" s="56">
        <v>0</v>
      </c>
      <c r="AI19" s="56"/>
      <c r="AJ19" s="56">
        <f t="shared" si="1"/>
        <v>0</v>
      </c>
      <c r="AK19" s="85"/>
      <c r="AL19" s="56">
        <v>0</v>
      </c>
      <c r="AM19" s="56"/>
      <c r="AN19" s="88">
        <f>SUM(AI19:AM19)</f>
        <v>0</v>
      </c>
      <c r="AO19" s="88">
        <v>0</v>
      </c>
      <c r="AP19" s="88">
        <v>100</v>
      </c>
      <c r="AQ19" s="56"/>
      <c r="AR19" s="56">
        <v>0</v>
      </c>
      <c r="AS19" s="56"/>
      <c r="AT19" s="56">
        <v>0</v>
      </c>
      <c r="AU19" s="56"/>
      <c r="AV19" s="56">
        <f t="shared" si="2"/>
        <v>100</v>
      </c>
      <c r="AW19" s="56"/>
      <c r="AX19" s="56">
        <v>0</v>
      </c>
      <c r="AY19" s="56"/>
      <c r="AZ19" s="88">
        <v>0</v>
      </c>
      <c r="BA19" s="56">
        <v>0</v>
      </c>
      <c r="BB19" s="214"/>
      <c r="BC19" s="56"/>
      <c r="BD19" s="84">
        <f t="shared" si="3"/>
        <v>100</v>
      </c>
      <c r="BE19" s="56"/>
      <c r="BF19" s="56"/>
      <c r="BG19" s="56"/>
      <c r="BH19" s="72"/>
    </row>
    <row r="20" spans="1:62" ht="20.100000000000001" customHeight="1" outlineLevel="1">
      <c r="A20" s="77" t="s">
        <v>43</v>
      </c>
      <c r="B20" s="77" t="s">
        <v>203</v>
      </c>
      <c r="C20" s="77" t="str">
        <f t="shared" si="5"/>
        <v>AE·</v>
      </c>
      <c r="D20" s="78" t="s">
        <v>46</v>
      </c>
      <c r="E20" s="78" t="str">
        <f t="shared" si="4"/>
        <v>000</v>
      </c>
      <c r="F20" s="3">
        <v>661025</v>
      </c>
      <c r="G20" s="102" t="s">
        <v>263</v>
      </c>
      <c r="H20" s="87"/>
      <c r="I20" s="13">
        <v>6785</v>
      </c>
      <c r="J20" s="13">
        <v>6902</v>
      </c>
      <c r="L20" s="56">
        <v>7699</v>
      </c>
      <c r="M20" s="56"/>
      <c r="N20" s="56">
        <v>8800</v>
      </c>
      <c r="O20" s="56"/>
      <c r="P20" s="56">
        <v>8800</v>
      </c>
      <c r="Q20" s="56"/>
      <c r="R20" s="56">
        <v>8800</v>
      </c>
      <c r="S20" s="56"/>
      <c r="T20" s="56">
        <v>0</v>
      </c>
      <c r="U20" s="56"/>
      <c r="V20" s="56">
        <v>8800</v>
      </c>
      <c r="W20" s="56"/>
      <c r="X20" s="56">
        <v>8467.69</v>
      </c>
      <c r="Y20" s="56"/>
      <c r="Z20" s="56">
        <v>8800</v>
      </c>
      <c r="AA20" s="56"/>
      <c r="AB20" s="56"/>
      <c r="AC20" s="56"/>
      <c r="AD20" s="56"/>
      <c r="AE20" s="56"/>
      <c r="AF20" s="56">
        <f t="shared" si="0"/>
        <v>8800</v>
      </c>
      <c r="AG20" s="56">
        <v>0</v>
      </c>
      <c r="AH20" s="56">
        <v>0</v>
      </c>
      <c r="AI20" s="56"/>
      <c r="AJ20" s="56">
        <f t="shared" si="1"/>
        <v>8800</v>
      </c>
      <c r="AK20" s="85"/>
      <c r="AL20" s="56">
        <v>0</v>
      </c>
      <c r="AM20" s="56"/>
      <c r="AN20" s="88">
        <v>8659.4</v>
      </c>
      <c r="AO20" s="88">
        <v>0</v>
      </c>
      <c r="AP20" s="88">
        <v>2546.64</v>
      </c>
      <c r="AQ20" s="56"/>
      <c r="AR20" s="56">
        <v>0</v>
      </c>
      <c r="AS20" s="56"/>
      <c r="AT20" s="56">
        <v>0</v>
      </c>
      <c r="AU20" s="56"/>
      <c r="AV20" s="56">
        <f t="shared" si="2"/>
        <v>2546.64</v>
      </c>
      <c r="AW20" s="56"/>
      <c r="AX20" s="56">
        <v>0</v>
      </c>
      <c r="AY20" s="56"/>
      <c r="AZ20" s="88">
        <v>1800</v>
      </c>
      <c r="BA20" s="56">
        <v>2080</v>
      </c>
      <c r="BB20" s="214"/>
      <c r="BC20" s="56"/>
      <c r="BD20" s="84">
        <f t="shared" si="3"/>
        <v>-6112.76</v>
      </c>
      <c r="BE20" s="56"/>
      <c r="BF20" s="56"/>
      <c r="BG20" s="56"/>
      <c r="BH20" s="72"/>
    </row>
    <row r="21" spans="1:62" ht="20.100000000000001" customHeight="1" outlineLevel="1">
      <c r="A21" s="77" t="s">
        <v>43</v>
      </c>
      <c r="B21" s="77" t="s">
        <v>203</v>
      </c>
      <c r="C21" s="77" t="str">
        <f t="shared" si="5"/>
        <v>AE·</v>
      </c>
      <c r="D21" s="78" t="s">
        <v>46</v>
      </c>
      <c r="E21" s="78" t="str">
        <f t="shared" si="4"/>
        <v>000</v>
      </c>
      <c r="F21" s="3">
        <v>661026</v>
      </c>
      <c r="G21" s="102" t="s">
        <v>264</v>
      </c>
      <c r="H21" s="87"/>
      <c r="I21" s="13">
        <v>105030</v>
      </c>
      <c r="J21" s="13">
        <v>105805</v>
      </c>
      <c r="L21" s="56">
        <v>91590</v>
      </c>
      <c r="M21" s="56"/>
      <c r="N21" s="56">
        <v>150000</v>
      </c>
      <c r="O21" s="56"/>
      <c r="P21" s="56">
        <v>151026</v>
      </c>
      <c r="Q21" s="56"/>
      <c r="R21" s="56">
        <v>151026</v>
      </c>
      <c r="S21" s="56"/>
      <c r="T21" s="56">
        <v>0</v>
      </c>
      <c r="U21" s="56"/>
      <c r="V21" s="56">
        <v>151026</v>
      </c>
      <c r="W21" s="56"/>
      <c r="X21" s="56">
        <v>136157.15</v>
      </c>
      <c r="Y21" s="56"/>
      <c r="Z21" s="56">
        <v>141026</v>
      </c>
      <c r="AA21" s="56"/>
      <c r="AB21" s="56"/>
      <c r="AC21" s="56"/>
      <c r="AD21" s="56">
        <v>2208</v>
      </c>
      <c r="AE21" s="56"/>
      <c r="AF21" s="56">
        <f t="shared" si="0"/>
        <v>143234</v>
      </c>
      <c r="AG21" s="56">
        <v>0</v>
      </c>
      <c r="AH21" s="56">
        <v>0</v>
      </c>
      <c r="AI21" s="56"/>
      <c r="AJ21" s="56">
        <f t="shared" si="1"/>
        <v>143234</v>
      </c>
      <c r="AK21" s="85"/>
      <c r="AL21" s="56">
        <v>0</v>
      </c>
      <c r="AM21" s="56"/>
      <c r="AN21" s="88">
        <v>172889.86</v>
      </c>
      <c r="AO21" s="88">
        <v>0</v>
      </c>
      <c r="AP21" s="88">
        <v>93847.25</v>
      </c>
      <c r="AQ21" s="56"/>
      <c r="AR21" s="56">
        <v>0</v>
      </c>
      <c r="AS21" s="56"/>
      <c r="AT21" s="56">
        <v>12135.6</v>
      </c>
      <c r="AU21" s="56"/>
      <c r="AV21" s="56">
        <f t="shared" si="2"/>
        <v>105982.85</v>
      </c>
      <c r="AW21" s="56"/>
      <c r="AX21" s="56">
        <v>14000</v>
      </c>
      <c r="AY21" s="56"/>
      <c r="AZ21" s="88">
        <v>75000</v>
      </c>
      <c r="BA21" s="56">
        <v>77135</v>
      </c>
      <c r="BB21" s="214"/>
      <c r="BC21" s="56"/>
      <c r="BD21" s="84">
        <f t="shared" si="3"/>
        <v>-79042.609999999986</v>
      </c>
      <c r="BE21" s="56"/>
      <c r="BF21" s="56"/>
      <c r="BG21" s="56"/>
      <c r="BH21" s="72"/>
    </row>
    <row r="22" spans="1:62" ht="20.100000000000001" customHeight="1" outlineLevel="1">
      <c r="A22" s="77" t="s">
        <v>43</v>
      </c>
      <c r="B22" s="77" t="s">
        <v>203</v>
      </c>
      <c r="C22" s="77" t="str">
        <f t="shared" si="5"/>
        <v>AE·</v>
      </c>
      <c r="D22" s="78" t="s">
        <v>46</v>
      </c>
      <c r="E22" s="78" t="str">
        <f t="shared" si="4"/>
        <v>000</v>
      </c>
      <c r="F22" s="3">
        <v>661027</v>
      </c>
      <c r="G22" s="102" t="s">
        <v>265</v>
      </c>
      <c r="H22" s="87"/>
      <c r="I22" s="13">
        <v>19834</v>
      </c>
      <c r="J22" s="13">
        <v>16892</v>
      </c>
      <c r="L22" s="56">
        <v>15400</v>
      </c>
      <c r="M22" s="56"/>
      <c r="N22" s="56">
        <v>47500</v>
      </c>
      <c r="O22" s="56"/>
      <c r="P22" s="56">
        <v>47500</v>
      </c>
      <c r="Q22" s="56"/>
      <c r="R22" s="56">
        <v>47500</v>
      </c>
      <c r="S22" s="56"/>
      <c r="T22" s="56">
        <v>0</v>
      </c>
      <c r="U22" s="56"/>
      <c r="V22" s="56">
        <v>47500</v>
      </c>
      <c r="W22" s="56"/>
      <c r="X22" s="56">
        <v>39022.639999999999</v>
      </c>
      <c r="Y22" s="56"/>
      <c r="Z22" s="56">
        <v>47500</v>
      </c>
      <c r="AA22" s="56"/>
      <c r="AB22" s="56"/>
      <c r="AC22" s="56"/>
      <c r="AD22" s="56"/>
      <c r="AE22" s="56"/>
      <c r="AF22" s="56">
        <f t="shared" si="0"/>
        <v>47500</v>
      </c>
      <c r="AG22" s="56">
        <v>0</v>
      </c>
      <c r="AH22" s="56">
        <v>0</v>
      </c>
      <c r="AI22" s="56"/>
      <c r="AJ22" s="56">
        <f t="shared" si="1"/>
        <v>47500</v>
      </c>
      <c r="AK22" s="85"/>
      <c r="AL22" s="56">
        <v>0</v>
      </c>
      <c r="AM22" s="56"/>
      <c r="AN22" s="88">
        <v>20937.25</v>
      </c>
      <c r="AO22" s="88">
        <v>0</v>
      </c>
      <c r="AP22" s="88">
        <v>10880.4</v>
      </c>
      <c r="AQ22" s="56"/>
      <c r="AR22" s="56">
        <v>0</v>
      </c>
      <c r="AS22" s="56"/>
      <c r="AT22" s="56">
        <v>10922.1</v>
      </c>
      <c r="AU22" s="56"/>
      <c r="AV22" s="56">
        <f t="shared" si="2"/>
        <v>21802.5</v>
      </c>
      <c r="AW22" s="56"/>
      <c r="AX22" s="56">
        <v>0</v>
      </c>
      <c r="AY22" s="56"/>
      <c r="AZ22" s="88">
        <v>0</v>
      </c>
      <c r="BA22" s="56">
        <v>0</v>
      </c>
      <c r="BB22" s="214"/>
      <c r="BC22" s="56"/>
      <c r="BD22" s="84">
        <f t="shared" si="3"/>
        <v>-10056.85</v>
      </c>
      <c r="BE22" s="56"/>
      <c r="BF22" s="56"/>
      <c r="BG22" s="56"/>
      <c r="BH22" s="72"/>
    </row>
    <row r="23" spans="1:62" ht="20.100000000000001" customHeight="1" outlineLevel="1">
      <c r="A23" s="77" t="s">
        <v>43</v>
      </c>
      <c r="B23" s="77" t="s">
        <v>203</v>
      </c>
      <c r="C23" s="77" t="str">
        <f t="shared" si="5"/>
        <v>AE·</v>
      </c>
      <c r="D23" s="78" t="s">
        <v>46</v>
      </c>
      <c r="E23" s="78" t="str">
        <f t="shared" si="4"/>
        <v>000</v>
      </c>
      <c r="F23" s="3">
        <v>661031</v>
      </c>
      <c r="G23" s="102" t="s">
        <v>266</v>
      </c>
      <c r="H23" s="87"/>
      <c r="I23" s="13">
        <v>3739</v>
      </c>
      <c r="J23" s="13">
        <v>9156</v>
      </c>
      <c r="L23" s="56">
        <v>8181</v>
      </c>
      <c r="M23" s="56"/>
      <c r="N23" s="56">
        <v>10000</v>
      </c>
      <c r="O23" s="56"/>
      <c r="P23" s="56">
        <v>10000</v>
      </c>
      <c r="Q23" s="56"/>
      <c r="R23" s="56">
        <v>10000</v>
      </c>
      <c r="S23" s="56"/>
      <c r="T23" s="56">
        <v>0</v>
      </c>
      <c r="U23" s="56"/>
      <c r="V23" s="56">
        <v>10000</v>
      </c>
      <c r="W23" s="56"/>
      <c r="X23" s="56">
        <v>8331.35</v>
      </c>
      <c r="Y23" s="56"/>
      <c r="Z23" s="56">
        <v>10000</v>
      </c>
      <c r="AA23" s="56"/>
      <c r="AB23" s="56"/>
      <c r="AC23" s="56"/>
      <c r="AD23" s="56"/>
      <c r="AE23" s="56"/>
      <c r="AF23" s="56">
        <f t="shared" si="0"/>
        <v>10000</v>
      </c>
      <c r="AG23" s="56">
        <v>0</v>
      </c>
      <c r="AH23" s="56">
        <v>0</v>
      </c>
      <c r="AI23" s="56"/>
      <c r="AJ23" s="56">
        <f t="shared" si="1"/>
        <v>10000</v>
      </c>
      <c r="AK23" s="85"/>
      <c r="AL23" s="56">
        <v>0</v>
      </c>
      <c r="AM23" s="56"/>
      <c r="AN23" s="88">
        <v>8805.17</v>
      </c>
      <c r="AO23" s="88">
        <v>0</v>
      </c>
      <c r="AP23" s="88">
        <v>0</v>
      </c>
      <c r="AQ23" s="56"/>
      <c r="AR23" s="56">
        <v>0</v>
      </c>
      <c r="AS23" s="56"/>
      <c r="AT23" s="56">
        <v>0</v>
      </c>
      <c r="AU23" s="56"/>
      <c r="AV23" s="56">
        <f t="shared" si="2"/>
        <v>0</v>
      </c>
      <c r="AW23" s="56"/>
      <c r="AX23" s="56">
        <v>0</v>
      </c>
      <c r="AY23" s="56"/>
      <c r="AZ23" s="88">
        <v>0</v>
      </c>
      <c r="BA23" s="56">
        <v>0</v>
      </c>
      <c r="BB23" s="214"/>
      <c r="BC23" s="56"/>
      <c r="BD23" s="84">
        <f t="shared" si="3"/>
        <v>-8805.17</v>
      </c>
      <c r="BE23" s="56"/>
      <c r="BF23" s="56"/>
      <c r="BG23" s="56"/>
      <c r="BH23" s="72"/>
    </row>
    <row r="24" spans="1:62" ht="20.100000000000001" customHeight="1" outlineLevel="1">
      <c r="A24" s="77" t="s">
        <v>43</v>
      </c>
      <c r="B24" s="77" t="s">
        <v>203</v>
      </c>
      <c r="C24" s="77" t="str">
        <f t="shared" si="5"/>
        <v>AE·</v>
      </c>
      <c r="D24" s="78" t="s">
        <v>46</v>
      </c>
      <c r="E24" s="78" t="str">
        <f t="shared" si="4"/>
        <v>000</v>
      </c>
      <c r="F24" s="3">
        <v>661001</v>
      </c>
      <c r="G24" s="129" t="s">
        <v>83</v>
      </c>
      <c r="H24" s="87"/>
      <c r="I24" s="13"/>
      <c r="J24" s="13"/>
      <c r="L24" s="56">
        <v>0</v>
      </c>
      <c r="M24" s="56"/>
      <c r="N24" s="56"/>
      <c r="O24" s="56"/>
      <c r="P24" s="56">
        <v>0</v>
      </c>
      <c r="Q24" s="56"/>
      <c r="R24" s="56">
        <v>0</v>
      </c>
      <c r="S24" s="56"/>
      <c r="T24" s="56">
        <v>0</v>
      </c>
      <c r="U24" s="56"/>
      <c r="V24" s="56">
        <v>0</v>
      </c>
      <c r="W24" s="56"/>
      <c r="X24" s="56">
        <v>0</v>
      </c>
      <c r="Y24" s="56"/>
      <c r="Z24" s="56">
        <v>10000</v>
      </c>
      <c r="AA24" s="56"/>
      <c r="AB24" s="56"/>
      <c r="AC24" s="56"/>
      <c r="AD24" s="56"/>
      <c r="AE24" s="56"/>
      <c r="AF24" s="56">
        <f t="shared" si="0"/>
        <v>10000</v>
      </c>
      <c r="AG24" s="56">
        <v>0</v>
      </c>
      <c r="AH24" s="56">
        <v>0</v>
      </c>
      <c r="AI24" s="56"/>
      <c r="AJ24" s="56">
        <f t="shared" si="1"/>
        <v>10000</v>
      </c>
      <c r="AK24" s="85"/>
      <c r="AL24" s="56">
        <v>10000</v>
      </c>
      <c r="AM24" s="56"/>
      <c r="AN24" s="88">
        <v>17537.759999999998</v>
      </c>
      <c r="AO24" s="88">
        <v>0</v>
      </c>
      <c r="AP24" s="88">
        <v>19869.03</v>
      </c>
      <c r="AQ24" s="56"/>
      <c r="AR24" s="56">
        <v>0</v>
      </c>
      <c r="AS24" s="56"/>
      <c r="AT24" s="56">
        <v>377.01</v>
      </c>
      <c r="AU24" s="56"/>
      <c r="AV24" s="56">
        <f t="shared" si="2"/>
        <v>20246.039999999997</v>
      </c>
      <c r="AW24" s="56"/>
      <c r="AX24" s="56">
        <v>0</v>
      </c>
      <c r="AY24" s="56"/>
      <c r="AZ24" s="88">
        <v>10377</v>
      </c>
      <c r="BA24" s="56">
        <v>10377</v>
      </c>
      <c r="BB24" s="214"/>
      <c r="BC24" s="56"/>
      <c r="BD24" s="84">
        <f t="shared" si="3"/>
        <v>2331.2700000000004</v>
      </c>
      <c r="BE24" s="56"/>
      <c r="BF24" s="56"/>
      <c r="BG24" s="56"/>
      <c r="BH24" s="72"/>
    </row>
    <row r="25" spans="1:62" ht="20.100000000000001" customHeight="1" outlineLevel="1">
      <c r="A25" s="77" t="s">
        <v>43</v>
      </c>
      <c r="B25" s="77" t="s">
        <v>203</v>
      </c>
      <c r="C25" s="77" t="str">
        <f t="shared" si="5"/>
        <v>AE·</v>
      </c>
      <c r="D25" s="78" t="s">
        <v>46</v>
      </c>
      <c r="E25" s="78" t="str">
        <f t="shared" si="4"/>
        <v>000</v>
      </c>
      <c r="F25" s="3">
        <v>673001</v>
      </c>
      <c r="G25" s="129" t="s">
        <v>1078</v>
      </c>
      <c r="H25" s="87"/>
      <c r="I25" s="13"/>
      <c r="J25" s="13"/>
      <c r="L25" s="56">
        <v>0</v>
      </c>
      <c r="M25" s="56"/>
      <c r="N25" s="56"/>
      <c r="O25" s="56"/>
      <c r="P25" s="56">
        <v>0</v>
      </c>
      <c r="Q25" s="56"/>
      <c r="R25" s="56">
        <v>0</v>
      </c>
      <c r="S25" s="56"/>
      <c r="T25" s="56">
        <v>0</v>
      </c>
      <c r="U25" s="56"/>
      <c r="V25" s="56">
        <v>0</v>
      </c>
      <c r="W25" s="56"/>
      <c r="X25" s="56">
        <v>1441.03</v>
      </c>
      <c r="Y25" s="56"/>
      <c r="Z25" s="56">
        <v>10000</v>
      </c>
      <c r="AA25" s="56"/>
      <c r="AB25" s="56"/>
      <c r="AC25" s="56"/>
      <c r="AD25" s="56"/>
      <c r="AE25" s="56"/>
      <c r="AF25" s="56">
        <f t="shared" si="0"/>
        <v>10000</v>
      </c>
      <c r="AG25" s="56">
        <v>0</v>
      </c>
      <c r="AH25" s="56">
        <v>0</v>
      </c>
      <c r="AI25" s="56"/>
      <c r="AJ25" s="56">
        <f t="shared" si="1"/>
        <v>10000</v>
      </c>
      <c r="AK25" s="85"/>
      <c r="AL25" s="56">
        <v>-10000</v>
      </c>
      <c r="AM25" s="56"/>
      <c r="AN25" s="88">
        <f>SUM(AI25:AM25)</f>
        <v>0</v>
      </c>
      <c r="AO25" s="88">
        <v>0</v>
      </c>
      <c r="AP25" s="88">
        <v>0</v>
      </c>
      <c r="AQ25" s="56"/>
      <c r="AR25" s="56">
        <v>0</v>
      </c>
      <c r="AS25" s="56"/>
      <c r="AT25" s="56">
        <v>0</v>
      </c>
      <c r="AU25" s="56"/>
      <c r="AV25" s="56">
        <f t="shared" si="2"/>
        <v>0</v>
      </c>
      <c r="AW25" s="56"/>
      <c r="AX25" s="56">
        <v>0</v>
      </c>
      <c r="AY25" s="56"/>
      <c r="AZ25" s="88"/>
      <c r="BA25" s="56">
        <v>0</v>
      </c>
      <c r="BB25" s="214"/>
      <c r="BC25" s="56"/>
      <c r="BD25" s="84">
        <f t="shared" si="3"/>
        <v>0</v>
      </c>
      <c r="BE25" s="56"/>
      <c r="BF25" s="56"/>
      <c r="BG25" s="56"/>
      <c r="BH25" s="72"/>
    </row>
    <row r="26" spans="1:62" ht="20.100000000000001" customHeight="1" outlineLevel="1">
      <c r="A26" s="77" t="s">
        <v>43</v>
      </c>
      <c r="B26" s="77" t="s">
        <v>203</v>
      </c>
      <c r="C26" s="77" t="str">
        <f t="shared" si="5"/>
        <v>AE·</v>
      </c>
      <c r="D26" s="78" t="s">
        <v>46</v>
      </c>
      <c r="E26" s="78" t="str">
        <f t="shared" si="4"/>
        <v>000</v>
      </c>
      <c r="F26" s="3">
        <v>673026</v>
      </c>
      <c r="G26" s="102" t="s">
        <v>267</v>
      </c>
      <c r="H26" s="87"/>
      <c r="I26" s="13">
        <v>0</v>
      </c>
      <c r="J26" s="13">
        <v>39156</v>
      </c>
      <c r="L26" s="56">
        <v>32969</v>
      </c>
      <c r="M26" s="56"/>
      <c r="N26" s="56">
        <v>50000</v>
      </c>
      <c r="O26" s="56"/>
      <c r="P26" s="56">
        <v>51376</v>
      </c>
      <c r="Q26" s="56"/>
      <c r="R26" s="56">
        <v>51376</v>
      </c>
      <c r="S26" s="56"/>
      <c r="T26" s="56">
        <v>0</v>
      </c>
      <c r="U26" s="56"/>
      <c r="V26" s="56">
        <v>51376</v>
      </c>
      <c r="W26" s="56"/>
      <c r="X26" s="56">
        <v>39169</v>
      </c>
      <c r="Y26" s="56"/>
      <c r="Z26" s="56">
        <v>41376</v>
      </c>
      <c r="AA26" s="56"/>
      <c r="AB26" s="56"/>
      <c r="AC26" s="56"/>
      <c r="AD26" s="56"/>
      <c r="AE26" s="56"/>
      <c r="AF26" s="56">
        <f t="shared" si="0"/>
        <v>41376</v>
      </c>
      <c r="AG26" s="56">
        <v>0</v>
      </c>
      <c r="AH26" s="56">
        <v>0</v>
      </c>
      <c r="AI26" s="56"/>
      <c r="AJ26" s="56">
        <f t="shared" si="1"/>
        <v>41376</v>
      </c>
      <c r="AK26" s="85"/>
      <c r="AL26" s="56">
        <v>0</v>
      </c>
      <c r="AM26" s="56"/>
      <c r="AN26" s="88">
        <v>0</v>
      </c>
      <c r="AO26" s="88">
        <v>0</v>
      </c>
      <c r="AP26" s="88">
        <v>0</v>
      </c>
      <c r="AQ26" s="56"/>
      <c r="AR26" s="56">
        <v>0</v>
      </c>
      <c r="AS26" s="56"/>
      <c r="AT26" s="56">
        <v>0</v>
      </c>
      <c r="AU26" s="56"/>
      <c r="AV26" s="56">
        <f t="shared" si="2"/>
        <v>0</v>
      </c>
      <c r="AW26" s="56"/>
      <c r="AX26" s="56">
        <f>-14000-17000-10000</f>
        <v>-41000</v>
      </c>
      <c r="AY26" s="56"/>
      <c r="AZ26" s="88">
        <v>0</v>
      </c>
      <c r="BA26" s="56">
        <v>0</v>
      </c>
      <c r="BB26" s="214"/>
      <c r="BC26" s="56"/>
      <c r="BD26" s="84">
        <f t="shared" si="3"/>
        <v>0</v>
      </c>
      <c r="BE26" s="56"/>
      <c r="BF26" s="56"/>
      <c r="BG26" s="56"/>
      <c r="BH26" s="72"/>
    </row>
    <row r="27" spans="1:62" ht="20.100000000000001" customHeight="1" outlineLevel="1">
      <c r="A27" s="77" t="s">
        <v>43</v>
      </c>
      <c r="B27" s="77" t="s">
        <v>203</v>
      </c>
      <c r="C27" s="77" t="str">
        <f t="shared" si="5"/>
        <v>AE·</v>
      </c>
      <c r="D27" s="78" t="s">
        <v>46</v>
      </c>
      <c r="E27" s="78" t="str">
        <f t="shared" si="4"/>
        <v>000</v>
      </c>
      <c r="F27" s="3">
        <v>673027</v>
      </c>
      <c r="G27" s="102" t="s">
        <v>268</v>
      </c>
      <c r="H27" s="87"/>
      <c r="I27" s="13">
        <v>4500</v>
      </c>
      <c r="J27" s="13">
        <v>6351</v>
      </c>
      <c r="L27" s="56">
        <v>5074</v>
      </c>
      <c r="M27" s="56"/>
      <c r="N27" s="56">
        <v>15000</v>
      </c>
      <c r="O27" s="56"/>
      <c r="P27" s="56">
        <v>15000</v>
      </c>
      <c r="Q27" s="56"/>
      <c r="R27" s="56">
        <v>15000</v>
      </c>
      <c r="S27" s="56"/>
      <c r="T27" s="56">
        <v>0</v>
      </c>
      <c r="U27" s="56"/>
      <c r="V27" s="56">
        <v>15000</v>
      </c>
      <c r="W27" s="56"/>
      <c r="X27" s="56">
        <v>15092.11</v>
      </c>
      <c r="Y27" s="56"/>
      <c r="Z27" s="56">
        <v>15000</v>
      </c>
      <c r="AA27" s="56"/>
      <c r="AB27" s="56"/>
      <c r="AC27" s="56"/>
      <c r="AD27" s="56"/>
      <c r="AE27" s="56"/>
      <c r="AF27" s="56">
        <f t="shared" si="0"/>
        <v>15000</v>
      </c>
      <c r="AG27" s="56">
        <v>0</v>
      </c>
      <c r="AH27" s="56">
        <v>0</v>
      </c>
      <c r="AI27" s="56"/>
      <c r="AJ27" s="56">
        <f t="shared" si="1"/>
        <v>15000</v>
      </c>
      <c r="AK27" s="85"/>
      <c r="AL27" s="56">
        <v>0</v>
      </c>
      <c r="AM27" s="56"/>
      <c r="AN27" s="88">
        <v>0</v>
      </c>
      <c r="AO27" s="88">
        <v>0</v>
      </c>
      <c r="AP27" s="88">
        <v>0</v>
      </c>
      <c r="AQ27" s="56"/>
      <c r="AR27" s="56">
        <v>0</v>
      </c>
      <c r="AS27" s="56"/>
      <c r="AT27" s="56">
        <v>0</v>
      </c>
      <c r="AU27" s="56"/>
      <c r="AV27" s="56">
        <f t="shared" si="2"/>
        <v>0</v>
      </c>
      <c r="AW27" s="56"/>
      <c r="AX27" s="56">
        <v>0</v>
      </c>
      <c r="AY27" s="56"/>
      <c r="AZ27" s="88">
        <v>0</v>
      </c>
      <c r="BA27" s="56">
        <v>0</v>
      </c>
      <c r="BB27" s="214"/>
      <c r="BC27" s="56"/>
      <c r="BD27" s="84">
        <f t="shared" si="3"/>
        <v>0</v>
      </c>
      <c r="BE27" s="56"/>
      <c r="BF27" s="56"/>
      <c r="BG27" s="56"/>
      <c r="BH27" s="72"/>
    </row>
    <row r="28" spans="1:62" ht="20.100000000000001" customHeight="1" outlineLevel="1">
      <c r="A28" s="77" t="s">
        <v>43</v>
      </c>
      <c r="B28" s="77" t="s">
        <v>203</v>
      </c>
      <c r="C28" s="77" t="str">
        <f t="shared" si="5"/>
        <v>AE·</v>
      </c>
      <c r="D28" s="78" t="s">
        <v>46</v>
      </c>
      <c r="E28" s="78" t="str">
        <f t="shared" si="4"/>
        <v>000</v>
      </c>
      <c r="F28" s="3">
        <v>673028</v>
      </c>
      <c r="G28" s="102" t="s">
        <v>269</v>
      </c>
      <c r="H28" s="87"/>
      <c r="I28" s="13">
        <v>0</v>
      </c>
      <c r="J28" s="13">
        <v>0</v>
      </c>
      <c r="L28" s="56">
        <v>0</v>
      </c>
      <c r="M28" s="56"/>
      <c r="N28" s="56">
        <v>0</v>
      </c>
      <c r="O28" s="56"/>
      <c r="P28" s="56">
        <v>0</v>
      </c>
      <c r="Q28" s="56"/>
      <c r="R28" s="56">
        <v>0</v>
      </c>
      <c r="S28" s="56"/>
      <c r="T28" s="56">
        <v>0</v>
      </c>
      <c r="U28" s="56"/>
      <c r="V28" s="56">
        <v>0</v>
      </c>
      <c r="W28" s="56"/>
      <c r="X28" s="56">
        <v>0</v>
      </c>
      <c r="Y28" s="56"/>
      <c r="Z28" s="56">
        <v>0</v>
      </c>
      <c r="AA28" s="56"/>
      <c r="AB28" s="56"/>
      <c r="AC28" s="56"/>
      <c r="AD28" s="56"/>
      <c r="AE28" s="56"/>
      <c r="AF28" s="56">
        <f t="shared" si="0"/>
        <v>0</v>
      </c>
      <c r="AG28" s="56">
        <v>0</v>
      </c>
      <c r="AH28" s="56">
        <v>0</v>
      </c>
      <c r="AI28" s="56"/>
      <c r="AJ28" s="56">
        <f t="shared" si="1"/>
        <v>0</v>
      </c>
      <c r="AK28" s="85"/>
      <c r="AL28" s="56">
        <v>0</v>
      </c>
      <c r="AM28" s="56"/>
      <c r="AN28" s="88">
        <f>SUM(AI28:AM28)</f>
        <v>0</v>
      </c>
      <c r="AO28" s="88">
        <v>0</v>
      </c>
      <c r="AP28" s="88">
        <v>0</v>
      </c>
      <c r="AQ28" s="56"/>
      <c r="AR28" s="56">
        <v>0</v>
      </c>
      <c r="AS28" s="56"/>
      <c r="AT28" s="56">
        <v>0</v>
      </c>
      <c r="AU28" s="56"/>
      <c r="AV28" s="56">
        <f t="shared" si="2"/>
        <v>0</v>
      </c>
      <c r="AW28" s="56"/>
      <c r="AX28" s="56">
        <v>0</v>
      </c>
      <c r="AY28" s="56"/>
      <c r="AZ28" s="88">
        <v>0</v>
      </c>
      <c r="BA28" s="56">
        <v>0</v>
      </c>
      <c r="BB28" s="214"/>
      <c r="BC28" s="56"/>
      <c r="BD28" s="84">
        <f t="shared" si="3"/>
        <v>0</v>
      </c>
      <c r="BE28" s="56"/>
      <c r="BF28" s="56"/>
      <c r="BG28" s="56"/>
      <c r="BH28" s="72"/>
    </row>
    <row r="29" spans="1:62" ht="20.100000000000001" customHeight="1" outlineLevel="1">
      <c r="A29" s="77" t="s">
        <v>43</v>
      </c>
      <c r="B29" s="77" t="s">
        <v>270</v>
      </c>
      <c r="C29" s="77" t="str">
        <f t="shared" si="5"/>
        <v>AE·</v>
      </c>
      <c r="D29" s="78" t="s">
        <v>46</v>
      </c>
      <c r="E29" s="78" t="str">
        <f t="shared" si="4"/>
        <v>000</v>
      </c>
      <c r="F29" s="3">
        <v>633412</v>
      </c>
      <c r="G29" s="102" t="s">
        <v>271</v>
      </c>
      <c r="H29" s="87"/>
      <c r="I29" s="13">
        <v>2321</v>
      </c>
      <c r="J29" s="13">
        <v>1414</v>
      </c>
      <c r="L29" s="56">
        <v>0</v>
      </c>
      <c r="M29" s="56"/>
      <c r="N29" s="56">
        <v>0</v>
      </c>
      <c r="O29" s="56"/>
      <c r="P29" s="56">
        <v>0</v>
      </c>
      <c r="Q29" s="56"/>
      <c r="R29" s="56">
        <v>0</v>
      </c>
      <c r="S29" s="56"/>
      <c r="T29" s="56">
        <v>0</v>
      </c>
      <c r="U29" s="56"/>
      <c r="V29" s="56">
        <v>0</v>
      </c>
      <c r="W29" s="56"/>
      <c r="X29" s="56">
        <v>0</v>
      </c>
      <c r="Y29" s="56"/>
      <c r="Z29" s="56">
        <v>0</v>
      </c>
      <c r="AA29" s="56"/>
      <c r="AB29" s="56"/>
      <c r="AC29" s="56"/>
      <c r="AD29" s="56"/>
      <c r="AE29" s="56"/>
      <c r="AF29" s="56">
        <f t="shared" si="0"/>
        <v>0</v>
      </c>
      <c r="AG29" s="56">
        <v>0</v>
      </c>
      <c r="AH29" s="56">
        <v>0</v>
      </c>
      <c r="AI29" s="56"/>
      <c r="AJ29" s="56">
        <f t="shared" si="1"/>
        <v>0</v>
      </c>
      <c r="AK29" s="85"/>
      <c r="AL29" s="56">
        <v>0</v>
      </c>
      <c r="AM29" s="56"/>
      <c r="AN29" s="88">
        <f>SUM(AI29:AM29)</f>
        <v>0</v>
      </c>
      <c r="AO29" s="88">
        <v>0</v>
      </c>
      <c r="AP29" s="88">
        <v>0</v>
      </c>
      <c r="AQ29" s="56"/>
      <c r="AR29" s="56">
        <v>0</v>
      </c>
      <c r="AS29" s="56"/>
      <c r="AT29" s="56">
        <v>0</v>
      </c>
      <c r="AU29" s="56"/>
      <c r="AV29" s="56">
        <f t="shared" si="2"/>
        <v>0</v>
      </c>
      <c r="AW29" s="56"/>
      <c r="AX29" s="56">
        <v>0</v>
      </c>
      <c r="AY29" s="56"/>
      <c r="AZ29" s="88">
        <v>0</v>
      </c>
      <c r="BA29" s="56">
        <v>0</v>
      </c>
      <c r="BB29" s="214"/>
      <c r="BC29" s="56"/>
      <c r="BD29" s="84">
        <f t="shared" si="3"/>
        <v>0</v>
      </c>
      <c r="BE29" s="56"/>
      <c r="BF29" s="56"/>
      <c r="BG29" s="56"/>
      <c r="BH29" s="72"/>
    </row>
    <row r="30" spans="1:62" ht="20.100000000000001" customHeight="1" outlineLevel="1">
      <c r="A30" s="77" t="s">
        <v>43</v>
      </c>
      <c r="B30" s="77" t="s">
        <v>272</v>
      </c>
      <c r="C30" s="77" t="str">
        <f t="shared" si="5"/>
        <v>AE·</v>
      </c>
      <c r="D30" s="78" t="s">
        <v>46</v>
      </c>
      <c r="E30" s="78" t="str">
        <f t="shared" si="4"/>
        <v>000</v>
      </c>
      <c r="F30" s="3">
        <v>611211</v>
      </c>
      <c r="G30" s="102" t="s">
        <v>273</v>
      </c>
      <c r="H30" s="87"/>
      <c r="I30" s="13">
        <v>5393</v>
      </c>
      <c r="J30" s="13">
        <v>6140</v>
      </c>
      <c r="L30" s="56">
        <v>4335</v>
      </c>
      <c r="M30" s="56"/>
      <c r="N30" s="56">
        <v>7100</v>
      </c>
      <c r="O30" s="56"/>
      <c r="P30" s="56">
        <v>7100</v>
      </c>
      <c r="Q30" s="56"/>
      <c r="R30" s="56">
        <v>7100</v>
      </c>
      <c r="S30" s="56"/>
      <c r="T30" s="56">
        <v>0</v>
      </c>
      <c r="U30" s="56"/>
      <c r="V30" s="56">
        <v>7100</v>
      </c>
      <c r="W30" s="56"/>
      <c r="X30" s="56">
        <v>6591.66</v>
      </c>
      <c r="Y30" s="56"/>
      <c r="Z30" s="56">
        <v>6750</v>
      </c>
      <c r="AA30" s="56"/>
      <c r="AB30" s="56"/>
      <c r="AC30" s="56"/>
      <c r="AD30" s="56"/>
      <c r="AE30" s="56"/>
      <c r="AF30" s="56">
        <f t="shared" si="0"/>
        <v>6750</v>
      </c>
      <c r="AG30" s="56">
        <v>0</v>
      </c>
      <c r="AH30" s="56">
        <v>0</v>
      </c>
      <c r="AI30" s="56"/>
      <c r="AJ30" s="56">
        <f t="shared" si="1"/>
        <v>6750</v>
      </c>
      <c r="AK30" s="85"/>
      <c r="AL30" s="56">
        <v>0</v>
      </c>
      <c r="AM30" s="56"/>
      <c r="AN30" s="88">
        <v>5845.32</v>
      </c>
      <c r="AO30" s="88">
        <v>0</v>
      </c>
      <c r="AP30" s="88">
        <v>13098.72</v>
      </c>
      <c r="AQ30" s="56"/>
      <c r="AR30" s="56">
        <v>0</v>
      </c>
      <c r="AS30" s="56"/>
      <c r="AT30" s="56">
        <v>0</v>
      </c>
      <c r="AU30" s="56"/>
      <c r="AV30" s="56">
        <f t="shared" si="2"/>
        <v>13098.72</v>
      </c>
      <c r="AW30" s="56"/>
      <c r="AX30" s="106">
        <v>7090</v>
      </c>
      <c r="AY30" s="56"/>
      <c r="AZ30" s="88">
        <v>13220</v>
      </c>
      <c r="BA30" s="56">
        <v>13220</v>
      </c>
      <c r="BB30" s="214"/>
      <c r="BC30" s="56"/>
      <c r="BD30" s="84">
        <f t="shared" si="3"/>
        <v>7253.4</v>
      </c>
      <c r="BE30" s="56"/>
      <c r="BF30" s="56"/>
      <c r="BG30" s="56"/>
      <c r="BH30" s="72">
        <v>1</v>
      </c>
      <c r="BJ30">
        <v>1</v>
      </c>
    </row>
    <row r="31" spans="1:62" ht="20.100000000000001" customHeight="1" outlineLevel="1">
      <c r="A31" s="77" t="s">
        <v>43</v>
      </c>
      <c r="B31" s="77" t="s">
        <v>214</v>
      </c>
      <c r="C31" s="77" t="str">
        <f t="shared" si="5"/>
        <v>AE·</v>
      </c>
      <c r="D31" s="78" t="s">
        <v>46</v>
      </c>
      <c r="E31" s="78" t="str">
        <f t="shared" si="4"/>
        <v>000</v>
      </c>
      <c r="F31" s="3">
        <v>611213</v>
      </c>
      <c r="G31" s="102" t="s">
        <v>274</v>
      </c>
      <c r="H31" s="87"/>
      <c r="I31" s="13">
        <v>88584</v>
      </c>
      <c r="J31" s="13">
        <v>123177</v>
      </c>
      <c r="L31" s="56">
        <v>142653</v>
      </c>
      <c r="M31" s="56"/>
      <c r="N31" s="56">
        <v>138000</v>
      </c>
      <c r="O31" s="56"/>
      <c r="P31" s="56">
        <v>138000</v>
      </c>
      <c r="Q31" s="56"/>
      <c r="R31" s="56">
        <v>138000</v>
      </c>
      <c r="S31" s="56"/>
      <c r="T31" s="56">
        <v>0</v>
      </c>
      <c r="U31" s="56"/>
      <c r="V31" s="56">
        <v>138000</v>
      </c>
      <c r="W31" s="56"/>
      <c r="X31" s="56">
        <v>166328.29</v>
      </c>
      <c r="Y31" s="56"/>
      <c r="Z31" s="56">
        <v>138000</v>
      </c>
      <c r="AA31" s="56"/>
      <c r="AB31" s="56"/>
      <c r="AC31" s="56"/>
      <c r="AD31" s="56"/>
      <c r="AE31" s="56"/>
      <c r="AF31" s="56">
        <f t="shared" si="0"/>
        <v>138000</v>
      </c>
      <c r="AG31" s="56">
        <v>0</v>
      </c>
      <c r="AH31" s="56">
        <v>0</v>
      </c>
      <c r="AI31" s="56"/>
      <c r="AJ31" s="56">
        <f t="shared" si="1"/>
        <v>138000</v>
      </c>
      <c r="AK31" s="85"/>
      <c r="AL31" s="56">
        <v>0</v>
      </c>
      <c r="AM31" s="56"/>
      <c r="AN31" s="88">
        <v>137715.34</v>
      </c>
      <c r="AO31" s="88">
        <v>0</v>
      </c>
      <c r="AP31" s="88">
        <v>142681.51999999999</v>
      </c>
      <c r="AQ31" s="56"/>
      <c r="AR31" s="56">
        <v>0</v>
      </c>
      <c r="AS31" s="56"/>
      <c r="AT31" s="56">
        <v>0</v>
      </c>
      <c r="AU31" s="56"/>
      <c r="AV31" s="56">
        <f t="shared" si="2"/>
        <v>142681.51999999999</v>
      </c>
      <c r="AW31" s="56"/>
      <c r="AX31" s="106">
        <v>2000</v>
      </c>
      <c r="AY31" s="56"/>
      <c r="AZ31" s="88">
        <v>140000</v>
      </c>
      <c r="BA31" s="56">
        <v>140000</v>
      </c>
      <c r="BB31" s="214"/>
      <c r="BC31" s="56"/>
      <c r="BD31" s="84">
        <f t="shared" si="3"/>
        <v>4966.179999999993</v>
      </c>
      <c r="BE31" s="56"/>
      <c r="BF31" s="56"/>
      <c r="BG31" s="56"/>
      <c r="BH31" s="72">
        <v>0</v>
      </c>
      <c r="BJ31">
        <v>0</v>
      </c>
    </row>
    <row r="32" spans="1:62" ht="20.100000000000001" customHeight="1" outlineLevel="1">
      <c r="A32" s="77" t="s">
        <v>43</v>
      </c>
      <c r="B32" s="77" t="s">
        <v>275</v>
      </c>
      <c r="C32" s="77" t="str">
        <f t="shared" si="5"/>
        <v>AE·</v>
      </c>
      <c r="D32" s="78" t="s">
        <v>46</v>
      </c>
      <c r="E32" s="78" t="str">
        <f t="shared" si="4"/>
        <v>000</v>
      </c>
      <c r="F32" s="3">
        <v>611211</v>
      </c>
      <c r="G32" s="102" t="s">
        <v>212</v>
      </c>
      <c r="H32" s="87"/>
      <c r="I32" s="13">
        <v>0</v>
      </c>
      <c r="J32" s="13">
        <v>0</v>
      </c>
      <c r="L32" s="56">
        <v>8335</v>
      </c>
      <c r="M32" s="56"/>
      <c r="N32" s="56">
        <v>0</v>
      </c>
      <c r="O32" s="56"/>
      <c r="P32" s="56"/>
      <c r="Q32" s="56"/>
      <c r="R32" s="56">
        <v>0</v>
      </c>
      <c r="S32" s="56"/>
      <c r="T32" s="56">
        <v>0</v>
      </c>
      <c r="U32" s="56"/>
      <c r="V32" s="56">
        <v>0</v>
      </c>
      <c r="W32" s="56"/>
      <c r="X32" s="56">
        <v>0</v>
      </c>
      <c r="Y32" s="56"/>
      <c r="Z32" s="56">
        <v>0</v>
      </c>
      <c r="AA32" s="56"/>
      <c r="AB32" s="56"/>
      <c r="AC32" s="56"/>
      <c r="AD32" s="56"/>
      <c r="AE32" s="56"/>
      <c r="AF32" s="56">
        <f t="shared" si="0"/>
        <v>0</v>
      </c>
      <c r="AG32" s="56">
        <v>0</v>
      </c>
      <c r="AH32" s="56">
        <v>0</v>
      </c>
      <c r="AI32" s="56"/>
      <c r="AJ32" s="56">
        <f t="shared" si="1"/>
        <v>0</v>
      </c>
      <c r="AK32" s="85"/>
      <c r="AL32" s="56">
        <v>0</v>
      </c>
      <c r="AM32" s="56"/>
      <c r="AN32" s="88">
        <f>SUM(AI32:AM32)</f>
        <v>0</v>
      </c>
      <c r="AO32" s="88">
        <v>0</v>
      </c>
      <c r="AP32" s="88">
        <v>0</v>
      </c>
      <c r="AQ32" s="56"/>
      <c r="AR32" s="56">
        <v>0</v>
      </c>
      <c r="AS32" s="56"/>
      <c r="AT32" s="56">
        <v>0</v>
      </c>
      <c r="AU32" s="56"/>
      <c r="AV32" s="56">
        <f t="shared" si="2"/>
        <v>0</v>
      </c>
      <c r="AW32" s="56"/>
      <c r="AX32" s="56">
        <v>0</v>
      </c>
      <c r="AY32" s="56"/>
      <c r="AZ32" s="88">
        <v>0</v>
      </c>
      <c r="BA32" s="56">
        <v>0</v>
      </c>
      <c r="BB32" s="214"/>
      <c r="BC32" s="56"/>
      <c r="BD32" s="84">
        <f t="shared" si="3"/>
        <v>0</v>
      </c>
      <c r="BE32" s="56"/>
      <c r="BF32" s="56"/>
      <c r="BG32" s="56"/>
      <c r="BH32" s="72">
        <v>1</v>
      </c>
    </row>
    <row r="33" spans="1:62" ht="20.100000000000001" customHeight="1" outlineLevel="1">
      <c r="A33" s="77" t="s">
        <v>43</v>
      </c>
      <c r="B33" s="77" t="s">
        <v>276</v>
      </c>
      <c r="C33" s="77" t="str">
        <f t="shared" si="5"/>
        <v>AE·</v>
      </c>
      <c r="D33" s="78" t="s">
        <v>46</v>
      </c>
      <c r="E33" s="78" t="str">
        <f t="shared" si="4"/>
        <v>000</v>
      </c>
      <c r="F33" s="3">
        <v>611211</v>
      </c>
      <c r="G33" s="102" t="s">
        <v>277</v>
      </c>
      <c r="H33" s="87"/>
      <c r="I33" s="13">
        <v>0</v>
      </c>
      <c r="J33" s="13">
        <v>501233</v>
      </c>
      <c r="L33" s="56">
        <v>698216</v>
      </c>
      <c r="M33" s="56"/>
      <c r="N33" s="56">
        <v>677000</v>
      </c>
      <c r="O33" s="56"/>
      <c r="P33" s="56">
        <v>677000</v>
      </c>
      <c r="Q33" s="56"/>
      <c r="R33" s="56">
        <v>774725</v>
      </c>
      <c r="S33" s="56"/>
      <c r="T33" s="56">
        <v>0</v>
      </c>
      <c r="U33" s="56"/>
      <c r="V33" s="56">
        <v>774725</v>
      </c>
      <c r="W33" s="56"/>
      <c r="X33" s="56">
        <v>847558.38</v>
      </c>
      <c r="Y33" s="56"/>
      <c r="Z33" s="56">
        <v>775000</v>
      </c>
      <c r="AA33" s="56"/>
      <c r="AB33" s="56"/>
      <c r="AC33" s="56"/>
      <c r="AD33" s="56"/>
      <c r="AE33" s="56"/>
      <c r="AF33" s="56">
        <f t="shared" si="0"/>
        <v>775000</v>
      </c>
      <c r="AG33" s="104">
        <v>-14000</v>
      </c>
      <c r="AH33" s="56">
        <v>99750</v>
      </c>
      <c r="AI33" s="56"/>
      <c r="AJ33" s="56">
        <f t="shared" si="1"/>
        <v>860750</v>
      </c>
      <c r="AK33" s="85"/>
      <c r="AL33" s="56">
        <v>0</v>
      </c>
      <c r="AM33" s="56"/>
      <c r="AN33" s="88">
        <v>936642.67</v>
      </c>
      <c r="AO33" s="88">
        <v>0</v>
      </c>
      <c r="AP33" s="88">
        <v>991412.19</v>
      </c>
      <c r="AQ33" s="56"/>
      <c r="AR33" s="56">
        <v>0</v>
      </c>
      <c r="AS33" s="56"/>
      <c r="AT33" s="56">
        <v>0</v>
      </c>
      <c r="AU33" s="56"/>
      <c r="AV33" s="56">
        <f t="shared" si="2"/>
        <v>991412.19</v>
      </c>
      <c r="AW33" s="56"/>
      <c r="AX33" s="106">
        <v>106000</v>
      </c>
      <c r="AY33" s="56"/>
      <c r="AZ33" s="88">
        <v>933000</v>
      </c>
      <c r="BA33" s="56">
        <v>820232</v>
      </c>
      <c r="BB33" s="214"/>
      <c r="BC33" s="56"/>
      <c r="BD33" s="84">
        <f t="shared" si="3"/>
        <v>54769.519999999902</v>
      </c>
      <c r="BE33" s="56"/>
      <c r="BF33" s="56"/>
      <c r="BG33" s="56"/>
      <c r="BH33" s="72">
        <v>0</v>
      </c>
      <c r="BJ33">
        <v>0</v>
      </c>
    </row>
    <row r="34" spans="1:62" ht="20.100000000000001" customHeight="1" outlineLevel="1">
      <c r="A34" s="77" t="s">
        <v>43</v>
      </c>
      <c r="B34" s="77" t="s">
        <v>276</v>
      </c>
      <c r="C34" s="77" t="str">
        <f t="shared" si="5"/>
        <v>AE·</v>
      </c>
      <c r="D34" s="78" t="s">
        <v>46</v>
      </c>
      <c r="E34" s="78" t="str">
        <f t="shared" si="4"/>
        <v>000</v>
      </c>
      <c r="F34" s="3">
        <v>658211</v>
      </c>
      <c r="G34" s="102" t="s">
        <v>278</v>
      </c>
      <c r="H34" s="87"/>
      <c r="I34" s="13">
        <v>0</v>
      </c>
      <c r="J34" s="13">
        <v>3110</v>
      </c>
      <c r="L34" s="56">
        <v>4573</v>
      </c>
      <c r="M34" s="56"/>
      <c r="N34" s="56">
        <v>4500</v>
      </c>
      <c r="O34" s="56"/>
      <c r="P34" s="56">
        <v>4500</v>
      </c>
      <c r="Q34" s="56"/>
      <c r="R34" s="56">
        <v>4500</v>
      </c>
      <c r="S34" s="56"/>
      <c r="T34" s="56">
        <v>0</v>
      </c>
      <c r="U34" s="56"/>
      <c r="V34" s="56">
        <v>4500</v>
      </c>
      <c r="W34" s="56"/>
      <c r="X34" s="56">
        <v>5288.82</v>
      </c>
      <c r="Y34" s="56"/>
      <c r="Z34" s="56">
        <v>5000</v>
      </c>
      <c r="AA34" s="56"/>
      <c r="AB34" s="56"/>
      <c r="AC34" s="56"/>
      <c r="AD34" s="56"/>
      <c r="AE34" s="56"/>
      <c r="AF34" s="56">
        <f t="shared" si="0"/>
        <v>5000</v>
      </c>
      <c r="AG34" s="56">
        <v>0</v>
      </c>
      <c r="AH34" s="56">
        <v>0</v>
      </c>
      <c r="AI34" s="56"/>
      <c r="AJ34" s="56">
        <f t="shared" si="1"/>
        <v>5000</v>
      </c>
      <c r="AK34" s="85"/>
      <c r="AL34" s="56">
        <v>0</v>
      </c>
      <c r="AM34" s="56"/>
      <c r="AN34" s="88">
        <v>6626.47</v>
      </c>
      <c r="AO34" s="88">
        <v>0</v>
      </c>
      <c r="AP34" s="88">
        <v>7402.03</v>
      </c>
      <c r="AQ34" s="56"/>
      <c r="AR34" s="56">
        <v>0</v>
      </c>
      <c r="AS34" s="56"/>
      <c r="AT34" s="56">
        <v>0</v>
      </c>
      <c r="AU34" s="56"/>
      <c r="AV34" s="56">
        <f t="shared" si="2"/>
        <v>7402.03</v>
      </c>
      <c r="AW34" s="56"/>
      <c r="AX34" s="56">
        <v>0</v>
      </c>
      <c r="AY34" s="56"/>
      <c r="AZ34" s="88">
        <v>8000</v>
      </c>
      <c r="BA34" s="56">
        <v>8000</v>
      </c>
      <c r="BB34" s="214"/>
      <c r="BC34" s="56"/>
      <c r="BD34" s="84">
        <f t="shared" si="3"/>
        <v>775.55999999999949</v>
      </c>
      <c r="BE34" s="56"/>
      <c r="BF34" s="56"/>
      <c r="BG34" s="56"/>
      <c r="BH34" s="72"/>
    </row>
    <row r="35" spans="1:62" ht="20.100000000000001" customHeight="1" outlineLevel="1">
      <c r="A35" s="77" t="s">
        <v>43</v>
      </c>
      <c r="B35" s="77" t="s">
        <v>282</v>
      </c>
      <c r="C35" s="77" t="str">
        <f t="shared" si="5"/>
        <v>AE·</v>
      </c>
      <c r="D35" s="78" t="s">
        <v>46</v>
      </c>
      <c r="E35" s="78" t="str">
        <f t="shared" si="4"/>
        <v>000</v>
      </c>
      <c r="F35" s="3">
        <v>611352</v>
      </c>
      <c r="G35" s="102" t="s">
        <v>283</v>
      </c>
      <c r="H35" s="87"/>
      <c r="I35" s="13">
        <v>1077760</v>
      </c>
      <c r="J35" s="13">
        <v>1169189</v>
      </c>
      <c r="L35" s="56">
        <v>1416297</v>
      </c>
      <c r="M35" s="56"/>
      <c r="N35" s="56">
        <v>1528675</v>
      </c>
      <c r="O35" s="56"/>
      <c r="P35" s="56">
        <v>1528675</v>
      </c>
      <c r="Q35" s="56"/>
      <c r="R35" s="56">
        <v>1694561</v>
      </c>
      <c r="S35" s="56"/>
      <c r="T35" s="56">
        <v>0</v>
      </c>
      <c r="U35" s="56"/>
      <c r="V35" s="56">
        <v>1694561</v>
      </c>
      <c r="W35" s="56"/>
      <c r="X35" s="56">
        <v>1620872.71</v>
      </c>
      <c r="Y35" s="56"/>
      <c r="Z35" s="56">
        <v>1689504</v>
      </c>
      <c r="AA35" s="56"/>
      <c r="AB35" s="56"/>
      <c r="AC35" s="56"/>
      <c r="AD35" s="56"/>
      <c r="AE35" s="56"/>
      <c r="AF35" s="56">
        <f t="shared" ref="AF35:AF60" si="6">SUM(Z35:AE35)</f>
        <v>1689504</v>
      </c>
      <c r="AG35" s="104">
        <v>226000</v>
      </c>
      <c r="AH35" s="56">
        <v>35000</v>
      </c>
      <c r="AI35" s="56"/>
      <c r="AJ35" s="56">
        <f t="shared" ref="AJ35:AJ60" si="7">SUM(AE35:AI35)</f>
        <v>1950504</v>
      </c>
      <c r="AK35" s="85"/>
      <c r="AL35" s="56">
        <v>0</v>
      </c>
      <c r="AM35" s="56"/>
      <c r="AN35" s="88">
        <v>1900063.76</v>
      </c>
      <c r="AO35" s="88">
        <v>0</v>
      </c>
      <c r="AP35" s="235">
        <v>1867351.9</v>
      </c>
      <c r="AQ35" s="56"/>
      <c r="AR35" s="56">
        <v>0</v>
      </c>
      <c r="AS35" s="56"/>
      <c r="AT35" s="56">
        <v>0</v>
      </c>
      <c r="AU35" s="56"/>
      <c r="AV35" s="56">
        <f t="shared" ref="AV35:AV60" si="8">SUM(AP35:AU35)</f>
        <v>1867351.9</v>
      </c>
      <c r="AW35" s="56"/>
      <c r="AX35" s="106">
        <v>-106694</v>
      </c>
      <c r="AY35" s="56"/>
      <c r="AZ35" s="88">
        <v>1795800</v>
      </c>
      <c r="BA35" s="56">
        <v>1864344</v>
      </c>
      <c r="BB35" s="214"/>
      <c r="BC35" s="56"/>
      <c r="BD35" s="84">
        <f t="shared" ref="BD35:BD61" si="9">+AP35-AN35</f>
        <v>-32711.860000000102</v>
      </c>
      <c r="BE35" s="56"/>
      <c r="BF35" s="56"/>
      <c r="BG35" s="56"/>
      <c r="BH35" s="72">
        <v>1</v>
      </c>
      <c r="BJ35">
        <v>1</v>
      </c>
    </row>
    <row r="36" spans="1:62" ht="20.100000000000001" customHeight="1" outlineLevel="1">
      <c r="A36" s="77" t="s">
        <v>43</v>
      </c>
      <c r="B36" s="77" t="s">
        <v>284</v>
      </c>
      <c r="C36" s="77" t="str">
        <f t="shared" si="5"/>
        <v>AE·</v>
      </c>
      <c r="D36" s="78" t="s">
        <v>46</v>
      </c>
      <c r="E36" s="78" t="str">
        <f t="shared" si="4"/>
        <v>000</v>
      </c>
      <c r="F36" s="3">
        <v>611115</v>
      </c>
      <c r="G36" s="102" t="s">
        <v>285</v>
      </c>
      <c r="H36" s="87"/>
      <c r="I36" s="13">
        <v>73337</v>
      </c>
      <c r="J36" s="13">
        <v>72974</v>
      </c>
      <c r="L36" s="56">
        <v>79532</v>
      </c>
      <c r="M36" s="56"/>
      <c r="N36" s="56">
        <v>87899</v>
      </c>
      <c r="O36" s="56"/>
      <c r="P36" s="56">
        <v>87899</v>
      </c>
      <c r="Q36" s="56"/>
      <c r="R36" s="56">
        <v>89599</v>
      </c>
      <c r="S36" s="56"/>
      <c r="T36" s="56">
        <v>0</v>
      </c>
      <c r="U36" s="56"/>
      <c r="V36" s="56">
        <v>89599</v>
      </c>
      <c r="W36" s="56"/>
      <c r="X36" s="56">
        <v>89599</v>
      </c>
      <c r="Y36" s="56"/>
      <c r="Z36" s="56">
        <v>89543</v>
      </c>
      <c r="AA36" s="56"/>
      <c r="AB36" s="56"/>
      <c r="AC36" s="56"/>
      <c r="AD36" s="56"/>
      <c r="AE36" s="56"/>
      <c r="AF36" s="56">
        <f t="shared" si="6"/>
        <v>89543</v>
      </c>
      <c r="AG36" s="56">
        <v>0</v>
      </c>
      <c r="AH36" s="56">
        <v>1250</v>
      </c>
      <c r="AI36" s="56"/>
      <c r="AJ36" s="56">
        <f t="shared" si="7"/>
        <v>90793</v>
      </c>
      <c r="AK36" s="85"/>
      <c r="AL36" s="56">
        <v>0</v>
      </c>
      <c r="AM36" s="56"/>
      <c r="AN36" s="88">
        <v>90793</v>
      </c>
      <c r="AO36" s="88">
        <v>0</v>
      </c>
      <c r="AP36" s="88">
        <v>89543</v>
      </c>
      <c r="AQ36" s="56"/>
      <c r="AR36" s="56">
        <v>0</v>
      </c>
      <c r="AS36" s="56"/>
      <c r="AT36" s="56">
        <v>0</v>
      </c>
      <c r="AU36" s="56"/>
      <c r="AV36" s="56">
        <f t="shared" si="8"/>
        <v>89543</v>
      </c>
      <c r="AW36" s="56"/>
      <c r="AX36" s="56">
        <v>0</v>
      </c>
      <c r="AY36" s="56"/>
      <c r="AZ36" s="88">
        <v>89543</v>
      </c>
      <c r="BA36" s="56">
        <v>89543</v>
      </c>
      <c r="BB36" s="214"/>
      <c r="BC36" s="56"/>
      <c r="BD36" s="84">
        <f t="shared" si="9"/>
        <v>-1250</v>
      </c>
      <c r="BE36" s="56"/>
      <c r="BF36" s="56"/>
      <c r="BG36" s="56"/>
      <c r="BH36" s="72">
        <v>1</v>
      </c>
      <c r="BJ36">
        <v>1</v>
      </c>
    </row>
    <row r="37" spans="1:62" ht="20.100000000000001" customHeight="1" outlineLevel="1">
      <c r="A37" s="77" t="s">
        <v>43</v>
      </c>
      <c r="B37" s="77" t="s">
        <v>284</v>
      </c>
      <c r="C37" s="77" t="str">
        <f t="shared" si="5"/>
        <v>AE·</v>
      </c>
      <c r="D37" s="78" t="s">
        <v>46</v>
      </c>
      <c r="E37" s="78" t="str">
        <f t="shared" si="4"/>
        <v>000</v>
      </c>
      <c r="F37" s="3">
        <v>611411</v>
      </c>
      <c r="G37" s="102" t="s">
        <v>286</v>
      </c>
      <c r="H37" s="87"/>
      <c r="I37" s="13">
        <v>51512</v>
      </c>
      <c r="J37" s="13">
        <v>50356</v>
      </c>
      <c r="L37" s="56">
        <v>57222</v>
      </c>
      <c r="M37" s="56"/>
      <c r="N37" s="56">
        <v>51984</v>
      </c>
      <c r="O37" s="56"/>
      <c r="P37" s="56">
        <v>51984</v>
      </c>
      <c r="Q37" s="56"/>
      <c r="R37" s="56">
        <v>58222</v>
      </c>
      <c r="S37" s="56"/>
      <c r="T37" s="56">
        <v>0</v>
      </c>
      <c r="U37" s="56"/>
      <c r="V37" s="56">
        <v>58222</v>
      </c>
      <c r="W37" s="56"/>
      <c r="X37" s="56">
        <v>58222</v>
      </c>
      <c r="Y37" s="56"/>
      <c r="Z37" s="56">
        <v>54822</v>
      </c>
      <c r="AA37" s="56"/>
      <c r="AB37" s="56"/>
      <c r="AC37" s="56"/>
      <c r="AD37" s="56"/>
      <c r="AE37" s="56"/>
      <c r="AF37" s="56">
        <f t="shared" si="6"/>
        <v>54822</v>
      </c>
      <c r="AG37" s="56">
        <v>0</v>
      </c>
      <c r="AH37" s="56">
        <v>4500</v>
      </c>
      <c r="AI37" s="56"/>
      <c r="AJ37" s="56">
        <f t="shared" si="7"/>
        <v>59322</v>
      </c>
      <c r="AK37" s="85"/>
      <c r="AL37" s="56">
        <v>0</v>
      </c>
      <c r="AM37" s="56"/>
      <c r="AN37" s="88">
        <v>59322</v>
      </c>
      <c r="AO37" s="88">
        <v>0</v>
      </c>
      <c r="AP37" s="88">
        <v>52436.03</v>
      </c>
      <c r="AQ37" s="56"/>
      <c r="AR37" s="56">
        <v>0</v>
      </c>
      <c r="AS37" s="56"/>
      <c r="AT37" s="56">
        <v>0</v>
      </c>
      <c r="AU37" s="56"/>
      <c r="AV37" s="56">
        <f t="shared" si="8"/>
        <v>52436.03</v>
      </c>
      <c r="AW37" s="56"/>
      <c r="AX37" s="56">
        <v>0</v>
      </c>
      <c r="AY37" s="56"/>
      <c r="AZ37" s="88">
        <v>52063</v>
      </c>
      <c r="BA37" s="56">
        <v>52063</v>
      </c>
      <c r="BB37" s="214"/>
      <c r="BC37" s="56"/>
      <c r="BD37" s="84">
        <f t="shared" si="9"/>
        <v>-6885.9700000000012</v>
      </c>
      <c r="BE37" s="56"/>
      <c r="BF37" s="56"/>
      <c r="BG37" s="56"/>
      <c r="BH37" s="72">
        <v>1</v>
      </c>
      <c r="BJ37">
        <v>1</v>
      </c>
    </row>
    <row r="38" spans="1:62" ht="20.100000000000001" customHeight="1" outlineLevel="1">
      <c r="A38" s="77" t="s">
        <v>43</v>
      </c>
      <c r="B38" s="77" t="s">
        <v>218</v>
      </c>
      <c r="C38" s="77" t="str">
        <f t="shared" si="5"/>
        <v>AE·</v>
      </c>
      <c r="D38" s="78" t="s">
        <v>46</v>
      </c>
      <c r="E38" s="78" t="str">
        <f t="shared" si="4"/>
        <v>000</v>
      </c>
      <c r="F38" s="3">
        <v>611116</v>
      </c>
      <c r="G38" s="102" t="s">
        <v>287</v>
      </c>
      <c r="H38" s="87"/>
      <c r="I38" s="13">
        <v>43423</v>
      </c>
      <c r="J38" s="13">
        <v>22298</v>
      </c>
      <c r="L38" s="56">
        <v>75574</v>
      </c>
      <c r="M38" s="56"/>
      <c r="N38" s="56">
        <v>83552</v>
      </c>
      <c r="O38" s="56"/>
      <c r="P38" s="56">
        <v>83552</v>
      </c>
      <c r="Q38" s="56"/>
      <c r="R38" s="56">
        <v>85252</v>
      </c>
      <c r="S38" s="56"/>
      <c r="T38" s="56">
        <v>0</v>
      </c>
      <c r="U38" s="56"/>
      <c r="V38" s="56">
        <v>85252</v>
      </c>
      <c r="W38" s="56"/>
      <c r="X38" s="56">
        <v>85252</v>
      </c>
      <c r="Y38" s="56"/>
      <c r="Z38" s="56">
        <v>85116</v>
      </c>
      <c r="AA38" s="56"/>
      <c r="AB38" s="56"/>
      <c r="AC38" s="56"/>
      <c r="AD38" s="56"/>
      <c r="AE38" s="56"/>
      <c r="AF38" s="56">
        <f t="shared" si="6"/>
        <v>85116</v>
      </c>
      <c r="AG38" s="56">
        <v>0</v>
      </c>
      <c r="AH38" s="56">
        <v>1250</v>
      </c>
      <c r="AI38" s="56"/>
      <c r="AJ38" s="56">
        <f t="shared" si="7"/>
        <v>86366</v>
      </c>
      <c r="AK38" s="85"/>
      <c r="AL38" s="56">
        <v>0</v>
      </c>
      <c r="AM38" s="56"/>
      <c r="AN38" s="88">
        <v>86365.96</v>
      </c>
      <c r="AO38" s="88">
        <v>0</v>
      </c>
      <c r="AP38" s="88">
        <v>0</v>
      </c>
      <c r="AQ38" s="56"/>
      <c r="AR38" s="56">
        <v>0</v>
      </c>
      <c r="AS38" s="56"/>
      <c r="AT38" s="56">
        <v>0</v>
      </c>
      <c r="AU38" s="56"/>
      <c r="AV38" s="56">
        <f t="shared" si="8"/>
        <v>0</v>
      </c>
      <c r="AW38" s="56"/>
      <c r="AX38" s="56">
        <v>0</v>
      </c>
      <c r="AY38" s="56"/>
      <c r="AZ38" s="88">
        <v>0</v>
      </c>
      <c r="BA38" s="56">
        <v>0</v>
      </c>
      <c r="BB38" s="214"/>
      <c r="BC38" s="56"/>
      <c r="BD38" s="84">
        <f t="shared" si="9"/>
        <v>-86365.96</v>
      </c>
      <c r="BE38" s="56"/>
      <c r="BF38" s="56"/>
      <c r="BG38" s="56"/>
      <c r="BH38" s="72">
        <v>1</v>
      </c>
      <c r="BJ38">
        <v>1</v>
      </c>
    </row>
    <row r="39" spans="1:62" ht="20.100000000000001" customHeight="1" outlineLevel="1">
      <c r="A39" s="77" t="s">
        <v>43</v>
      </c>
      <c r="B39" s="77" t="s">
        <v>218</v>
      </c>
      <c r="C39" s="77" t="str">
        <f t="shared" si="5"/>
        <v>AE·</v>
      </c>
      <c r="D39" s="78" t="s">
        <v>46</v>
      </c>
      <c r="E39" s="78" t="str">
        <f t="shared" si="4"/>
        <v>000</v>
      </c>
      <c r="F39" s="3">
        <v>611342</v>
      </c>
      <c r="G39" s="102" t="s">
        <v>288</v>
      </c>
      <c r="H39" s="87"/>
      <c r="I39" s="13">
        <v>366771</v>
      </c>
      <c r="J39" s="13">
        <v>430930</v>
      </c>
      <c r="L39" s="56">
        <v>544952</v>
      </c>
      <c r="M39" s="56"/>
      <c r="N39" s="56">
        <v>433181</v>
      </c>
      <c r="O39" s="56"/>
      <c r="P39" s="56">
        <v>433181</v>
      </c>
      <c r="Q39" s="56"/>
      <c r="R39" s="56">
        <v>455478</v>
      </c>
      <c r="S39" s="56"/>
      <c r="T39" s="56">
        <v>0</v>
      </c>
      <c r="U39" s="56"/>
      <c r="V39" s="56">
        <v>455478</v>
      </c>
      <c r="W39" s="56"/>
      <c r="X39" s="56">
        <v>488187.82</v>
      </c>
      <c r="Y39" s="56"/>
      <c r="Z39" s="56">
        <v>445380</v>
      </c>
      <c r="AA39" s="56"/>
      <c r="AB39" s="56"/>
      <c r="AC39" s="56"/>
      <c r="AD39" s="56"/>
      <c r="AE39" s="56"/>
      <c r="AF39" s="56">
        <f t="shared" si="6"/>
        <v>445380</v>
      </c>
      <c r="AG39" s="104">
        <v>17000</v>
      </c>
      <c r="AH39" s="56">
        <v>9375</v>
      </c>
      <c r="AI39" s="56"/>
      <c r="AJ39" s="56">
        <f t="shared" si="7"/>
        <v>471755</v>
      </c>
      <c r="AK39" s="85"/>
      <c r="AL39" s="56">
        <v>0</v>
      </c>
      <c r="AM39" s="56"/>
      <c r="AN39" s="88">
        <v>532452.79</v>
      </c>
      <c r="AO39" s="88">
        <v>0</v>
      </c>
      <c r="AP39" s="88">
        <v>577019.87</v>
      </c>
      <c r="AQ39" s="56"/>
      <c r="AR39" s="56">
        <v>0</v>
      </c>
      <c r="AS39" s="56"/>
      <c r="AT39" s="56">
        <v>0</v>
      </c>
      <c r="AU39" s="56"/>
      <c r="AV39" s="56">
        <f t="shared" si="8"/>
        <v>577019.87</v>
      </c>
      <c r="AW39" s="56"/>
      <c r="AX39" s="56">
        <v>0</v>
      </c>
      <c r="AY39" s="56"/>
      <c r="AZ39" s="88">
        <v>0</v>
      </c>
      <c r="BA39" s="56">
        <v>0</v>
      </c>
      <c r="BB39" s="214"/>
      <c r="BC39" s="56"/>
      <c r="BD39" s="84">
        <f t="shared" si="9"/>
        <v>44567.079999999958</v>
      </c>
      <c r="BE39" s="56"/>
      <c r="BF39" s="56"/>
      <c r="BG39" s="56"/>
      <c r="BH39" s="72">
        <v>1</v>
      </c>
      <c r="BJ39">
        <v>1</v>
      </c>
    </row>
    <row r="40" spans="1:62" ht="20.100000000000001" customHeight="1" outlineLevel="1">
      <c r="A40" s="77" t="s">
        <v>43</v>
      </c>
      <c r="B40" s="77" t="s">
        <v>218</v>
      </c>
      <c r="C40" s="77" t="str">
        <f t="shared" si="5"/>
        <v>AE·</v>
      </c>
      <c r="D40" s="78" t="s">
        <v>46</v>
      </c>
      <c r="E40" s="78" t="str">
        <f t="shared" si="4"/>
        <v>000</v>
      </c>
      <c r="F40" s="3">
        <v>611361</v>
      </c>
      <c r="G40" s="102" t="s">
        <v>289</v>
      </c>
      <c r="H40" s="87"/>
      <c r="I40" s="13">
        <v>22042</v>
      </c>
      <c r="J40" s="13">
        <v>3699</v>
      </c>
      <c r="L40" s="56">
        <v>2779</v>
      </c>
      <c r="M40" s="56"/>
      <c r="N40" s="56">
        <v>10000</v>
      </c>
      <c r="O40" s="56"/>
      <c r="P40" s="56">
        <v>10000</v>
      </c>
      <c r="Q40" s="56"/>
      <c r="R40" s="56">
        <v>10000</v>
      </c>
      <c r="S40" s="56"/>
      <c r="T40" s="56">
        <v>0</v>
      </c>
      <c r="U40" s="56"/>
      <c r="V40" s="56">
        <v>10000</v>
      </c>
      <c r="W40" s="56"/>
      <c r="X40" s="56">
        <v>12475.66</v>
      </c>
      <c r="Y40" s="56"/>
      <c r="Z40" s="56">
        <v>10000</v>
      </c>
      <c r="AA40" s="56"/>
      <c r="AB40" s="56"/>
      <c r="AC40" s="56"/>
      <c r="AD40" s="56"/>
      <c r="AE40" s="56"/>
      <c r="AF40" s="56">
        <f t="shared" si="6"/>
        <v>10000</v>
      </c>
      <c r="AG40" s="56">
        <v>0</v>
      </c>
      <c r="AH40" s="56">
        <v>0</v>
      </c>
      <c r="AI40" s="56"/>
      <c r="AJ40" s="56">
        <f t="shared" si="7"/>
        <v>10000</v>
      </c>
      <c r="AK40" s="85"/>
      <c r="AL40" s="56">
        <v>0</v>
      </c>
      <c r="AM40" s="56"/>
      <c r="AN40" s="88">
        <v>9639.7999999999993</v>
      </c>
      <c r="AO40" s="88">
        <v>0</v>
      </c>
      <c r="AP40" s="88">
        <v>5301.5</v>
      </c>
      <c r="AQ40" s="56"/>
      <c r="AR40" s="56">
        <v>0</v>
      </c>
      <c r="AS40" s="56"/>
      <c r="AT40" s="56">
        <v>0</v>
      </c>
      <c r="AU40" s="56"/>
      <c r="AV40" s="56">
        <f t="shared" si="8"/>
        <v>5301.5</v>
      </c>
      <c r="AW40" s="56"/>
      <c r="AX40" s="56">
        <v>0</v>
      </c>
      <c r="AY40" s="56"/>
      <c r="AZ40" s="88">
        <v>5000</v>
      </c>
      <c r="BA40" s="56">
        <v>5000</v>
      </c>
      <c r="BB40" s="214"/>
      <c r="BC40" s="56"/>
      <c r="BD40" s="84">
        <f t="shared" si="9"/>
        <v>-4338.2999999999993</v>
      </c>
      <c r="BE40" s="56"/>
      <c r="BF40" s="56"/>
      <c r="BG40" s="56"/>
      <c r="BH40" s="72">
        <v>1</v>
      </c>
      <c r="BJ40">
        <v>1</v>
      </c>
    </row>
    <row r="41" spans="1:62" ht="20.100000000000001" customHeight="1" outlineLevel="1">
      <c r="A41" s="77" t="s">
        <v>43</v>
      </c>
      <c r="B41" s="77" t="s">
        <v>218</v>
      </c>
      <c r="C41" s="77" t="str">
        <f t="shared" si="5"/>
        <v>AE·</v>
      </c>
      <c r="D41" s="78" t="s">
        <v>46</v>
      </c>
      <c r="E41" s="78" t="str">
        <f t="shared" si="4"/>
        <v>000</v>
      </c>
      <c r="F41" s="3">
        <v>611411</v>
      </c>
      <c r="G41" s="102" t="s">
        <v>290</v>
      </c>
      <c r="H41" s="87"/>
      <c r="I41" s="13">
        <v>555</v>
      </c>
      <c r="J41" s="13">
        <v>924</v>
      </c>
      <c r="L41" s="56">
        <v>22547</v>
      </c>
      <c r="M41" s="56"/>
      <c r="N41" s="56">
        <v>21003</v>
      </c>
      <c r="O41" s="56"/>
      <c r="P41" s="56">
        <v>21003</v>
      </c>
      <c r="Q41" s="56"/>
      <c r="R41" s="56">
        <v>25498</v>
      </c>
      <c r="S41" s="56"/>
      <c r="T41" s="56">
        <v>0</v>
      </c>
      <c r="U41" s="56"/>
      <c r="V41" s="56">
        <v>25498</v>
      </c>
      <c r="W41" s="56"/>
      <c r="X41" s="56">
        <v>24527.19</v>
      </c>
      <c r="Y41" s="56"/>
      <c r="Z41" s="56">
        <v>25498</v>
      </c>
      <c r="AA41" s="56"/>
      <c r="AB41" s="56"/>
      <c r="AC41" s="56"/>
      <c r="AD41" s="56"/>
      <c r="AE41" s="56"/>
      <c r="AF41" s="56">
        <f t="shared" si="6"/>
        <v>25498</v>
      </c>
      <c r="AG41" s="56">
        <v>0</v>
      </c>
      <c r="AH41" s="56">
        <v>2250</v>
      </c>
      <c r="AI41" s="56"/>
      <c r="AJ41" s="56">
        <f t="shared" si="7"/>
        <v>27748</v>
      </c>
      <c r="AK41" s="85"/>
      <c r="AL41" s="56">
        <v>0</v>
      </c>
      <c r="AM41" s="56"/>
      <c r="AN41" s="88">
        <v>27651</v>
      </c>
      <c r="AO41" s="88">
        <v>0</v>
      </c>
      <c r="AP41" s="88">
        <v>0</v>
      </c>
      <c r="AQ41" s="56"/>
      <c r="AR41" s="56">
        <v>0</v>
      </c>
      <c r="AS41" s="56"/>
      <c r="AT41" s="56">
        <v>0</v>
      </c>
      <c r="AU41" s="56"/>
      <c r="AV41" s="56">
        <f t="shared" si="8"/>
        <v>0</v>
      </c>
      <c r="AW41" s="56"/>
      <c r="AX41" s="56">
        <v>0</v>
      </c>
      <c r="AY41" s="56"/>
      <c r="AZ41" s="88">
        <v>0</v>
      </c>
      <c r="BA41" s="56">
        <v>0</v>
      </c>
      <c r="BB41" s="214"/>
      <c r="BC41" s="56"/>
      <c r="BD41" s="84">
        <f t="shared" si="9"/>
        <v>-27651</v>
      </c>
      <c r="BE41" s="56"/>
      <c r="BF41" s="56"/>
      <c r="BG41" s="56"/>
      <c r="BH41" s="72">
        <v>1</v>
      </c>
      <c r="BJ41">
        <v>1</v>
      </c>
    </row>
    <row r="42" spans="1:62" ht="20.100000000000001" customHeight="1" outlineLevel="1">
      <c r="A42" s="77" t="s">
        <v>43</v>
      </c>
      <c r="B42" s="77" t="s">
        <v>218</v>
      </c>
      <c r="C42" s="77" t="str">
        <f t="shared" si="5"/>
        <v>AE·</v>
      </c>
      <c r="D42" s="78" t="s">
        <v>46</v>
      </c>
      <c r="E42" s="78" t="str">
        <f t="shared" si="4"/>
        <v>000</v>
      </c>
      <c r="F42" s="3">
        <v>632013</v>
      </c>
      <c r="G42" s="102" t="s">
        <v>271</v>
      </c>
      <c r="H42" s="87"/>
      <c r="I42" s="13">
        <v>53636</v>
      </c>
      <c r="J42" s="13">
        <v>1841</v>
      </c>
      <c r="L42" s="56">
        <v>4269</v>
      </c>
      <c r="M42" s="56"/>
      <c r="N42" s="56">
        <v>6000</v>
      </c>
      <c r="O42" s="56"/>
      <c r="P42" s="56">
        <v>6000</v>
      </c>
      <c r="Q42" s="56"/>
      <c r="R42" s="56">
        <v>6000</v>
      </c>
      <c r="S42" s="56"/>
      <c r="T42" s="56">
        <v>0</v>
      </c>
      <c r="U42" s="56"/>
      <c r="V42" s="56">
        <v>6000</v>
      </c>
      <c r="W42" s="56"/>
      <c r="X42" s="56">
        <v>1432.41</v>
      </c>
      <c r="Y42" s="56"/>
      <c r="Z42" s="56">
        <v>12000</v>
      </c>
      <c r="AA42" s="56"/>
      <c r="AB42" s="56"/>
      <c r="AC42" s="56"/>
      <c r="AD42" s="56"/>
      <c r="AE42" s="56"/>
      <c r="AF42" s="56">
        <f t="shared" si="6"/>
        <v>12000</v>
      </c>
      <c r="AG42" s="56">
        <v>0</v>
      </c>
      <c r="AH42" s="56">
        <v>0</v>
      </c>
      <c r="AI42" s="56"/>
      <c r="AJ42" s="56">
        <f t="shared" si="7"/>
        <v>12000</v>
      </c>
      <c r="AK42" s="85"/>
      <c r="AL42" s="56">
        <v>0</v>
      </c>
      <c r="AM42" s="56"/>
      <c r="AN42" s="88">
        <v>3262.65</v>
      </c>
      <c r="AO42" s="88">
        <v>0</v>
      </c>
      <c r="AP42" s="88">
        <v>5.72</v>
      </c>
      <c r="AQ42" s="56"/>
      <c r="AR42" s="56">
        <v>0</v>
      </c>
      <c r="AS42" s="56"/>
      <c r="AT42" s="56">
        <v>0</v>
      </c>
      <c r="AU42" s="56"/>
      <c r="AV42" s="56">
        <f t="shared" si="8"/>
        <v>5.72</v>
      </c>
      <c r="AW42" s="56"/>
      <c r="AX42" s="56">
        <v>0</v>
      </c>
      <c r="AY42" s="56"/>
      <c r="AZ42" s="88">
        <v>3000</v>
      </c>
      <c r="BA42" s="56">
        <v>3000</v>
      </c>
      <c r="BB42" s="214"/>
      <c r="BC42" s="56"/>
      <c r="BD42" s="84">
        <f t="shared" si="9"/>
        <v>-3256.9300000000003</v>
      </c>
      <c r="BE42" s="56"/>
      <c r="BF42" s="56"/>
      <c r="BG42" s="56"/>
      <c r="BH42" s="72"/>
    </row>
    <row r="43" spans="1:62" ht="20.100000000000001" customHeight="1" outlineLevel="1">
      <c r="A43" s="77" t="s">
        <v>43</v>
      </c>
      <c r="B43" s="77" t="s">
        <v>218</v>
      </c>
      <c r="C43" s="77" t="str">
        <f t="shared" si="5"/>
        <v>AE·</v>
      </c>
      <c r="D43" s="78" t="s">
        <v>46</v>
      </c>
      <c r="E43" s="78" t="str">
        <f t="shared" si="4"/>
        <v>000</v>
      </c>
      <c r="F43" s="3">
        <v>643011</v>
      </c>
      <c r="G43" s="102" t="s">
        <v>258</v>
      </c>
      <c r="H43" s="87"/>
      <c r="I43" s="13">
        <v>2100</v>
      </c>
      <c r="J43" s="13">
        <v>2554</v>
      </c>
      <c r="L43" s="56">
        <v>1626</v>
      </c>
      <c r="M43" s="56"/>
      <c r="N43" s="56">
        <v>6000</v>
      </c>
      <c r="O43" s="56"/>
      <c r="P43" s="56">
        <v>6000</v>
      </c>
      <c r="Q43" s="56"/>
      <c r="R43" s="56">
        <v>6000</v>
      </c>
      <c r="S43" s="56"/>
      <c r="T43" s="56">
        <v>0</v>
      </c>
      <c r="U43" s="56"/>
      <c r="V43" s="56">
        <v>6000</v>
      </c>
      <c r="W43" s="56"/>
      <c r="X43" s="56">
        <v>2312</v>
      </c>
      <c r="Y43" s="56"/>
      <c r="Z43" s="56">
        <v>6000</v>
      </c>
      <c r="AA43" s="56"/>
      <c r="AB43" s="56"/>
      <c r="AC43" s="56"/>
      <c r="AD43" s="56">
        <v>3919</v>
      </c>
      <c r="AE43" s="56"/>
      <c r="AF43" s="56">
        <f t="shared" si="6"/>
        <v>9919</v>
      </c>
      <c r="AG43" s="56">
        <v>0</v>
      </c>
      <c r="AH43" s="56">
        <v>0</v>
      </c>
      <c r="AI43" s="56"/>
      <c r="AJ43" s="56">
        <f t="shared" si="7"/>
        <v>9919</v>
      </c>
      <c r="AK43" s="85"/>
      <c r="AL43" s="56">
        <v>0</v>
      </c>
      <c r="AM43" s="56"/>
      <c r="AN43" s="88">
        <v>8198.9</v>
      </c>
      <c r="AO43" s="88">
        <v>0</v>
      </c>
      <c r="AP43" s="88">
        <v>700</v>
      </c>
      <c r="AQ43" s="56"/>
      <c r="AR43" s="56">
        <v>0</v>
      </c>
      <c r="AS43" s="56"/>
      <c r="AT43" s="56">
        <v>0</v>
      </c>
      <c r="AU43" s="56"/>
      <c r="AV43" s="56">
        <f t="shared" si="8"/>
        <v>700</v>
      </c>
      <c r="AW43" s="56"/>
      <c r="AX43" s="56">
        <v>0</v>
      </c>
      <c r="AY43" s="56"/>
      <c r="AZ43" s="88">
        <v>3919</v>
      </c>
      <c r="BA43" s="56">
        <v>3919</v>
      </c>
      <c r="BB43" s="214"/>
      <c r="BC43" s="56"/>
      <c r="BD43" s="84">
        <f t="shared" si="9"/>
        <v>-7498.9</v>
      </c>
      <c r="BE43" s="56"/>
      <c r="BF43" s="56"/>
      <c r="BG43" s="56"/>
      <c r="BH43" s="72"/>
    </row>
    <row r="44" spans="1:62" ht="20.100000000000001" customHeight="1" outlineLevel="1">
      <c r="A44" s="77" t="s">
        <v>43</v>
      </c>
      <c r="B44" s="77" t="s">
        <v>218</v>
      </c>
      <c r="C44" s="77" t="str">
        <f t="shared" si="5"/>
        <v>AE·</v>
      </c>
      <c r="D44" s="78" t="s">
        <v>46</v>
      </c>
      <c r="E44" s="78" t="str">
        <f t="shared" si="4"/>
        <v>000</v>
      </c>
      <c r="F44" s="3">
        <v>658211</v>
      </c>
      <c r="G44" s="102" t="s">
        <v>291</v>
      </c>
      <c r="H44" s="87"/>
      <c r="I44" s="13">
        <v>20646</v>
      </c>
      <c r="J44" s="13">
        <v>12335</v>
      </c>
      <c r="L44" s="56">
        <v>13607</v>
      </c>
      <c r="M44" s="56"/>
      <c r="N44" s="56">
        <v>25000</v>
      </c>
      <c r="O44" s="56"/>
      <c r="P44" s="56">
        <v>25000</v>
      </c>
      <c r="Q44" s="56"/>
      <c r="R44" s="56">
        <v>25000</v>
      </c>
      <c r="S44" s="56"/>
      <c r="T44" s="56">
        <v>0</v>
      </c>
      <c r="U44" s="56"/>
      <c r="V44" s="56">
        <v>25000</v>
      </c>
      <c r="W44" s="56"/>
      <c r="X44" s="56">
        <v>14463.14</v>
      </c>
      <c r="Y44" s="56"/>
      <c r="Z44" s="56">
        <v>25000</v>
      </c>
      <c r="AA44" s="56"/>
      <c r="AB44" s="56"/>
      <c r="AC44" s="56"/>
      <c r="AD44" s="56"/>
      <c r="AE44" s="56"/>
      <c r="AF44" s="56">
        <f t="shared" si="6"/>
        <v>25000</v>
      </c>
      <c r="AG44" s="56">
        <v>0</v>
      </c>
      <c r="AH44" s="56">
        <v>0</v>
      </c>
      <c r="AI44" s="56"/>
      <c r="AJ44" s="56">
        <f t="shared" si="7"/>
        <v>25000</v>
      </c>
      <c r="AK44" s="85"/>
      <c r="AL44" s="56">
        <v>0</v>
      </c>
      <c r="AM44" s="56"/>
      <c r="AN44" s="88">
        <v>21267.71</v>
      </c>
      <c r="AO44" s="88">
        <v>0</v>
      </c>
      <c r="AP44" s="88">
        <v>5857.02</v>
      </c>
      <c r="AQ44" s="56"/>
      <c r="AR44" s="56">
        <v>0</v>
      </c>
      <c r="AS44" s="56"/>
      <c r="AT44" s="56">
        <v>0</v>
      </c>
      <c r="AU44" s="56"/>
      <c r="AV44" s="56">
        <f t="shared" si="8"/>
        <v>5857.02</v>
      </c>
      <c r="AW44" s="56"/>
      <c r="AX44" s="56">
        <v>0</v>
      </c>
      <c r="AY44" s="56"/>
      <c r="AZ44" s="88">
        <v>7000</v>
      </c>
      <c r="BA44" s="56">
        <v>7000</v>
      </c>
      <c r="BB44" s="214"/>
      <c r="BC44" s="56"/>
      <c r="BD44" s="84">
        <f t="shared" si="9"/>
        <v>-15410.689999999999</v>
      </c>
      <c r="BE44" s="56"/>
      <c r="BF44" s="56"/>
      <c r="BG44" s="56"/>
      <c r="BH44" s="72"/>
    </row>
    <row r="45" spans="1:62" ht="20.100000000000001" customHeight="1" outlineLevel="1">
      <c r="A45" s="77" t="s">
        <v>43</v>
      </c>
      <c r="B45" s="77" t="s">
        <v>218</v>
      </c>
      <c r="C45" s="77" t="str">
        <f t="shared" si="5"/>
        <v>AE·</v>
      </c>
      <c r="D45" s="78" t="s">
        <v>46</v>
      </c>
      <c r="E45" s="78" t="str">
        <f t="shared" si="4"/>
        <v>000</v>
      </c>
      <c r="F45" s="3">
        <v>658212</v>
      </c>
      <c r="G45" s="102" t="s">
        <v>292</v>
      </c>
      <c r="H45" s="87"/>
      <c r="I45" s="13">
        <v>6271</v>
      </c>
      <c r="J45" s="13">
        <v>7946</v>
      </c>
      <c r="L45" s="56">
        <v>10448</v>
      </c>
      <c r="M45" s="56"/>
      <c r="N45" s="56">
        <v>15000</v>
      </c>
      <c r="O45" s="56"/>
      <c r="P45" s="56">
        <v>15000</v>
      </c>
      <c r="Q45" s="56"/>
      <c r="R45" s="56">
        <v>15000</v>
      </c>
      <c r="S45" s="56"/>
      <c r="T45" s="56">
        <v>0</v>
      </c>
      <c r="U45" s="56"/>
      <c r="V45" s="56">
        <v>15000</v>
      </c>
      <c r="W45" s="56"/>
      <c r="X45" s="56">
        <v>8352.6</v>
      </c>
      <c r="Y45" s="56"/>
      <c r="Z45" s="56">
        <v>18000</v>
      </c>
      <c r="AA45" s="56"/>
      <c r="AB45" s="56"/>
      <c r="AC45" s="56"/>
      <c r="AD45" s="56"/>
      <c r="AE45" s="56"/>
      <c r="AF45" s="56">
        <f t="shared" si="6"/>
        <v>18000</v>
      </c>
      <c r="AG45" s="56">
        <v>0</v>
      </c>
      <c r="AH45" s="56">
        <v>0</v>
      </c>
      <c r="AI45" s="56"/>
      <c r="AJ45" s="56">
        <f t="shared" si="7"/>
        <v>18000</v>
      </c>
      <c r="AK45" s="85"/>
      <c r="AL45" s="56">
        <v>0</v>
      </c>
      <c r="AM45" s="56"/>
      <c r="AN45" s="88">
        <v>7479.23</v>
      </c>
      <c r="AO45" s="88">
        <v>0</v>
      </c>
      <c r="AP45" s="88">
        <v>2122.62</v>
      </c>
      <c r="AQ45" s="56"/>
      <c r="AR45" s="56">
        <v>0</v>
      </c>
      <c r="AS45" s="56"/>
      <c r="AT45" s="56">
        <v>0</v>
      </c>
      <c r="AU45" s="56"/>
      <c r="AV45" s="56">
        <f t="shared" si="8"/>
        <v>2122.62</v>
      </c>
      <c r="AW45" s="56"/>
      <c r="AX45" s="56">
        <v>0</v>
      </c>
      <c r="AY45" s="56"/>
      <c r="AZ45" s="88">
        <v>0</v>
      </c>
      <c r="BA45" s="56">
        <v>0</v>
      </c>
      <c r="BB45" s="214"/>
      <c r="BC45" s="56"/>
      <c r="BD45" s="84">
        <f t="shared" si="9"/>
        <v>-5356.61</v>
      </c>
      <c r="BE45" s="56"/>
      <c r="BF45" s="56"/>
      <c r="BG45" s="56"/>
      <c r="BH45" s="72"/>
    </row>
    <row r="46" spans="1:62" ht="20.100000000000001" customHeight="1" outlineLevel="1">
      <c r="A46" s="77" t="s">
        <v>43</v>
      </c>
      <c r="B46" s="77" t="s">
        <v>218</v>
      </c>
      <c r="C46" s="77" t="str">
        <f t="shared" si="5"/>
        <v>AE·</v>
      </c>
      <c r="D46" s="78" t="s">
        <v>46</v>
      </c>
      <c r="E46" s="78" t="str">
        <f t="shared" si="4"/>
        <v>000</v>
      </c>
      <c r="F46" s="3">
        <v>658213</v>
      </c>
      <c r="G46" s="102" t="s">
        <v>293</v>
      </c>
      <c r="H46" s="87"/>
      <c r="I46" s="13">
        <v>2734</v>
      </c>
      <c r="J46" s="13">
        <v>1826</v>
      </c>
      <c r="L46" s="56">
        <v>1433</v>
      </c>
      <c r="M46" s="56"/>
      <c r="N46" s="56">
        <v>3000</v>
      </c>
      <c r="O46" s="56"/>
      <c r="P46" s="56">
        <v>3000</v>
      </c>
      <c r="Q46" s="56"/>
      <c r="R46" s="56">
        <v>3000</v>
      </c>
      <c r="S46" s="56"/>
      <c r="T46" s="56">
        <v>0</v>
      </c>
      <c r="U46" s="56"/>
      <c r="V46" s="56">
        <v>3000</v>
      </c>
      <c r="W46" s="56"/>
      <c r="X46" s="56">
        <v>2970.8</v>
      </c>
      <c r="Y46" s="56"/>
      <c r="Z46" s="56">
        <v>4000</v>
      </c>
      <c r="AA46" s="56"/>
      <c r="AB46" s="56"/>
      <c r="AC46" s="56"/>
      <c r="AD46" s="56"/>
      <c r="AE46" s="56"/>
      <c r="AF46" s="56">
        <f t="shared" si="6"/>
        <v>4000</v>
      </c>
      <c r="AG46" s="56">
        <v>0</v>
      </c>
      <c r="AH46" s="56">
        <v>0</v>
      </c>
      <c r="AI46" s="56"/>
      <c r="AJ46" s="56">
        <f t="shared" si="7"/>
        <v>4000</v>
      </c>
      <c r="AK46" s="85"/>
      <c r="AL46" s="56">
        <v>0</v>
      </c>
      <c r="AM46" s="56"/>
      <c r="AN46" s="88">
        <v>2336.21</v>
      </c>
      <c r="AO46" s="88">
        <v>0</v>
      </c>
      <c r="AP46" s="88">
        <v>3130.12</v>
      </c>
      <c r="AQ46" s="56"/>
      <c r="AR46" s="56">
        <v>0</v>
      </c>
      <c r="AS46" s="56"/>
      <c r="AT46" s="56">
        <v>0</v>
      </c>
      <c r="AU46" s="56"/>
      <c r="AV46" s="56">
        <f t="shared" si="8"/>
        <v>3130.12</v>
      </c>
      <c r="AW46" s="56"/>
      <c r="AX46" s="56">
        <v>0</v>
      </c>
      <c r="AY46" s="56"/>
      <c r="AZ46" s="88">
        <v>4000</v>
      </c>
      <c r="BA46" s="56">
        <v>4000</v>
      </c>
      <c r="BB46" s="214"/>
      <c r="BC46" s="56"/>
      <c r="BD46" s="84">
        <f t="shared" si="9"/>
        <v>793.90999999999985</v>
      </c>
      <c r="BE46" s="56"/>
      <c r="BF46" s="56"/>
      <c r="BG46" s="56"/>
      <c r="BH46" s="72"/>
    </row>
    <row r="47" spans="1:62" ht="20.100000000000001" customHeight="1" outlineLevel="1">
      <c r="A47" s="77" t="s">
        <v>43</v>
      </c>
      <c r="B47" s="77" t="s">
        <v>218</v>
      </c>
      <c r="C47" s="77" t="str">
        <f t="shared" si="5"/>
        <v>AE·</v>
      </c>
      <c r="D47" s="78" t="s">
        <v>46</v>
      </c>
      <c r="E47" s="78" t="str">
        <f t="shared" si="4"/>
        <v>000</v>
      </c>
      <c r="F47" s="3">
        <v>661001</v>
      </c>
      <c r="G47" s="102" t="s">
        <v>294</v>
      </c>
      <c r="H47" s="87"/>
      <c r="I47" s="13">
        <v>9350</v>
      </c>
      <c r="J47" s="13">
        <v>10753</v>
      </c>
      <c r="L47" s="56">
        <v>10910</v>
      </c>
      <c r="M47" s="56"/>
      <c r="N47" s="56">
        <v>12775</v>
      </c>
      <c r="O47" s="56"/>
      <c r="P47" s="56">
        <v>13270</v>
      </c>
      <c r="Q47" s="56"/>
      <c r="R47" s="56">
        <v>13270</v>
      </c>
      <c r="S47" s="56"/>
      <c r="T47" s="56">
        <v>0</v>
      </c>
      <c r="U47" s="56"/>
      <c r="V47" s="56">
        <v>13270</v>
      </c>
      <c r="W47" s="56"/>
      <c r="X47" s="56">
        <v>12826.39</v>
      </c>
      <c r="Y47" s="56"/>
      <c r="Z47" s="56">
        <v>13270</v>
      </c>
      <c r="AA47" s="56"/>
      <c r="AB47" s="56"/>
      <c r="AC47" s="56"/>
      <c r="AD47" s="56"/>
      <c r="AE47" s="56"/>
      <c r="AF47" s="56">
        <f t="shared" si="6"/>
        <v>13270</v>
      </c>
      <c r="AG47" s="56">
        <v>0</v>
      </c>
      <c r="AH47" s="56">
        <v>0</v>
      </c>
      <c r="AI47" s="56"/>
      <c r="AJ47" s="56">
        <f t="shared" si="7"/>
        <v>13270</v>
      </c>
      <c r="AK47" s="85"/>
      <c r="AL47" s="56">
        <v>0</v>
      </c>
      <c r="AM47" s="56"/>
      <c r="AN47" s="88">
        <v>14265.82</v>
      </c>
      <c r="AO47" s="88">
        <v>0</v>
      </c>
      <c r="AP47" s="88">
        <v>67.66</v>
      </c>
      <c r="AQ47" s="56"/>
      <c r="AR47" s="56">
        <v>0</v>
      </c>
      <c r="AS47" s="56"/>
      <c r="AT47" s="56">
        <v>661</v>
      </c>
      <c r="AU47" s="56"/>
      <c r="AV47" s="56">
        <f t="shared" si="8"/>
        <v>728.66</v>
      </c>
      <c r="AW47" s="56"/>
      <c r="AX47" s="56">
        <v>10000</v>
      </c>
      <c r="AY47" s="56"/>
      <c r="AZ47" s="88">
        <v>0</v>
      </c>
      <c r="BA47" s="56">
        <v>661</v>
      </c>
      <c r="BB47" s="214"/>
      <c r="BC47" s="56"/>
      <c r="BD47" s="84">
        <f t="shared" si="9"/>
        <v>-14198.16</v>
      </c>
      <c r="BE47" s="56"/>
      <c r="BF47" s="56"/>
      <c r="BG47" s="56"/>
      <c r="BH47" s="72"/>
    </row>
    <row r="48" spans="1:62" ht="20.100000000000001" customHeight="1" outlineLevel="1">
      <c r="A48" s="77" t="s">
        <v>43</v>
      </c>
      <c r="B48" s="77" t="s">
        <v>218</v>
      </c>
      <c r="C48" s="77" t="str">
        <f t="shared" si="5"/>
        <v>AE·</v>
      </c>
      <c r="D48" s="78" t="s">
        <v>46</v>
      </c>
      <c r="E48" s="78" t="str">
        <f t="shared" si="4"/>
        <v>000</v>
      </c>
      <c r="F48" s="3">
        <v>661025</v>
      </c>
      <c r="G48" s="102" t="s">
        <v>296</v>
      </c>
      <c r="H48" s="87"/>
      <c r="I48" s="13">
        <v>22302</v>
      </c>
      <c r="J48" s="13">
        <v>22518</v>
      </c>
      <c r="L48" s="56">
        <v>32955</v>
      </c>
      <c r="M48" s="56"/>
      <c r="N48" s="56">
        <v>25180</v>
      </c>
      <c r="O48" s="56"/>
      <c r="P48" s="56">
        <v>25180</v>
      </c>
      <c r="Q48" s="56"/>
      <c r="R48" s="56">
        <v>25180</v>
      </c>
      <c r="S48" s="56"/>
      <c r="T48" s="56">
        <v>0</v>
      </c>
      <c r="U48" s="56"/>
      <c r="V48" s="56">
        <v>25180</v>
      </c>
      <c r="W48" s="56"/>
      <c r="X48" s="56">
        <v>28481.82</v>
      </c>
      <c r="Y48" s="56"/>
      <c r="Z48" s="56">
        <v>25180</v>
      </c>
      <c r="AA48" s="56"/>
      <c r="AB48" s="56"/>
      <c r="AC48" s="56"/>
      <c r="AD48" s="56"/>
      <c r="AE48" s="56"/>
      <c r="AF48" s="56">
        <f t="shared" si="6"/>
        <v>25180</v>
      </c>
      <c r="AG48" s="56">
        <v>0</v>
      </c>
      <c r="AH48" s="56">
        <v>0</v>
      </c>
      <c r="AI48" s="56"/>
      <c r="AJ48" s="56">
        <f t="shared" si="7"/>
        <v>25180</v>
      </c>
      <c r="AK48" s="85"/>
      <c r="AL48" s="56">
        <v>0</v>
      </c>
      <c r="AM48" s="56"/>
      <c r="AN48" s="88">
        <v>22295.63</v>
      </c>
      <c r="AO48" s="88">
        <v>0</v>
      </c>
      <c r="AP48" s="88">
        <v>26896.43</v>
      </c>
      <c r="AQ48" s="56"/>
      <c r="AR48" s="56">
        <v>0</v>
      </c>
      <c r="AS48" s="56"/>
      <c r="AT48" s="56">
        <v>0</v>
      </c>
      <c r="AU48" s="56"/>
      <c r="AV48" s="56">
        <f t="shared" si="8"/>
        <v>26896.43</v>
      </c>
      <c r="AW48" s="56"/>
      <c r="AX48" s="56">
        <v>17000</v>
      </c>
      <c r="AY48" s="56"/>
      <c r="AZ48" s="88">
        <v>20000</v>
      </c>
      <c r="BA48" s="56">
        <v>19691</v>
      </c>
      <c r="BB48" s="214"/>
      <c r="BC48" s="56"/>
      <c r="BD48" s="84">
        <f t="shared" si="9"/>
        <v>4600.7999999999993</v>
      </c>
      <c r="BE48" s="56"/>
      <c r="BF48" s="56"/>
      <c r="BG48" s="56"/>
      <c r="BH48" s="72"/>
    </row>
    <row r="49" spans="1:62" ht="20.100000000000001" customHeight="1" outlineLevel="1">
      <c r="A49" s="77" t="s">
        <v>43</v>
      </c>
      <c r="B49" s="77" t="s">
        <v>218</v>
      </c>
      <c r="C49" s="77" t="str">
        <f t="shared" si="5"/>
        <v>AE·</v>
      </c>
      <c r="D49" s="78" t="s">
        <v>46</v>
      </c>
      <c r="E49" s="78" t="str">
        <f t="shared" si="4"/>
        <v>000</v>
      </c>
      <c r="F49" s="3">
        <v>661101</v>
      </c>
      <c r="G49" s="102" t="s">
        <v>297</v>
      </c>
      <c r="H49" s="87"/>
      <c r="I49" s="13">
        <v>4852</v>
      </c>
      <c r="J49" s="13">
        <v>5073</v>
      </c>
      <c r="L49" s="56">
        <v>5159</v>
      </c>
      <c r="M49" s="56"/>
      <c r="N49" s="56">
        <v>8000</v>
      </c>
      <c r="O49" s="56"/>
      <c r="P49" s="56">
        <v>8000</v>
      </c>
      <c r="Q49" s="56"/>
      <c r="R49" s="56">
        <v>8000</v>
      </c>
      <c r="S49" s="56"/>
      <c r="T49" s="56">
        <v>0</v>
      </c>
      <c r="U49" s="56"/>
      <c r="V49" s="56">
        <v>8000</v>
      </c>
      <c r="W49" s="56"/>
      <c r="X49" s="56">
        <v>7936.01</v>
      </c>
      <c r="Y49" s="56"/>
      <c r="Z49" s="56">
        <v>8000</v>
      </c>
      <c r="AA49" s="56"/>
      <c r="AB49" s="56"/>
      <c r="AC49" s="56"/>
      <c r="AD49" s="56"/>
      <c r="AE49" s="56"/>
      <c r="AF49" s="56">
        <f t="shared" si="6"/>
        <v>8000</v>
      </c>
      <c r="AG49" s="56">
        <v>0</v>
      </c>
      <c r="AH49" s="56">
        <v>0</v>
      </c>
      <c r="AI49" s="56"/>
      <c r="AJ49" s="56">
        <f t="shared" si="7"/>
        <v>8000</v>
      </c>
      <c r="AK49" s="85"/>
      <c r="AL49" s="56">
        <v>0</v>
      </c>
      <c r="AM49" s="56"/>
      <c r="AN49" s="88">
        <v>6497.29</v>
      </c>
      <c r="AO49" s="88">
        <v>0</v>
      </c>
      <c r="AP49" s="88">
        <v>15303.76</v>
      </c>
      <c r="AQ49" s="56"/>
      <c r="AR49" s="56">
        <v>0</v>
      </c>
      <c r="AS49" s="56"/>
      <c r="AT49" s="56">
        <v>0</v>
      </c>
      <c r="AU49" s="56"/>
      <c r="AV49" s="56">
        <f t="shared" si="8"/>
        <v>15303.76</v>
      </c>
      <c r="AW49" s="56"/>
      <c r="AX49" s="56">
        <v>0</v>
      </c>
      <c r="AY49" s="56"/>
      <c r="AZ49" s="88">
        <v>8000</v>
      </c>
      <c r="BA49" s="56">
        <v>8000</v>
      </c>
      <c r="BB49" s="214"/>
      <c r="BC49" s="56"/>
      <c r="BD49" s="84">
        <f t="shared" si="9"/>
        <v>8806.4700000000012</v>
      </c>
      <c r="BE49" s="56"/>
      <c r="BF49" s="56"/>
      <c r="BG49" s="56"/>
      <c r="BH49" s="72"/>
    </row>
    <row r="50" spans="1:62" ht="20.100000000000001" customHeight="1" outlineLevel="1">
      <c r="A50" s="77" t="s">
        <v>43</v>
      </c>
      <c r="B50" s="77" t="s">
        <v>218</v>
      </c>
      <c r="C50" s="77" t="str">
        <f t="shared" si="5"/>
        <v>AE·</v>
      </c>
      <c r="D50" s="78" t="s">
        <v>46</v>
      </c>
      <c r="E50" s="78" t="str">
        <f t="shared" si="4"/>
        <v>000</v>
      </c>
      <c r="F50" s="3">
        <v>664211</v>
      </c>
      <c r="G50" s="102" t="s">
        <v>298</v>
      </c>
      <c r="H50" s="87"/>
      <c r="I50" s="13">
        <v>705</v>
      </c>
      <c r="J50" s="13">
        <v>626</v>
      </c>
      <c r="L50" s="56">
        <v>104</v>
      </c>
      <c r="M50" s="56"/>
      <c r="N50" s="56">
        <v>1000</v>
      </c>
      <c r="O50" s="56"/>
      <c r="P50" s="56">
        <v>1000</v>
      </c>
      <c r="Q50" s="56"/>
      <c r="R50" s="56">
        <v>1000</v>
      </c>
      <c r="S50" s="56"/>
      <c r="T50" s="56">
        <v>0</v>
      </c>
      <c r="U50" s="56"/>
      <c r="V50" s="56">
        <v>1000</v>
      </c>
      <c r="W50" s="56"/>
      <c r="X50" s="56">
        <v>736.75</v>
      </c>
      <c r="Y50" s="56"/>
      <c r="Z50" s="56">
        <v>1000</v>
      </c>
      <c r="AA50" s="56"/>
      <c r="AB50" s="56"/>
      <c r="AC50" s="56"/>
      <c r="AD50" s="56"/>
      <c r="AE50" s="56"/>
      <c r="AF50" s="56">
        <f t="shared" si="6"/>
        <v>1000</v>
      </c>
      <c r="AG50" s="56">
        <v>0</v>
      </c>
      <c r="AH50" s="56">
        <v>0</v>
      </c>
      <c r="AI50" s="56"/>
      <c r="AJ50" s="56">
        <f t="shared" si="7"/>
        <v>1000</v>
      </c>
      <c r="AK50" s="85"/>
      <c r="AL50" s="56">
        <v>0</v>
      </c>
      <c r="AM50" s="56"/>
      <c r="AN50" s="88">
        <v>903.04</v>
      </c>
      <c r="AO50" s="88">
        <v>0</v>
      </c>
      <c r="AP50" s="88">
        <v>503.33</v>
      </c>
      <c r="AQ50" s="56"/>
      <c r="AR50" s="56">
        <v>0</v>
      </c>
      <c r="AS50" s="56"/>
      <c r="AT50" s="56">
        <v>0</v>
      </c>
      <c r="AU50" s="56"/>
      <c r="AV50" s="56">
        <f t="shared" si="8"/>
        <v>503.33</v>
      </c>
      <c r="AW50" s="56"/>
      <c r="AX50" s="56">
        <v>0</v>
      </c>
      <c r="AY50" s="56"/>
      <c r="AZ50" s="88">
        <v>1000</v>
      </c>
      <c r="BA50" s="56">
        <v>1000</v>
      </c>
      <c r="BB50" s="214"/>
      <c r="BC50" s="56"/>
      <c r="BD50" s="84">
        <f t="shared" si="9"/>
        <v>-399.71</v>
      </c>
      <c r="BE50" s="56"/>
      <c r="BF50" s="56"/>
      <c r="BG50" s="56"/>
      <c r="BH50" s="72"/>
    </row>
    <row r="51" spans="1:62" ht="20.100000000000001" customHeight="1" outlineLevel="1">
      <c r="A51" s="77" t="s">
        <v>43</v>
      </c>
      <c r="B51" s="77" t="s">
        <v>218</v>
      </c>
      <c r="C51" s="77" t="str">
        <f t="shared" si="5"/>
        <v>AE·</v>
      </c>
      <c r="D51" s="78" t="s">
        <v>46</v>
      </c>
      <c r="E51" s="78" t="str">
        <f t="shared" si="4"/>
        <v>000</v>
      </c>
      <c r="F51" s="3">
        <v>673001</v>
      </c>
      <c r="G51" s="102" t="s">
        <v>57</v>
      </c>
      <c r="H51" s="87"/>
      <c r="I51" s="13">
        <v>14206</v>
      </c>
      <c r="J51" s="13">
        <v>1185</v>
      </c>
      <c r="L51" s="56">
        <v>1050</v>
      </c>
      <c r="M51" s="56"/>
      <c r="N51" s="56">
        <v>3000</v>
      </c>
      <c r="O51" s="56"/>
      <c r="P51" s="56">
        <v>3000</v>
      </c>
      <c r="Q51" s="56"/>
      <c r="R51" s="56">
        <v>3000</v>
      </c>
      <c r="S51" s="56"/>
      <c r="T51" s="56">
        <v>0</v>
      </c>
      <c r="U51" s="56"/>
      <c r="V51" s="56">
        <v>3000</v>
      </c>
      <c r="W51" s="56"/>
      <c r="X51" s="56">
        <v>2931.46</v>
      </c>
      <c r="Y51" s="56"/>
      <c r="Z51" s="56">
        <v>3000</v>
      </c>
      <c r="AA51" s="56"/>
      <c r="AB51" s="56"/>
      <c r="AC51" s="56"/>
      <c r="AD51" s="56"/>
      <c r="AE51" s="56"/>
      <c r="AF51" s="56">
        <f t="shared" si="6"/>
        <v>3000</v>
      </c>
      <c r="AG51" s="56">
        <v>0</v>
      </c>
      <c r="AH51" s="56">
        <v>0</v>
      </c>
      <c r="AI51" s="56"/>
      <c r="AJ51" s="56">
        <f t="shared" si="7"/>
        <v>3000</v>
      </c>
      <c r="AK51" s="85"/>
      <c r="AL51" s="56">
        <v>0</v>
      </c>
      <c r="AM51" s="56"/>
      <c r="AN51" s="88">
        <v>0</v>
      </c>
      <c r="AO51" s="88">
        <v>0</v>
      </c>
      <c r="AP51" s="88">
        <v>0</v>
      </c>
      <c r="AQ51" s="56"/>
      <c r="AR51" s="56">
        <v>0</v>
      </c>
      <c r="AS51" s="56"/>
      <c r="AT51" s="56">
        <v>0</v>
      </c>
      <c r="AU51" s="56"/>
      <c r="AV51" s="56">
        <f t="shared" si="8"/>
        <v>0</v>
      </c>
      <c r="AW51" s="56"/>
      <c r="AX51" s="56">
        <v>0</v>
      </c>
      <c r="AY51" s="56"/>
      <c r="AZ51" s="88">
        <v>0</v>
      </c>
      <c r="BA51" s="56">
        <v>0</v>
      </c>
      <c r="BB51" s="214"/>
      <c r="BC51" s="56"/>
      <c r="BD51" s="84">
        <f t="shared" si="9"/>
        <v>0</v>
      </c>
      <c r="BE51" s="56"/>
      <c r="BF51" s="56"/>
      <c r="BG51" s="56"/>
      <c r="BH51" s="72"/>
    </row>
    <row r="52" spans="1:62" ht="20.100000000000001" customHeight="1" outlineLevel="1">
      <c r="A52" s="77" t="s">
        <v>43</v>
      </c>
      <c r="B52" s="77" t="s">
        <v>218</v>
      </c>
      <c r="C52" s="77" t="str">
        <f t="shared" si="5"/>
        <v>AE·</v>
      </c>
      <c r="D52" s="78" t="s">
        <v>46</v>
      </c>
      <c r="E52" s="78" t="str">
        <f t="shared" si="4"/>
        <v>000</v>
      </c>
      <c r="F52" s="3">
        <v>673021</v>
      </c>
      <c r="G52" s="102" t="s">
        <v>299</v>
      </c>
      <c r="H52" s="87"/>
      <c r="I52" s="13">
        <v>0</v>
      </c>
      <c r="J52" s="13">
        <v>0</v>
      </c>
      <c r="L52" s="56">
        <v>0</v>
      </c>
      <c r="M52" s="56"/>
      <c r="N52" s="56">
        <v>0</v>
      </c>
      <c r="O52" s="56"/>
      <c r="P52" s="56">
        <v>0</v>
      </c>
      <c r="Q52" s="56"/>
      <c r="R52" s="56">
        <v>0</v>
      </c>
      <c r="S52" s="56"/>
      <c r="T52" s="56">
        <v>0</v>
      </c>
      <c r="U52" s="56"/>
      <c r="V52" s="56">
        <v>0</v>
      </c>
      <c r="W52" s="56"/>
      <c r="X52" s="56">
        <v>0</v>
      </c>
      <c r="Y52" s="56"/>
      <c r="Z52" s="56">
        <v>0</v>
      </c>
      <c r="AA52" s="56"/>
      <c r="AB52" s="56"/>
      <c r="AC52" s="56"/>
      <c r="AD52" s="56"/>
      <c r="AE52" s="56"/>
      <c r="AF52" s="56">
        <f t="shared" si="6"/>
        <v>0</v>
      </c>
      <c r="AG52" s="56">
        <v>0</v>
      </c>
      <c r="AH52" s="56">
        <v>0</v>
      </c>
      <c r="AI52" s="56"/>
      <c r="AJ52" s="56">
        <f t="shared" si="7"/>
        <v>0</v>
      </c>
      <c r="AK52" s="85"/>
      <c r="AL52" s="56">
        <v>0</v>
      </c>
      <c r="AM52" s="56"/>
      <c r="AN52" s="88">
        <f>SUM(AI52:AM52)</f>
        <v>0</v>
      </c>
      <c r="AO52" s="88">
        <v>0</v>
      </c>
      <c r="AP52" s="88">
        <v>0</v>
      </c>
      <c r="AQ52" s="56"/>
      <c r="AR52" s="56">
        <v>0</v>
      </c>
      <c r="AS52" s="56"/>
      <c r="AT52" s="56">
        <v>0</v>
      </c>
      <c r="AU52" s="56"/>
      <c r="AV52" s="56">
        <f t="shared" si="8"/>
        <v>0</v>
      </c>
      <c r="AW52" s="56"/>
      <c r="AX52" s="56">
        <v>0</v>
      </c>
      <c r="AY52" s="56"/>
      <c r="AZ52" s="88">
        <v>0</v>
      </c>
      <c r="BA52" s="56">
        <v>0</v>
      </c>
      <c r="BB52" s="214"/>
      <c r="BC52" s="56"/>
      <c r="BD52" s="84">
        <f t="shared" si="9"/>
        <v>0</v>
      </c>
      <c r="BE52" s="56"/>
      <c r="BF52" s="56"/>
      <c r="BG52" s="56"/>
      <c r="BH52" s="72"/>
    </row>
    <row r="53" spans="1:62" ht="20.100000000000001" customHeight="1" outlineLevel="1">
      <c r="A53" s="77" t="s">
        <v>43</v>
      </c>
      <c r="B53" s="77" t="s">
        <v>301</v>
      </c>
      <c r="C53" s="77" t="str">
        <f t="shared" si="5"/>
        <v>AE·</v>
      </c>
      <c r="D53" s="78" t="s">
        <v>46</v>
      </c>
      <c r="E53" s="78" t="str">
        <f t="shared" si="4"/>
        <v>000</v>
      </c>
      <c r="F53" s="3">
        <v>611214</v>
      </c>
      <c r="G53" s="102" t="s">
        <v>302</v>
      </c>
      <c r="H53" s="87"/>
      <c r="I53" s="13">
        <v>1289404</v>
      </c>
      <c r="J53" s="13">
        <v>1237599</v>
      </c>
      <c r="L53" s="56">
        <v>1451462</v>
      </c>
      <c r="M53" s="56"/>
      <c r="N53" s="56">
        <v>1428750</v>
      </c>
      <c r="O53" s="56"/>
      <c r="P53" s="56">
        <v>1428750</v>
      </c>
      <c r="Q53" s="56"/>
      <c r="R53" s="56">
        <v>1560915</v>
      </c>
      <c r="S53" s="56"/>
      <c r="T53" s="56">
        <v>0</v>
      </c>
      <c r="U53" s="56"/>
      <c r="V53" s="56">
        <v>1560915</v>
      </c>
      <c r="W53" s="56"/>
      <c r="X53" s="56">
        <v>1568292.79</v>
      </c>
      <c r="Y53" s="56"/>
      <c r="Z53" s="56">
        <v>1552999</v>
      </c>
      <c r="AA53" s="56"/>
      <c r="AB53" s="56"/>
      <c r="AC53" s="56"/>
      <c r="AD53" s="56"/>
      <c r="AE53" s="56"/>
      <c r="AF53" s="56">
        <f t="shared" si="6"/>
        <v>1552999</v>
      </c>
      <c r="AG53" s="104">
        <v>-21000</v>
      </c>
      <c r="AH53" s="56">
        <v>40000</v>
      </c>
      <c r="AI53" s="56"/>
      <c r="AJ53" s="56">
        <f t="shared" si="7"/>
        <v>1571999</v>
      </c>
      <c r="AK53" s="85"/>
      <c r="AL53" s="56">
        <v>0</v>
      </c>
      <c r="AM53" s="56"/>
      <c r="AN53" s="88">
        <v>1570103.35</v>
      </c>
      <c r="AO53" s="88">
        <v>0</v>
      </c>
      <c r="AP53" s="88">
        <v>1572332</v>
      </c>
      <c r="AQ53" s="56"/>
      <c r="AR53" s="56">
        <v>0</v>
      </c>
      <c r="AS53" s="56"/>
      <c r="AT53" s="56">
        <v>0</v>
      </c>
      <c r="AU53" s="56"/>
      <c r="AV53" s="56">
        <f t="shared" si="8"/>
        <v>1572332</v>
      </c>
      <c r="AW53" s="56"/>
      <c r="AX53" s="106">
        <v>89596</v>
      </c>
      <c r="AY53" s="56"/>
      <c r="AZ53" s="88">
        <v>1585000</v>
      </c>
      <c r="BA53" s="56">
        <v>1592403</v>
      </c>
      <c r="BB53" s="214"/>
      <c r="BC53" s="56"/>
      <c r="BD53" s="84">
        <f t="shared" si="9"/>
        <v>2228.6499999999069</v>
      </c>
      <c r="BE53" s="56"/>
      <c r="BF53" s="56"/>
      <c r="BG53" s="56"/>
      <c r="BH53" s="72">
        <v>1</v>
      </c>
      <c r="BJ53">
        <v>1</v>
      </c>
    </row>
    <row r="54" spans="1:62" ht="20.100000000000001" customHeight="1" outlineLevel="1">
      <c r="A54" s="77" t="s">
        <v>43</v>
      </c>
      <c r="B54" s="77" t="s">
        <v>237</v>
      </c>
      <c r="C54" s="77" t="str">
        <f t="shared" si="5"/>
        <v>AE·</v>
      </c>
      <c r="D54" s="78" t="s">
        <v>46</v>
      </c>
      <c r="E54" s="78" t="str">
        <f t="shared" si="4"/>
        <v>000</v>
      </c>
      <c r="F54" s="3">
        <v>611411</v>
      </c>
      <c r="G54" s="102" t="s">
        <v>303</v>
      </c>
      <c r="H54" s="87"/>
      <c r="I54" s="13">
        <v>967503</v>
      </c>
      <c r="J54" s="13">
        <v>937320</v>
      </c>
      <c r="L54" s="56">
        <v>1153617</v>
      </c>
      <c r="M54" s="56"/>
      <c r="N54" s="56">
        <v>1123993</v>
      </c>
      <c r="O54" s="56"/>
      <c r="P54" s="56">
        <v>1123993</v>
      </c>
      <c r="Q54" s="56"/>
      <c r="R54" s="56">
        <v>1233822</v>
      </c>
      <c r="S54" s="56"/>
      <c r="T54" s="56">
        <v>0</v>
      </c>
      <c r="U54" s="56"/>
      <c r="V54" s="56">
        <v>1233822</v>
      </c>
      <c r="W54" s="56"/>
      <c r="X54" s="56">
        <v>1210931.99</v>
      </c>
      <c r="Y54" s="56"/>
      <c r="Z54" s="56">
        <v>1139300</v>
      </c>
      <c r="AA54" s="56"/>
      <c r="AB54" s="56"/>
      <c r="AC54" s="56"/>
      <c r="AD54" s="56"/>
      <c r="AE54" s="56"/>
      <c r="AF54" s="56">
        <f t="shared" si="6"/>
        <v>1139300</v>
      </c>
      <c r="AG54" s="104">
        <v>24200</v>
      </c>
      <c r="AH54" s="56">
        <v>144000</v>
      </c>
      <c r="AI54" s="56"/>
      <c r="AJ54" s="56">
        <f t="shared" si="7"/>
        <v>1307500</v>
      </c>
      <c r="AK54" s="85"/>
      <c r="AL54" s="56">
        <v>0</v>
      </c>
      <c r="AM54" s="56"/>
      <c r="AN54" s="88">
        <v>1285220.47</v>
      </c>
      <c r="AO54" s="88">
        <v>0</v>
      </c>
      <c r="AP54" s="88">
        <v>1192143.42</v>
      </c>
      <c r="AQ54" s="56"/>
      <c r="AR54" s="56">
        <v>0</v>
      </c>
      <c r="AS54" s="56"/>
      <c r="AT54" s="56">
        <v>0</v>
      </c>
      <c r="AU54" s="56"/>
      <c r="AV54" s="56">
        <f t="shared" si="8"/>
        <v>1192143.42</v>
      </c>
      <c r="AW54" s="56"/>
      <c r="AX54" s="106">
        <v>50220</v>
      </c>
      <c r="AY54" s="56"/>
      <c r="AZ54" s="88">
        <v>1197750</v>
      </c>
      <c r="BA54" s="56">
        <v>1197750</v>
      </c>
      <c r="BB54" s="214"/>
      <c r="BC54" s="56"/>
      <c r="BD54" s="84">
        <f t="shared" si="9"/>
        <v>-93077.050000000047</v>
      </c>
      <c r="BE54" s="56"/>
      <c r="BF54" s="56"/>
      <c r="BG54" s="56"/>
      <c r="BH54" s="72">
        <v>1</v>
      </c>
      <c r="BJ54">
        <v>1</v>
      </c>
    </row>
    <row r="55" spans="1:62" ht="20.100000000000001" customHeight="1" outlineLevel="1">
      <c r="A55" s="77" t="s">
        <v>43</v>
      </c>
      <c r="B55" s="77" t="s">
        <v>237</v>
      </c>
      <c r="C55" s="77" t="str">
        <f t="shared" si="5"/>
        <v>AE·</v>
      </c>
      <c r="D55" s="78" t="s">
        <v>46</v>
      </c>
      <c r="E55" s="78" t="str">
        <f t="shared" si="4"/>
        <v>000</v>
      </c>
      <c r="F55" s="3">
        <v>632011</v>
      </c>
      <c r="G55" s="102" t="s">
        <v>304</v>
      </c>
      <c r="H55" s="87"/>
      <c r="I55" s="13">
        <v>15112</v>
      </c>
      <c r="J55" s="13">
        <v>15702</v>
      </c>
      <c r="L55" s="56">
        <v>0</v>
      </c>
      <c r="M55" s="56"/>
      <c r="N55" s="56">
        <v>3000</v>
      </c>
      <c r="O55" s="56"/>
      <c r="P55" s="56">
        <v>3000</v>
      </c>
      <c r="Q55" s="56"/>
      <c r="R55" s="56">
        <v>16000</v>
      </c>
      <c r="S55" s="56"/>
      <c r="T55" s="56">
        <v>0</v>
      </c>
      <c r="U55" s="56"/>
      <c r="V55" s="56">
        <v>16000</v>
      </c>
      <c r="W55" s="56"/>
      <c r="X55" s="56">
        <v>13600</v>
      </c>
      <c r="Y55" s="56"/>
      <c r="Z55" s="56">
        <v>16000</v>
      </c>
      <c r="AA55" s="56"/>
      <c r="AB55" s="56"/>
      <c r="AC55" s="56"/>
      <c r="AD55" s="56"/>
      <c r="AE55" s="56"/>
      <c r="AF55" s="56">
        <f t="shared" si="6"/>
        <v>16000</v>
      </c>
      <c r="AG55" s="56">
        <v>0</v>
      </c>
      <c r="AH55" s="56">
        <v>0</v>
      </c>
      <c r="AI55" s="56"/>
      <c r="AJ55" s="56">
        <f t="shared" si="7"/>
        <v>16000</v>
      </c>
      <c r="AK55" s="85"/>
      <c r="AL55" s="56">
        <v>-16000</v>
      </c>
      <c r="AM55" s="56"/>
      <c r="AN55" s="88">
        <f>SUM(AI55:AM55)</f>
        <v>0</v>
      </c>
      <c r="AO55" s="88">
        <v>0</v>
      </c>
      <c r="AP55" s="88">
        <v>0</v>
      </c>
      <c r="AQ55" s="56"/>
      <c r="AR55" s="56">
        <v>0</v>
      </c>
      <c r="AS55" s="56"/>
      <c r="AT55" s="56">
        <v>0</v>
      </c>
      <c r="AU55" s="56"/>
      <c r="AV55" s="56">
        <f t="shared" si="8"/>
        <v>0</v>
      </c>
      <c r="AW55" s="56"/>
      <c r="AX55" s="56">
        <v>0</v>
      </c>
      <c r="AY55" s="56"/>
      <c r="AZ55" s="88">
        <v>0</v>
      </c>
      <c r="BA55" s="56">
        <v>0</v>
      </c>
      <c r="BB55" s="214"/>
      <c r="BC55" s="56"/>
      <c r="BD55" s="84">
        <f t="shared" si="9"/>
        <v>0</v>
      </c>
      <c r="BE55" s="56"/>
      <c r="BF55" s="56"/>
      <c r="BG55" s="56"/>
      <c r="BH55" s="72"/>
    </row>
    <row r="56" spans="1:62" ht="20.100000000000001" customHeight="1" outlineLevel="1">
      <c r="A56" s="77" t="s">
        <v>43</v>
      </c>
      <c r="B56" s="77" t="s">
        <v>237</v>
      </c>
      <c r="C56" s="77" t="str">
        <f t="shared" si="5"/>
        <v>AE·</v>
      </c>
      <c r="D56" s="78" t="s">
        <v>46</v>
      </c>
      <c r="E56" s="78" t="str">
        <f t="shared" si="4"/>
        <v>000</v>
      </c>
      <c r="F56" s="3">
        <v>681011</v>
      </c>
      <c r="G56" s="102" t="s">
        <v>305</v>
      </c>
      <c r="H56" s="87"/>
      <c r="I56" s="13">
        <v>0</v>
      </c>
      <c r="J56" s="13">
        <v>0</v>
      </c>
      <c r="L56" s="56">
        <v>12000</v>
      </c>
      <c r="M56" s="56"/>
      <c r="N56" s="56">
        <v>12000</v>
      </c>
      <c r="O56" s="56"/>
      <c r="P56" s="56">
        <v>12000</v>
      </c>
      <c r="Q56" s="56"/>
      <c r="R56" s="56">
        <v>12000</v>
      </c>
      <c r="S56" s="56"/>
      <c r="T56" s="56">
        <v>0</v>
      </c>
      <c r="U56" s="56"/>
      <c r="V56" s="56">
        <v>12000</v>
      </c>
      <c r="W56" s="56"/>
      <c r="X56" s="56">
        <v>0</v>
      </c>
      <c r="Y56" s="56"/>
      <c r="Z56" s="56">
        <v>13600</v>
      </c>
      <c r="AA56" s="56"/>
      <c r="AB56" s="56"/>
      <c r="AC56" s="56"/>
      <c r="AD56" s="56"/>
      <c r="AE56" s="56"/>
      <c r="AF56" s="56">
        <f t="shared" si="6"/>
        <v>13600</v>
      </c>
      <c r="AG56" s="56">
        <v>0</v>
      </c>
      <c r="AH56" s="56">
        <v>0</v>
      </c>
      <c r="AI56" s="56"/>
      <c r="AJ56" s="56">
        <f t="shared" si="7"/>
        <v>13600</v>
      </c>
      <c r="AK56" s="85"/>
      <c r="AL56" s="56">
        <v>0</v>
      </c>
      <c r="AM56" s="56"/>
      <c r="AN56" s="88">
        <v>0</v>
      </c>
      <c r="AO56" s="88">
        <v>0</v>
      </c>
      <c r="AP56" s="88">
        <v>0</v>
      </c>
      <c r="AQ56" s="56"/>
      <c r="AR56" s="56">
        <v>0</v>
      </c>
      <c r="AS56" s="56"/>
      <c r="AT56" s="56">
        <v>0</v>
      </c>
      <c r="AU56" s="56"/>
      <c r="AV56" s="56">
        <f t="shared" si="8"/>
        <v>0</v>
      </c>
      <c r="AW56" s="56"/>
      <c r="AX56" s="56">
        <v>0</v>
      </c>
      <c r="AY56" s="56"/>
      <c r="AZ56" s="88">
        <v>0</v>
      </c>
      <c r="BA56" s="56">
        <v>0</v>
      </c>
      <c r="BB56" s="214"/>
      <c r="BC56" s="56"/>
      <c r="BD56" s="84">
        <f t="shared" si="9"/>
        <v>0</v>
      </c>
      <c r="BE56" s="56"/>
      <c r="BF56" s="56"/>
      <c r="BG56" s="56"/>
      <c r="BH56" s="72"/>
    </row>
    <row r="57" spans="1:62" ht="20.100000000000001" customHeight="1" outlineLevel="1">
      <c r="A57" s="77" t="s">
        <v>43</v>
      </c>
      <c r="B57" s="77" t="s">
        <v>237</v>
      </c>
      <c r="C57" s="77" t="str">
        <f t="shared" si="5"/>
        <v>AE·</v>
      </c>
      <c r="D57" s="78" t="s">
        <v>46</v>
      </c>
      <c r="E57" s="78" t="str">
        <f t="shared" si="4"/>
        <v>000</v>
      </c>
      <c r="F57" s="3">
        <v>661101</v>
      </c>
      <c r="G57" s="102" t="s">
        <v>306</v>
      </c>
      <c r="H57" s="87"/>
      <c r="I57" s="13">
        <v>31386</v>
      </c>
      <c r="J57" s="13">
        <v>29042</v>
      </c>
      <c r="L57" s="56">
        <v>30212</v>
      </c>
      <c r="M57" s="56"/>
      <c r="N57" s="56">
        <v>65000</v>
      </c>
      <c r="O57" s="56"/>
      <c r="P57" s="56">
        <v>65000</v>
      </c>
      <c r="Q57" s="56"/>
      <c r="R57" s="56">
        <v>75000</v>
      </c>
      <c r="S57" s="56"/>
      <c r="T57" s="56">
        <v>0</v>
      </c>
      <c r="U57" s="56"/>
      <c r="V57" s="56">
        <v>75000</v>
      </c>
      <c r="W57" s="56"/>
      <c r="X57" s="56">
        <v>71508</v>
      </c>
      <c r="Y57" s="56"/>
      <c r="Z57" s="56">
        <v>75000</v>
      </c>
      <c r="AA57" s="56"/>
      <c r="AB57" s="56"/>
      <c r="AC57" s="56"/>
      <c r="AD57" s="56"/>
      <c r="AE57" s="56"/>
      <c r="AF57" s="56">
        <f t="shared" si="6"/>
        <v>75000</v>
      </c>
      <c r="AG57" s="56">
        <v>0</v>
      </c>
      <c r="AH57" s="56">
        <v>0</v>
      </c>
      <c r="AI57" s="56"/>
      <c r="AJ57" s="56">
        <f t="shared" si="7"/>
        <v>75000</v>
      </c>
      <c r="AK57" s="85"/>
      <c r="AL57" s="56">
        <v>0</v>
      </c>
      <c r="AM57" s="56"/>
      <c r="AN57" s="88">
        <v>72801.58</v>
      </c>
      <c r="AO57" s="88">
        <v>0</v>
      </c>
      <c r="AP57" s="88">
        <v>68776.22</v>
      </c>
      <c r="AQ57" s="56"/>
      <c r="AR57" s="56">
        <v>0</v>
      </c>
      <c r="AS57" s="56"/>
      <c r="AT57" s="56">
        <v>0</v>
      </c>
      <c r="AU57" s="56"/>
      <c r="AV57" s="56">
        <f t="shared" si="8"/>
        <v>68776.22</v>
      </c>
      <c r="AW57" s="56"/>
      <c r="AX57" s="56">
        <v>0</v>
      </c>
      <c r="AY57" s="56"/>
      <c r="AZ57" s="88">
        <v>60000</v>
      </c>
      <c r="BA57" s="56">
        <v>60000</v>
      </c>
      <c r="BB57" s="214"/>
      <c r="BC57" s="56"/>
      <c r="BD57" s="84">
        <f t="shared" si="9"/>
        <v>-4025.3600000000006</v>
      </c>
      <c r="BE57" s="56"/>
      <c r="BF57" s="56"/>
      <c r="BG57" s="56"/>
      <c r="BH57" s="72"/>
    </row>
    <row r="58" spans="1:62" ht="20.100000000000001" customHeight="1" outlineLevel="1">
      <c r="A58" s="77" t="s">
        <v>43</v>
      </c>
      <c r="B58" s="77" t="s">
        <v>307</v>
      </c>
      <c r="C58" s="77" t="str">
        <f t="shared" si="5"/>
        <v>AE·</v>
      </c>
      <c r="D58" s="78" t="s">
        <v>46</v>
      </c>
      <c r="E58" s="78" t="str">
        <f t="shared" si="4"/>
        <v>000</v>
      </c>
      <c r="F58" s="3">
        <v>611121</v>
      </c>
      <c r="G58" s="102" t="s">
        <v>308</v>
      </c>
      <c r="H58" s="87"/>
      <c r="I58" s="13">
        <v>1822083</v>
      </c>
      <c r="J58" s="13">
        <v>1897251</v>
      </c>
      <c r="L58" s="56">
        <v>2054247</v>
      </c>
      <c r="M58" s="56"/>
      <c r="N58" s="56">
        <v>2313810</v>
      </c>
      <c r="O58" s="56"/>
      <c r="P58" s="56">
        <v>2313810</v>
      </c>
      <c r="Q58" s="56"/>
      <c r="R58" s="56">
        <v>2508883</v>
      </c>
      <c r="S58" s="56"/>
      <c r="T58" s="56">
        <v>0</v>
      </c>
      <c r="U58" s="56"/>
      <c r="V58" s="56">
        <v>2508883</v>
      </c>
      <c r="W58" s="56"/>
      <c r="X58" s="56">
        <v>2508882.2000000002</v>
      </c>
      <c r="Y58" s="56"/>
      <c r="Z58" s="56">
        <v>2447724.5</v>
      </c>
      <c r="AA58" s="56"/>
      <c r="AB58" s="56"/>
      <c r="AC58" s="56"/>
      <c r="AD58" s="56"/>
      <c r="AE58" s="56"/>
      <c r="AF58" s="56">
        <f t="shared" si="6"/>
        <v>2447724.5</v>
      </c>
      <c r="AG58" s="104">
        <v>33000</v>
      </c>
      <c r="AH58" s="56">
        <f>34*1250</f>
        <v>42500</v>
      </c>
      <c r="AI58" s="56"/>
      <c r="AJ58" s="56">
        <f t="shared" si="7"/>
        <v>2523224.5</v>
      </c>
      <c r="AK58" s="85"/>
      <c r="AL58" s="56">
        <v>0</v>
      </c>
      <c r="AM58" s="56"/>
      <c r="AN58" s="88">
        <v>2525936.7799999998</v>
      </c>
      <c r="AO58" s="88">
        <v>0</v>
      </c>
      <c r="AP58" s="88">
        <v>2490575.0499999998</v>
      </c>
      <c r="AQ58" s="56"/>
      <c r="AR58" s="56">
        <v>0</v>
      </c>
      <c r="AS58" s="56"/>
      <c r="AT58" s="56">
        <v>0</v>
      </c>
      <c r="AU58" s="56"/>
      <c r="AV58" s="56">
        <f t="shared" si="8"/>
        <v>2490575.0499999998</v>
      </c>
      <c r="AW58" s="56"/>
      <c r="AX58" s="56">
        <v>0</v>
      </c>
      <c r="AY58" s="56"/>
      <c r="AZ58" s="88">
        <v>2376732</v>
      </c>
      <c r="BA58" s="56">
        <v>2365000</v>
      </c>
      <c r="BB58" s="214"/>
      <c r="BC58" s="56"/>
      <c r="BD58" s="84">
        <f t="shared" si="9"/>
        <v>-35361.729999999981</v>
      </c>
      <c r="BE58" s="56"/>
      <c r="BF58" s="56"/>
      <c r="BG58" s="56"/>
      <c r="BH58" s="72">
        <v>1</v>
      </c>
      <c r="BJ58">
        <v>1</v>
      </c>
    </row>
    <row r="59" spans="1:62" ht="20.100000000000001" customHeight="1" outlineLevel="1">
      <c r="A59" s="77" t="s">
        <v>43</v>
      </c>
      <c r="B59" s="77" t="s">
        <v>309</v>
      </c>
      <c r="C59" s="77" t="str">
        <f t="shared" si="5"/>
        <v>AE·</v>
      </c>
      <c r="D59" s="78" t="s">
        <v>46</v>
      </c>
      <c r="E59" s="78" t="str">
        <f t="shared" si="4"/>
        <v>000</v>
      </c>
      <c r="F59" s="3">
        <v>611123</v>
      </c>
      <c r="G59" s="102" t="s">
        <v>310</v>
      </c>
      <c r="H59" s="87"/>
      <c r="I59" s="13">
        <v>665503</v>
      </c>
      <c r="J59" s="13">
        <v>663279</v>
      </c>
      <c r="L59" s="56">
        <v>861854</v>
      </c>
      <c r="M59" s="56"/>
      <c r="N59" s="56">
        <v>1009148</v>
      </c>
      <c r="O59" s="56"/>
      <c r="P59" s="56">
        <v>1009148</v>
      </c>
      <c r="Q59" s="56"/>
      <c r="R59" s="56">
        <v>1036348</v>
      </c>
      <c r="S59" s="56"/>
      <c r="T59" s="56">
        <v>0</v>
      </c>
      <c r="U59" s="56"/>
      <c r="V59" s="56">
        <v>1036348</v>
      </c>
      <c r="W59" s="56"/>
      <c r="X59" s="56">
        <v>1026573.62</v>
      </c>
      <c r="Y59" s="56"/>
      <c r="Z59" s="56">
        <f>1102614+60000</f>
        <v>1162614</v>
      </c>
      <c r="AA59" s="56"/>
      <c r="AB59" s="56"/>
      <c r="AC59" s="56"/>
      <c r="AD59" s="56"/>
      <c r="AE59" s="56"/>
      <c r="AF59" s="56">
        <f t="shared" si="6"/>
        <v>1162614</v>
      </c>
      <c r="AG59" s="104">
        <v>-125000</v>
      </c>
      <c r="AH59" s="56">
        <f>17*1250</f>
        <v>21250</v>
      </c>
      <c r="AI59" s="56"/>
      <c r="AJ59" s="56">
        <f t="shared" si="7"/>
        <v>1058864</v>
      </c>
      <c r="AK59" s="85"/>
      <c r="AL59" s="56">
        <v>0</v>
      </c>
      <c r="AM59" s="56"/>
      <c r="AN59" s="88">
        <v>1073117.98</v>
      </c>
      <c r="AO59" s="88">
        <v>0</v>
      </c>
      <c r="AP59" s="88">
        <v>988500.2</v>
      </c>
      <c r="AQ59" s="56"/>
      <c r="AR59" s="56">
        <v>0</v>
      </c>
      <c r="AS59" s="56"/>
      <c r="AT59" s="56">
        <v>0</v>
      </c>
      <c r="AU59" s="56"/>
      <c r="AV59" s="56">
        <f t="shared" si="8"/>
        <v>988500.2</v>
      </c>
      <c r="AW59" s="56"/>
      <c r="AX59" s="106">
        <v>-96945</v>
      </c>
      <c r="AY59" s="56"/>
      <c r="AZ59" s="88">
        <v>963259</v>
      </c>
      <c r="BA59" s="56">
        <v>977476</v>
      </c>
      <c r="BB59" s="214"/>
      <c r="BC59" s="56"/>
      <c r="BD59" s="84">
        <f t="shared" si="9"/>
        <v>-84617.780000000028</v>
      </c>
      <c r="BE59" s="56"/>
      <c r="BF59" s="56"/>
      <c r="BG59" s="56"/>
      <c r="BH59" s="72">
        <v>1</v>
      </c>
      <c r="BJ59">
        <v>1</v>
      </c>
    </row>
    <row r="60" spans="1:62" ht="20.100000000000001" customHeight="1" outlineLevel="1">
      <c r="A60" s="77" t="s">
        <v>43</v>
      </c>
      <c r="B60" s="77" t="s">
        <v>311</v>
      </c>
      <c r="C60" s="77" t="str">
        <f t="shared" si="5"/>
        <v>AE·</v>
      </c>
      <c r="D60" s="78" t="s">
        <v>46</v>
      </c>
      <c r="E60" s="78" t="str">
        <f t="shared" si="4"/>
        <v>000</v>
      </c>
      <c r="F60" s="130">
        <v>611916</v>
      </c>
      <c r="G60" s="4" t="s">
        <v>312</v>
      </c>
      <c r="I60" s="13">
        <v>0</v>
      </c>
      <c r="J60" s="13">
        <v>0</v>
      </c>
      <c r="L60" s="56">
        <v>0</v>
      </c>
      <c r="M60" s="56"/>
      <c r="N60" s="56"/>
      <c r="O60" s="56"/>
      <c r="P60" s="56"/>
      <c r="Q60" s="56"/>
      <c r="R60" s="56"/>
      <c r="S60" s="56"/>
      <c r="T60" s="56"/>
      <c r="U60" s="56"/>
      <c r="V60" s="56"/>
      <c r="X60" s="56">
        <v>0</v>
      </c>
      <c r="Z60" s="56">
        <v>832000</v>
      </c>
      <c r="AB60" s="56"/>
      <c r="AD60" s="56"/>
      <c r="AF60" s="56">
        <f t="shared" si="6"/>
        <v>832000</v>
      </c>
      <c r="AG60" s="104">
        <v>130250</v>
      </c>
      <c r="AH60" s="56">
        <f>17*1250</f>
        <v>21250</v>
      </c>
      <c r="AJ60" s="56">
        <f t="shared" si="7"/>
        <v>983500</v>
      </c>
      <c r="AK60" s="85"/>
      <c r="AL60" s="56">
        <v>0</v>
      </c>
      <c r="AN60" s="88">
        <v>941435.22</v>
      </c>
      <c r="AO60" s="88">
        <v>0</v>
      </c>
      <c r="AP60" s="88">
        <v>983430.78</v>
      </c>
      <c r="AR60" s="56">
        <v>0</v>
      </c>
      <c r="AT60" s="56">
        <v>0</v>
      </c>
      <c r="AV60" s="56">
        <f t="shared" si="8"/>
        <v>983430.78</v>
      </c>
      <c r="AW60" s="56"/>
      <c r="AX60" s="56">
        <v>0</v>
      </c>
      <c r="AY60" s="56"/>
      <c r="AZ60" s="88">
        <v>1038578</v>
      </c>
      <c r="BA60" s="56">
        <v>1038578</v>
      </c>
      <c r="BB60" s="214"/>
      <c r="BC60" s="56"/>
      <c r="BD60" s="84">
        <f t="shared" si="9"/>
        <v>41995.560000000056</v>
      </c>
      <c r="BE60" s="56"/>
      <c r="BF60" s="56"/>
      <c r="BG60" s="56"/>
      <c r="BH60" s="72">
        <v>1</v>
      </c>
      <c r="BJ60">
        <v>1</v>
      </c>
    </row>
    <row r="61" spans="1:62">
      <c r="B61" s="77"/>
      <c r="C61" s="77"/>
      <c r="D61" s="90"/>
      <c r="E61" s="90"/>
      <c r="F61" s="3"/>
      <c r="G61" s="110" t="s">
        <v>313</v>
      </c>
      <c r="H61" s="81"/>
      <c r="I61" s="92">
        <v>33874927</v>
      </c>
      <c r="J61" s="93">
        <v>34331816</v>
      </c>
      <c r="L61" s="125">
        <v>39119359</v>
      </c>
      <c r="M61" s="126"/>
      <c r="N61" s="125">
        <v>41473212</v>
      </c>
      <c r="O61" s="126"/>
      <c r="P61" s="125">
        <v>41476109</v>
      </c>
      <c r="Q61" s="126"/>
      <c r="R61" s="125">
        <v>44114639</v>
      </c>
      <c r="S61" s="95"/>
      <c r="T61" s="94">
        <v>0</v>
      </c>
      <c r="U61" s="126"/>
      <c r="V61" s="125">
        <v>44114639</v>
      </c>
      <c r="W61" s="126"/>
      <c r="X61" s="125">
        <f>SUBTOTAL(9,X11:X60)</f>
        <v>43872107.889999993</v>
      </c>
      <c r="Y61" s="126"/>
      <c r="Z61" s="125">
        <f>SUBTOTAL(9,Z11:Z60)</f>
        <v>44670272.5</v>
      </c>
      <c r="AA61" s="126"/>
      <c r="AB61" s="125">
        <f>SUBTOTAL(9,AB11:AB60)</f>
        <v>0</v>
      </c>
      <c r="AC61" s="126"/>
      <c r="AD61" s="125">
        <f>SUBTOTAL(9,AD11:AD60)</f>
        <v>6127</v>
      </c>
      <c r="AE61" s="126"/>
      <c r="AF61" s="125">
        <f>SUBTOTAL(9,AF11:AF60)</f>
        <v>44676399.5</v>
      </c>
      <c r="AG61" s="125">
        <f>SUBTOTAL(9,AG11:AG60)</f>
        <v>1099372</v>
      </c>
      <c r="AH61" s="125">
        <f>SUBTOTAL(9,AH11:AH60)</f>
        <v>1331250</v>
      </c>
      <c r="AI61" s="126"/>
      <c r="AJ61" s="125">
        <f>SUBTOTAL(9,AJ11:AJ60)</f>
        <v>47107021.5</v>
      </c>
      <c r="AK61" s="96"/>
      <c r="AL61" s="125">
        <f>SUBTOTAL(9,AL11:AL60)</f>
        <v>-16000</v>
      </c>
      <c r="AM61" s="126"/>
      <c r="AN61" s="127">
        <f>SUBTOTAL(9,AN11:AN60)</f>
        <v>46441519.019999988</v>
      </c>
      <c r="AO61" s="127">
        <f>SUBTOTAL(9,AO11:AO60)</f>
        <v>0</v>
      </c>
      <c r="AP61" s="127">
        <f>SUBTOTAL(9,AP11:AP60)</f>
        <v>43987330.199999988</v>
      </c>
      <c r="AQ61" s="126"/>
      <c r="AR61" s="125">
        <f>SUBTOTAL(9,AR11:AR60)</f>
        <v>0</v>
      </c>
      <c r="AS61" s="126"/>
      <c r="AT61" s="125">
        <f>SUBTOTAL(9,AT11:AT60)</f>
        <v>24095.71</v>
      </c>
      <c r="AU61" s="126"/>
      <c r="AV61" s="125">
        <f>SUBTOTAL(9,AV11:AV60)</f>
        <v>44011425.909999989</v>
      </c>
      <c r="AW61" s="126"/>
      <c r="AX61" s="125">
        <f>SUBTOTAL(9,AX11:AX60)</f>
        <v>2370</v>
      </c>
      <c r="AY61" s="126"/>
      <c r="AZ61" s="127">
        <f>SUBTOTAL(9,AZ11:AZ60)</f>
        <v>41500078</v>
      </c>
      <c r="BA61" s="125">
        <f>SUBTOTAL(9,BA11:BA60)</f>
        <v>42801615</v>
      </c>
      <c r="BB61" s="214"/>
      <c r="BC61" s="56"/>
      <c r="BD61" s="98">
        <f t="shared" si="9"/>
        <v>-2454188.8200000003</v>
      </c>
      <c r="BE61" s="126"/>
      <c r="BF61" s="126"/>
      <c r="BG61" s="126"/>
    </row>
    <row r="62" spans="1:62" ht="10.5" customHeight="1">
      <c r="A62" s="77"/>
      <c r="B62" s="77"/>
      <c r="C62" s="77"/>
      <c r="D62" s="90"/>
      <c r="E62" s="90"/>
      <c r="F62" s="3"/>
      <c r="G62" s="80"/>
      <c r="H62" s="87"/>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5"/>
      <c r="AL62" s="83"/>
      <c r="AM62" s="83"/>
      <c r="AN62" s="100"/>
      <c r="AO62" s="100"/>
      <c r="AP62" s="100"/>
      <c r="AQ62" s="83"/>
      <c r="AR62" s="83"/>
      <c r="AS62" s="83"/>
      <c r="AT62" s="83"/>
      <c r="AU62" s="83"/>
      <c r="AV62" s="83"/>
      <c r="AW62" s="83"/>
      <c r="AX62" s="83"/>
      <c r="AY62" s="83"/>
      <c r="AZ62" s="100"/>
      <c r="BA62" s="83"/>
      <c r="BB62" s="34"/>
      <c r="BC62" s="56"/>
      <c r="BD62" s="83"/>
      <c r="BE62" s="83"/>
      <c r="BF62" s="83"/>
      <c r="BG62" s="83"/>
      <c r="BH62" s="19"/>
    </row>
    <row r="63" spans="1:62">
      <c r="A63" s="215" t="s">
        <v>1125</v>
      </c>
      <c r="BI63" s="211"/>
      <c r="BJ63" s="7"/>
    </row>
    <row r="64" spans="1:62">
      <c r="A64" s="39" t="s">
        <v>1126</v>
      </c>
    </row>
  </sheetData>
  <autoFilter ref="A9:BH62"/>
  <mergeCells count="8">
    <mergeCell ref="A8:E8"/>
    <mergeCell ref="AG2:AH2"/>
    <mergeCell ref="AG3:AH3"/>
    <mergeCell ref="AG4:AH4"/>
    <mergeCell ref="AB4:AD4"/>
    <mergeCell ref="A6:F6"/>
    <mergeCell ref="A7:F7"/>
    <mergeCell ref="AB5:AD5"/>
  </mergeCells>
  <phoneticPr fontId="3" type="noConversion"/>
  <conditionalFormatting sqref="F61:F65536 F1:F59">
    <cfRule type="cellIs" dxfId="32" priority="1" stopIfTrue="1" operator="between">
      <formula>610000</formula>
      <formula>619999</formula>
    </cfRule>
  </conditionalFormatting>
  <pageMargins left="0.54" right="0.25" top="0.24" bottom="0.49" header="0.25" footer="0"/>
  <pageSetup scale="76" fitToHeight="0" orientation="landscape" r:id="rId1"/>
  <headerFooter alignWithMargins="0">
    <oddFooter>&amp;C&amp;8Detail of Expenditures Budget By Department, Page &amp;P of &amp;N</oddFooter>
  </headerFooter>
  <legacyDrawing r:id="rId2"/>
</worksheet>
</file>

<file path=xl/worksheets/sheet6.xml><?xml version="1.0" encoding="utf-8"?>
<worksheet xmlns="http://schemas.openxmlformats.org/spreadsheetml/2006/main" xmlns:r="http://schemas.openxmlformats.org/officeDocument/2006/relationships">
  <sheetPr codeName="Sheet8" enableFormatConditionsCalculation="0">
    <tabColor indexed="17"/>
    <pageSetUpPr fitToPage="1"/>
  </sheetPr>
  <dimension ref="A1:BI27"/>
  <sheetViews>
    <sheetView zoomScale="87" zoomScaleNormal="90" workbookViewId="0">
      <pane xSplit="8" ySplit="9" topLeftCell="AN10" activePane="bottomRight" state="frozen"/>
      <selection activeCell="A28" sqref="A28"/>
      <selection pane="topRight" activeCell="A28" sqref="A28"/>
      <selection pane="bottomLeft" activeCell="A28" sqref="A28"/>
      <selection pane="bottomRight"/>
    </sheetView>
  </sheetViews>
  <sheetFormatPr defaultRowHeight="12.75" outlineLevelRow="1" outlineLevelCol="1"/>
  <cols>
    <col min="1" max="1" width="7" style="39" customWidth="1" outlineLevel="1"/>
    <col min="2" max="2" width="6.140625" style="39" customWidth="1" outlineLevel="1"/>
    <col min="3" max="3" width="3.7109375" style="39" customWidth="1" outlineLevel="1"/>
    <col min="4" max="5" width="4.85546875" style="168" customWidth="1" outlineLevel="1"/>
    <col min="6" max="6" width="8.7109375" style="40" customWidth="1" outlineLevel="1"/>
    <col min="7" max="7" width="28.5703125" style="4" customWidth="1"/>
    <col min="8" max="8" width="16.5703125" style="4" hidden="1" customWidth="1"/>
    <col min="9" max="10" width="15.140625" style="4" hidden="1" customWidth="1" collapsed="1"/>
    <col min="11" max="11" width="39.5703125" style="4" hidden="1" customWidth="1"/>
    <col min="12" max="12" width="15.140625" style="7" bestFit="1" customWidth="1" collapsed="1"/>
    <col min="13" max="13" width="31.7109375" style="7" hidden="1" customWidth="1"/>
    <col min="14" max="14" width="35.5703125" style="7" hidden="1" customWidth="1" collapsed="1"/>
    <col min="15" max="15" width="0.140625" style="7" customWidth="1"/>
    <col min="16" max="16" width="25.28515625" style="7" hidden="1" customWidth="1" outlineLevel="1" collapsed="1"/>
    <col min="17" max="17" width="23.42578125" style="7" hidden="1" customWidth="1" outlineLevel="1"/>
    <col min="18" max="18" width="20.5703125" style="7" hidden="1" customWidth="1" outlineLevel="1" collapsed="1"/>
    <col min="19" max="19" width="18" style="7" hidden="1" customWidth="1" outlineLevel="1"/>
    <col min="20" max="20" width="19.5703125" style="7" hidden="1" customWidth="1" outlineLevel="1"/>
    <col min="21" max="21" width="18.42578125" style="7" hidden="1" customWidth="1" outlineLevel="1"/>
    <col min="22" max="22" width="13.140625" style="7" hidden="1" customWidth="1"/>
    <col min="23" max="23" width="14.140625" style="7" hidden="1" customWidth="1"/>
    <col min="24" max="24" width="14.5703125" style="7" customWidth="1" collapsed="1"/>
    <col min="25" max="25" width="0.85546875" style="7" hidden="1" customWidth="1"/>
    <col min="26" max="26" width="16.140625" style="7" hidden="1" customWidth="1"/>
    <col min="27" max="27" width="0.140625" style="7" hidden="1" customWidth="1"/>
    <col min="28" max="28" width="16.140625" style="7" hidden="1" customWidth="1" outlineLevel="1"/>
    <col min="29" max="29" width="0.42578125" style="7" hidden="1" customWidth="1" outlineLevel="1"/>
    <col min="30" max="30" width="17.85546875" style="7" hidden="1" customWidth="1" outlineLevel="1"/>
    <col min="31" max="31" width="0.42578125" style="7" hidden="1" customWidth="1" outlineLevel="1"/>
    <col min="32" max="32" width="16.140625" style="7" hidden="1" customWidth="1" collapsed="1"/>
    <col min="33" max="33" width="16" style="7" hidden="1" customWidth="1" outlineLevel="1"/>
    <col min="34" max="34" width="17" style="7" hidden="1" customWidth="1" outlineLevel="1"/>
    <col min="35" max="35" width="10.5703125" style="7" hidden="1" customWidth="1" outlineLevel="1"/>
    <col min="36" max="36" width="16.140625" style="7" hidden="1" customWidth="1" collapsed="1"/>
    <col min="37" max="37" width="0.7109375" style="7" hidden="1" customWidth="1"/>
    <col min="38" max="38" width="16.140625" style="7" hidden="1" customWidth="1" outlineLevel="1"/>
    <col min="39" max="39" width="4.140625" style="7" hidden="1" customWidth="1" outlineLevel="1"/>
    <col min="40" max="40" width="16.140625" style="17" customWidth="1" collapsed="1"/>
    <col min="41" max="41" width="16.140625" style="17" hidden="1" customWidth="1" collapsed="1"/>
    <col min="42" max="42" width="16.140625" style="17" customWidth="1" collapsed="1"/>
    <col min="43" max="43" width="0.7109375" style="7" hidden="1" customWidth="1" outlineLevel="1"/>
    <col min="44" max="44" width="22.140625" style="7" hidden="1" customWidth="1" outlineLevel="1"/>
    <col min="45" max="45" width="0.42578125" style="7" hidden="1" customWidth="1" outlineLevel="1"/>
    <col min="46" max="46" width="17.85546875" style="7" hidden="1" customWidth="1" outlineLevel="1"/>
    <col min="47" max="47" width="0.42578125" style="7" hidden="1" customWidth="1" outlineLevel="1"/>
    <col min="48" max="48" width="18" style="7" hidden="1" customWidth="1" collapsed="1"/>
    <col min="49" max="49" width="0.5703125" style="7" hidden="1" customWidth="1"/>
    <col min="50" max="50" width="18" style="7" hidden="1" customWidth="1"/>
    <col min="51" max="51" width="0.5703125" style="7" customWidth="1"/>
    <col min="52" max="52" width="15.140625" style="7" customWidth="1"/>
    <col min="53" max="53" width="15.7109375" style="7" bestFit="1" customWidth="1"/>
    <col min="54" max="54" width="15.140625" style="7" customWidth="1"/>
    <col min="55" max="55" width="23.140625" style="7" customWidth="1"/>
    <col min="56" max="56" width="19.85546875" style="7" bestFit="1" customWidth="1"/>
    <col min="57" max="59" width="12.42578125" style="7" customWidth="1"/>
    <col min="60" max="60" width="3.85546875" style="76" customWidth="1"/>
    <col min="61" max="61" width="14.5703125" style="12" bestFit="1" customWidth="1"/>
  </cols>
  <sheetData>
    <row r="1" spans="1:61" ht="15">
      <c r="A1" s="1" t="s">
        <v>0</v>
      </c>
      <c r="B1" s="2"/>
      <c r="C1" s="2"/>
      <c r="D1" s="1"/>
      <c r="E1" s="1"/>
      <c r="F1" s="3"/>
      <c r="H1" s="5"/>
      <c r="I1" s="6"/>
      <c r="T1" s="8"/>
      <c r="Z1" s="9"/>
      <c r="AB1" s="9"/>
      <c r="AD1" s="9"/>
      <c r="AF1" s="9"/>
      <c r="AH1" s="10" t="e">
        <f>+#REF!</f>
        <v>#REF!</v>
      </c>
      <c r="AJ1" s="9"/>
      <c r="AK1" s="9"/>
      <c r="AN1" s="9"/>
      <c r="AO1" s="9"/>
      <c r="AP1" s="9"/>
      <c r="AR1" s="9"/>
      <c r="AT1" s="9"/>
      <c r="AV1" s="9"/>
      <c r="AW1" s="9"/>
      <c r="AX1" s="9"/>
      <c r="AY1" s="9"/>
      <c r="AZ1" s="9"/>
      <c r="BA1" s="9"/>
      <c r="BB1" s="9"/>
      <c r="BC1" s="9"/>
      <c r="BD1" s="9"/>
      <c r="BE1" s="9"/>
      <c r="BF1" s="9"/>
      <c r="BG1" s="9"/>
      <c r="BH1" s="11"/>
    </row>
    <row r="2" spans="1:61" ht="15">
      <c r="A2" s="1" t="s">
        <v>1053</v>
      </c>
      <c r="B2" s="2"/>
      <c r="C2" s="2"/>
      <c r="D2" s="1"/>
      <c r="E2" s="1"/>
      <c r="F2" s="3"/>
      <c r="H2" s="5"/>
      <c r="I2" s="13"/>
      <c r="J2" s="14"/>
      <c r="K2" s="14"/>
      <c r="L2" s="15"/>
      <c r="M2" s="15"/>
      <c r="N2" s="15"/>
      <c r="O2" s="15"/>
      <c r="P2" s="15"/>
      <c r="R2" s="15"/>
      <c r="T2" s="8"/>
      <c r="V2" s="15"/>
      <c r="X2" s="15"/>
      <c r="Z2" s="15"/>
      <c r="AB2" s="15"/>
      <c r="AD2" s="15"/>
      <c r="AF2" s="15"/>
      <c r="AG2" s="238" t="s">
        <v>1</v>
      </c>
      <c r="AH2" s="238"/>
      <c r="AI2" s="17"/>
      <c r="AJ2" s="18"/>
      <c r="AK2" s="15"/>
      <c r="AL2" s="10" t="e">
        <f>+#REF!</f>
        <v>#REF!</v>
      </c>
      <c r="AN2" s="18"/>
      <c r="AO2" s="18"/>
      <c r="AP2" s="18"/>
      <c r="AR2" s="15"/>
      <c r="AT2" s="15"/>
      <c r="AV2" s="15"/>
      <c r="AW2" s="15"/>
      <c r="AX2" s="15"/>
      <c r="AY2" s="15"/>
      <c r="AZ2" s="15"/>
      <c r="BA2" s="15"/>
      <c r="BB2" s="15"/>
      <c r="BC2" s="15"/>
      <c r="BD2" s="15"/>
      <c r="BE2" s="15"/>
      <c r="BF2" s="15"/>
      <c r="BG2" s="15"/>
      <c r="BH2" s="19"/>
    </row>
    <row r="3" spans="1:61">
      <c r="A3" s="20" t="str">
        <f>IF(G7=1,"DETAIL OF EXPENDITURES BUDGET BY DEPARTMENT WITH COMPARATIVE AMOUNTS", "SUMMARY OF EXPENDITURES BUDGET BY DEPARTMENT WITH COMPARATIVE AMOUNTS")</f>
        <v>DETAIL OF EXPENDITURES BUDGET BY DEPARTMENT WITH COMPARATIVE AMOUNTS</v>
      </c>
      <c r="B3" s="21"/>
      <c r="C3" s="21"/>
      <c r="D3" s="22"/>
      <c r="E3" s="22"/>
      <c r="F3" s="3"/>
      <c r="H3" s="5"/>
      <c r="I3" s="23"/>
      <c r="J3" s="15"/>
      <c r="L3" s="15"/>
      <c r="M3" s="10"/>
      <c r="N3" s="10"/>
      <c r="O3" s="10"/>
      <c r="P3" s="24"/>
      <c r="R3" s="24"/>
      <c r="V3" s="24"/>
      <c r="W3" s="24"/>
      <c r="X3" s="15"/>
      <c r="Y3" s="24"/>
      <c r="AA3" s="24"/>
      <c r="AB3" s="24" t="e">
        <f>+#REF!</f>
        <v>#REF!</v>
      </c>
      <c r="AC3" s="24"/>
      <c r="AD3" s="24" t="e">
        <f>+#REF!</f>
        <v>#REF!</v>
      </c>
      <c r="AE3" s="24"/>
      <c r="AF3" s="10" t="e">
        <f>+#REF!</f>
        <v>#REF!</v>
      </c>
      <c r="AG3" s="239" t="s">
        <v>2</v>
      </c>
      <c r="AH3" s="239"/>
      <c r="AI3" s="25"/>
      <c r="AJ3" s="25" t="e">
        <f>+#REF!</f>
        <v>#REF!</v>
      </c>
      <c r="AK3" s="24"/>
      <c r="AL3" s="16" t="s">
        <v>1</v>
      </c>
      <c r="AM3" s="25"/>
      <c r="AN3" s="25"/>
      <c r="AO3" s="25"/>
      <c r="AP3" s="25"/>
      <c r="AQ3" s="24"/>
      <c r="AR3" s="24" t="e">
        <f>+#REF!</f>
        <v>#REF!</v>
      </c>
      <c r="AS3" s="24"/>
      <c r="AT3" s="24" t="e">
        <f>+#REF!</f>
        <v>#REF!</v>
      </c>
      <c r="AU3" s="24"/>
      <c r="AV3" s="24" t="e">
        <f>+#REF!</f>
        <v>#REF!</v>
      </c>
      <c r="AW3" s="24"/>
      <c r="AX3" s="24" t="e">
        <f>+#REF!</f>
        <v>#REF!</v>
      </c>
      <c r="AY3" s="24"/>
      <c r="AZ3" s="24"/>
      <c r="BA3" s="24"/>
      <c r="BB3" s="24"/>
      <c r="BC3" s="24"/>
      <c r="BD3" s="26"/>
      <c r="BE3" s="26"/>
      <c r="BF3" s="26"/>
      <c r="BG3" s="26"/>
      <c r="BH3" s="27"/>
    </row>
    <row r="4" spans="1:61" ht="15">
      <c r="A4" s="28" t="s">
        <v>1070</v>
      </c>
      <c r="B4" s="29"/>
      <c r="C4" s="29"/>
      <c r="D4" s="28"/>
      <c r="E4" s="28"/>
      <c r="F4" s="3"/>
      <c r="H4" s="30"/>
      <c r="I4" s="31" t="e">
        <f>+#REF!</f>
        <v>#REF!</v>
      </c>
      <c r="J4" s="31" t="e">
        <f>+#REF!</f>
        <v>#REF!</v>
      </c>
      <c r="L4" s="31"/>
      <c r="M4" s="32"/>
      <c r="N4" s="33"/>
      <c r="O4" s="32"/>
      <c r="P4" s="33"/>
      <c r="R4" s="33"/>
      <c r="T4" s="33"/>
      <c r="X4" s="31"/>
      <c r="Z4" s="10"/>
      <c r="AB4" s="241"/>
      <c r="AC4" s="241"/>
      <c r="AD4" s="241"/>
      <c r="AE4" s="35"/>
      <c r="AF4" s="34"/>
      <c r="AG4" s="240"/>
      <c r="AH4" s="240"/>
      <c r="AI4" s="17"/>
      <c r="AJ4" s="16"/>
      <c r="AK4" s="24"/>
      <c r="AL4" s="16"/>
      <c r="AM4" s="17"/>
      <c r="AN4" s="31"/>
      <c r="AO4" s="31"/>
      <c r="AP4" s="31"/>
      <c r="AR4" s="34" t="s">
        <v>5</v>
      </c>
      <c r="AU4" s="35"/>
      <c r="AV4" s="34"/>
      <c r="AW4" s="34"/>
      <c r="AX4" s="34" t="s">
        <v>5</v>
      </c>
      <c r="AY4" s="34"/>
      <c r="AZ4" s="34"/>
      <c r="BA4" s="34"/>
      <c r="BB4" s="34"/>
      <c r="BC4" s="34"/>
      <c r="BD4" s="37"/>
      <c r="BE4" s="37"/>
      <c r="BF4" s="37"/>
      <c r="BG4" s="37"/>
      <c r="BH4" s="38"/>
    </row>
    <row r="5" spans="1:61" ht="15">
      <c r="B5" s="29"/>
      <c r="C5" s="29"/>
      <c r="D5" s="28"/>
      <c r="E5" s="28"/>
      <c r="G5" s="28"/>
      <c r="H5" s="5"/>
      <c r="I5" s="41" t="s">
        <v>6</v>
      </c>
      <c r="J5" s="42" t="s">
        <v>7</v>
      </c>
      <c r="L5" s="16" t="s">
        <v>8</v>
      </c>
      <c r="M5" s="16"/>
      <c r="N5" s="16" t="s">
        <v>9</v>
      </c>
      <c r="O5" s="16"/>
      <c r="P5" s="16" t="s">
        <v>9</v>
      </c>
      <c r="Q5" s="17"/>
      <c r="R5" s="43"/>
      <c r="S5" s="17"/>
      <c r="T5" s="16"/>
      <c r="U5" s="17"/>
      <c r="V5" s="16" t="s">
        <v>9</v>
      </c>
      <c r="X5" s="16" t="s">
        <v>9</v>
      </c>
      <c r="Z5" s="34" t="s">
        <v>1</v>
      </c>
      <c r="AB5" s="243" t="s">
        <v>10</v>
      </c>
      <c r="AC5" s="243"/>
      <c r="AD5" s="243"/>
      <c r="AE5" s="35"/>
      <c r="AF5" s="34" t="s">
        <v>1</v>
      </c>
      <c r="AG5" s="17"/>
      <c r="AH5" s="16" t="s">
        <v>11</v>
      </c>
      <c r="AI5" s="17"/>
      <c r="AJ5" s="16" t="s">
        <v>1</v>
      </c>
      <c r="AK5" s="24"/>
      <c r="AL5" s="43" t="s">
        <v>12</v>
      </c>
      <c r="AM5" s="17"/>
      <c r="AN5" s="16" t="s">
        <v>1</v>
      </c>
      <c r="AO5" s="45" t="s">
        <v>1</v>
      </c>
      <c r="AP5" s="46" t="s">
        <v>5</v>
      </c>
      <c r="AQ5" s="47"/>
      <c r="AR5" s="48" t="s">
        <v>10</v>
      </c>
      <c r="AS5" s="47"/>
      <c r="AT5" s="47"/>
      <c r="AU5" s="47"/>
      <c r="AV5" s="46" t="s">
        <v>5</v>
      </c>
      <c r="AW5" s="34"/>
      <c r="AX5" s="49" t="s">
        <v>3</v>
      </c>
      <c r="AY5" s="34"/>
      <c r="AZ5" s="46" t="s">
        <v>1054</v>
      </c>
      <c r="BA5" s="46" t="s">
        <v>1054</v>
      </c>
      <c r="BB5" s="34" t="s">
        <v>1069</v>
      </c>
      <c r="BC5" s="34"/>
      <c r="BD5" s="50" t="s">
        <v>13</v>
      </c>
      <c r="BE5" s="37"/>
      <c r="BF5" s="37"/>
      <c r="BG5" s="37"/>
      <c r="BH5" s="51"/>
    </row>
    <row r="6" spans="1:61">
      <c r="A6" s="242"/>
      <c r="B6" s="242"/>
      <c r="C6" s="242"/>
      <c r="D6" s="242"/>
      <c r="E6" s="242"/>
      <c r="F6" s="242"/>
      <c r="G6" s="22"/>
      <c r="H6" s="5"/>
      <c r="I6" s="52" t="s">
        <v>14</v>
      </c>
      <c r="J6" s="52" t="s">
        <v>14</v>
      </c>
      <c r="L6" s="43" t="s">
        <v>14</v>
      </c>
      <c r="M6" s="43"/>
      <c r="N6" s="43" t="s">
        <v>15</v>
      </c>
      <c r="O6" s="43"/>
      <c r="P6" s="43" t="s">
        <v>4</v>
      </c>
      <c r="Q6" s="17"/>
      <c r="R6" s="43" t="s">
        <v>4</v>
      </c>
      <c r="S6" s="43"/>
      <c r="T6" s="43" t="s">
        <v>16</v>
      </c>
      <c r="U6" s="43"/>
      <c r="V6" s="43" t="s">
        <v>4</v>
      </c>
      <c r="W6" s="43"/>
      <c r="X6" s="43" t="s">
        <v>14</v>
      </c>
      <c r="Y6" s="43"/>
      <c r="Z6" s="34" t="s">
        <v>17</v>
      </c>
      <c r="AA6" s="43"/>
      <c r="AB6" s="53" t="s">
        <v>16</v>
      </c>
      <c r="AC6" s="53"/>
      <c r="AD6" s="34"/>
      <c r="AE6" s="53"/>
      <c r="AF6" s="34" t="s">
        <v>17</v>
      </c>
      <c r="AG6" s="43" t="s">
        <v>16</v>
      </c>
      <c r="AH6" s="16" t="s">
        <v>18</v>
      </c>
      <c r="AI6" s="43"/>
      <c r="AJ6" s="16" t="s">
        <v>19</v>
      </c>
      <c r="AK6" s="24"/>
      <c r="AL6" s="43" t="s">
        <v>16</v>
      </c>
      <c r="AM6" s="43"/>
      <c r="AN6" s="43" t="s">
        <v>14</v>
      </c>
      <c r="AO6" s="45" t="s">
        <v>20</v>
      </c>
      <c r="AP6" s="43" t="s">
        <v>14</v>
      </c>
      <c r="AQ6" s="54"/>
      <c r="AR6" s="54" t="s">
        <v>16</v>
      </c>
      <c r="AS6" s="54"/>
      <c r="AT6" s="46"/>
      <c r="AU6" s="54"/>
      <c r="AV6" s="46" t="s">
        <v>19</v>
      </c>
      <c r="AW6" s="34"/>
      <c r="AX6" s="55" t="s">
        <v>16</v>
      </c>
      <c r="AY6" s="34"/>
      <c r="AZ6" s="46" t="s">
        <v>17</v>
      </c>
      <c r="BA6" s="46" t="s">
        <v>17</v>
      </c>
      <c r="BB6" s="34" t="s">
        <v>19</v>
      </c>
      <c r="BC6" s="56"/>
      <c r="BD6" s="50" t="s">
        <v>21</v>
      </c>
      <c r="BE6" s="37"/>
      <c r="BF6" s="37"/>
      <c r="BG6" s="37"/>
      <c r="BH6" s="57"/>
    </row>
    <row r="7" spans="1:61" ht="15">
      <c r="A7" s="237"/>
      <c r="B7" s="237"/>
      <c r="C7" s="237"/>
      <c r="D7" s="237"/>
      <c r="E7" s="237"/>
      <c r="F7" s="237"/>
      <c r="G7" s="59">
        <v>1</v>
      </c>
      <c r="H7" s="60"/>
      <c r="I7" s="52" t="s">
        <v>22</v>
      </c>
      <c r="J7" s="52" t="s">
        <v>22</v>
      </c>
      <c r="L7" s="43" t="s">
        <v>22</v>
      </c>
      <c r="M7" s="43"/>
      <c r="N7" s="43" t="s">
        <v>23</v>
      </c>
      <c r="O7" s="43"/>
      <c r="P7" s="43" t="s">
        <v>24</v>
      </c>
      <c r="Q7" s="43"/>
      <c r="R7" s="43" t="s">
        <v>24</v>
      </c>
      <c r="S7" s="43"/>
      <c r="T7" s="43" t="s">
        <v>25</v>
      </c>
      <c r="U7" s="43"/>
      <c r="V7" s="43" t="s">
        <v>24</v>
      </c>
      <c r="W7" s="43"/>
      <c r="X7" s="43" t="s">
        <v>22</v>
      </c>
      <c r="Y7" s="43"/>
      <c r="Z7" s="53" t="s">
        <v>15</v>
      </c>
      <c r="AA7" s="43"/>
      <c r="AB7" s="53" t="s">
        <v>26</v>
      </c>
      <c r="AC7" s="53"/>
      <c r="AD7" s="53"/>
      <c r="AE7" s="53"/>
      <c r="AF7" s="53" t="s">
        <v>4</v>
      </c>
      <c r="AG7" s="43" t="s">
        <v>26</v>
      </c>
      <c r="AH7" s="43" t="s">
        <v>27</v>
      </c>
      <c r="AI7" s="43"/>
      <c r="AJ7" s="43" t="s">
        <v>4</v>
      </c>
      <c r="AK7" s="24"/>
      <c r="AL7" s="43" t="s">
        <v>26</v>
      </c>
      <c r="AM7" s="43"/>
      <c r="AN7" s="43" t="s">
        <v>22</v>
      </c>
      <c r="AO7" s="61" t="s">
        <v>22</v>
      </c>
      <c r="AP7" s="43" t="s">
        <v>22</v>
      </c>
      <c r="AQ7" s="54"/>
      <c r="AR7" s="54" t="s">
        <v>26</v>
      </c>
      <c r="AS7" s="54"/>
      <c r="AT7" s="54"/>
      <c r="AU7" s="54"/>
      <c r="AV7" s="54" t="s">
        <v>4</v>
      </c>
      <c r="AW7" s="53"/>
      <c r="AX7" s="55" t="s">
        <v>26</v>
      </c>
      <c r="AY7" s="53"/>
      <c r="AZ7" s="46" t="s">
        <v>15</v>
      </c>
      <c r="BA7" s="54" t="s">
        <v>4</v>
      </c>
      <c r="BB7" s="34" t="s">
        <v>15</v>
      </c>
      <c r="BC7" s="56"/>
      <c r="BD7" s="50" t="s">
        <v>28</v>
      </c>
      <c r="BE7" s="62"/>
      <c r="BF7" s="62"/>
      <c r="BG7" s="62"/>
      <c r="BH7" s="57"/>
      <c r="BI7" s="63"/>
    </row>
    <row r="8" spans="1:61" ht="15">
      <c r="A8" s="237" t="s">
        <v>29</v>
      </c>
      <c r="B8" s="237"/>
      <c r="C8" s="237"/>
      <c r="D8" s="237"/>
      <c r="E8" s="237"/>
      <c r="F8" s="64" t="s">
        <v>30</v>
      </c>
      <c r="G8" s="64" t="s">
        <v>31</v>
      </c>
      <c r="H8" s="60"/>
      <c r="I8" s="65" t="s">
        <v>32</v>
      </c>
      <c r="J8" s="65" t="s">
        <v>32</v>
      </c>
      <c r="L8" s="66" t="s">
        <v>32</v>
      </c>
      <c r="M8" s="36"/>
      <c r="N8" s="36" t="s">
        <v>2</v>
      </c>
      <c r="O8" s="36"/>
      <c r="P8" s="36" t="s">
        <v>33</v>
      </c>
      <c r="Q8" s="36"/>
      <c r="R8" s="36" t="s">
        <v>34</v>
      </c>
      <c r="S8" s="36"/>
      <c r="T8" s="36" t="s">
        <v>35</v>
      </c>
      <c r="U8" s="36"/>
      <c r="V8" s="36" t="s">
        <v>36</v>
      </c>
      <c r="W8" s="36"/>
      <c r="X8" s="66" t="s">
        <v>32</v>
      </c>
      <c r="Y8" s="36"/>
      <c r="Z8" s="44" t="s">
        <v>24</v>
      </c>
      <c r="AA8" s="36"/>
      <c r="AB8" s="44" t="s">
        <v>35</v>
      </c>
      <c r="AC8" s="44"/>
      <c r="AD8" s="44" t="s">
        <v>37</v>
      </c>
      <c r="AE8" s="44"/>
      <c r="AF8" s="44" t="s">
        <v>38</v>
      </c>
      <c r="AG8" s="36" t="s">
        <v>35</v>
      </c>
      <c r="AH8" s="36" t="s">
        <v>39</v>
      </c>
      <c r="AI8" s="36"/>
      <c r="AJ8" s="36" t="s">
        <v>40</v>
      </c>
      <c r="AK8" s="24"/>
      <c r="AL8" s="36" t="s">
        <v>35</v>
      </c>
      <c r="AM8" s="36"/>
      <c r="AN8" s="36" t="s">
        <v>32</v>
      </c>
      <c r="AO8" s="67" t="s">
        <v>32</v>
      </c>
      <c r="AP8" s="36" t="s">
        <v>32</v>
      </c>
      <c r="AQ8" s="48"/>
      <c r="AR8" s="48" t="s">
        <v>35</v>
      </c>
      <c r="AS8" s="48"/>
      <c r="AT8" s="48" t="s">
        <v>37</v>
      </c>
      <c r="AU8" s="48"/>
      <c r="AV8" s="48" t="s">
        <v>38</v>
      </c>
      <c r="AW8" s="44"/>
      <c r="AX8" s="49" t="s">
        <v>35</v>
      </c>
      <c r="AY8" s="44"/>
      <c r="AZ8" s="48" t="s">
        <v>2</v>
      </c>
      <c r="BA8" s="48" t="s">
        <v>40</v>
      </c>
      <c r="BB8" s="44" t="s">
        <v>2</v>
      </c>
      <c r="BC8" s="56"/>
      <c r="BD8" s="50" t="s">
        <v>41</v>
      </c>
      <c r="BE8" s="68"/>
      <c r="BF8" s="68"/>
      <c r="BG8" s="68"/>
      <c r="BH8" s="69"/>
    </row>
    <row r="9" spans="1:61" ht="15">
      <c r="A9" s="58"/>
      <c r="B9" s="58"/>
      <c r="C9" s="58"/>
      <c r="D9" s="64"/>
      <c r="E9" s="64"/>
      <c r="F9" s="64"/>
      <c r="G9" s="70"/>
      <c r="H9" s="60"/>
      <c r="J9" s="71"/>
      <c r="AK9" s="24"/>
      <c r="AZ9" s="34"/>
      <c r="BB9" s="34"/>
      <c r="BC9" s="56"/>
      <c r="BH9" s="72">
        <v>2</v>
      </c>
    </row>
    <row r="10" spans="1:61" ht="15" outlineLevel="1">
      <c r="A10" s="75" t="s">
        <v>1057</v>
      </c>
      <c r="B10" s="77"/>
      <c r="C10" s="77"/>
      <c r="D10" s="90"/>
      <c r="E10" s="90"/>
      <c r="F10" s="3"/>
      <c r="H10" s="87"/>
      <c r="L10" s="44"/>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5"/>
      <c r="AL10" s="83"/>
      <c r="AM10" s="83"/>
      <c r="AN10" s="100"/>
      <c r="AO10" s="100"/>
      <c r="AP10" s="100"/>
      <c r="AQ10" s="83"/>
      <c r="AR10" s="83"/>
      <c r="AS10" s="83"/>
      <c r="AT10" s="83"/>
      <c r="AU10" s="83"/>
      <c r="AV10" s="83"/>
      <c r="AW10" s="83"/>
      <c r="AX10" s="83"/>
      <c r="AY10" s="83"/>
      <c r="AZ10" s="83"/>
      <c r="BA10" s="83"/>
      <c r="BB10" s="83"/>
      <c r="BC10" s="56"/>
      <c r="BD10" s="83"/>
      <c r="BE10" s="83"/>
      <c r="BF10" s="83"/>
      <c r="BG10" s="83"/>
      <c r="BH10" s="19"/>
    </row>
    <row r="11" spans="1:61" ht="20.25" hidden="1" customHeight="1" outlineLevel="1">
      <c r="A11" s="77" t="s">
        <v>43</v>
      </c>
      <c r="B11" s="77" t="s">
        <v>203</v>
      </c>
      <c r="C11" s="77" t="s">
        <v>1079</v>
      </c>
      <c r="D11" s="78" t="s">
        <v>46</v>
      </c>
      <c r="E11" s="78" t="str">
        <f>+D11</f>
        <v>000</v>
      </c>
      <c r="F11" s="3">
        <v>661024</v>
      </c>
      <c r="G11" s="4" t="s">
        <v>1058</v>
      </c>
      <c r="H11" s="87"/>
      <c r="L11" s="82">
        <v>0</v>
      </c>
      <c r="M11" s="87"/>
      <c r="N11" s="87"/>
      <c r="O11" s="87"/>
      <c r="P11" s="87"/>
      <c r="Q11" s="87"/>
      <c r="R11" s="87"/>
      <c r="S11" s="87"/>
      <c r="T11" s="87"/>
      <c r="U11" s="87"/>
      <c r="V11" s="87"/>
      <c r="W11" s="87"/>
      <c r="X11" s="82">
        <v>0</v>
      </c>
      <c r="Y11" s="87"/>
      <c r="Z11" s="82">
        <v>0</v>
      </c>
      <c r="AA11" s="87"/>
      <c r="AB11" s="87"/>
      <c r="AC11" s="87"/>
      <c r="AD11" s="87"/>
      <c r="AE11" s="87"/>
      <c r="AF11" s="87"/>
      <c r="AG11" s="87"/>
      <c r="AH11" s="87"/>
      <c r="AI11" s="87"/>
      <c r="AJ11" s="87"/>
      <c r="AK11" s="87"/>
      <c r="AL11" s="87"/>
      <c r="AM11" s="87"/>
      <c r="AN11" s="131">
        <v>0</v>
      </c>
      <c r="AO11" s="100"/>
      <c r="AP11" s="100">
        <v>0</v>
      </c>
      <c r="AQ11" s="83"/>
      <c r="AR11" s="83"/>
      <c r="AS11" s="83"/>
      <c r="AT11" s="83"/>
      <c r="AU11" s="83"/>
      <c r="AV11" s="83"/>
      <c r="AW11" s="83"/>
      <c r="AX11" s="83"/>
      <c r="AY11" s="83"/>
      <c r="AZ11" s="83">
        <v>0</v>
      </c>
      <c r="BA11" s="83">
        <v>0</v>
      </c>
      <c r="BB11" s="213"/>
      <c r="BC11" s="56"/>
      <c r="BD11" s="83"/>
      <c r="BE11" s="83"/>
      <c r="BF11" s="83"/>
      <c r="BG11" s="83"/>
      <c r="BH11" s="19"/>
    </row>
    <row r="12" spans="1:61" ht="20.100000000000001" customHeight="1" outlineLevel="1">
      <c r="A12" s="77" t="s">
        <v>43</v>
      </c>
      <c r="B12" s="77" t="s">
        <v>203</v>
      </c>
      <c r="C12" s="77" t="str">
        <f>+C11</f>
        <v>AF·</v>
      </c>
      <c r="D12" s="78" t="s">
        <v>46</v>
      </c>
      <c r="E12" s="78" t="str">
        <f t="shared" ref="E12:E25" si="0">+D12</f>
        <v>000</v>
      </c>
      <c r="F12" s="3">
        <v>661026</v>
      </c>
      <c r="G12" s="102" t="s">
        <v>264</v>
      </c>
      <c r="H12" s="87"/>
      <c r="I12" s="82">
        <v>0</v>
      </c>
      <c r="J12" s="82">
        <v>0</v>
      </c>
      <c r="K12" s="87"/>
      <c r="L12" s="82">
        <v>0</v>
      </c>
      <c r="M12" s="87"/>
      <c r="N12" s="87"/>
      <c r="O12" s="87"/>
      <c r="P12" s="87"/>
      <c r="Q12" s="87"/>
      <c r="R12" s="87"/>
      <c r="S12" s="87"/>
      <c r="T12" s="87"/>
      <c r="U12" s="87"/>
      <c r="V12" s="87"/>
      <c r="W12" s="87"/>
      <c r="X12" s="82">
        <v>0</v>
      </c>
      <c r="Y12" s="87"/>
      <c r="Z12" s="82">
        <v>0</v>
      </c>
      <c r="AA12" s="87"/>
      <c r="AB12" s="87"/>
      <c r="AC12" s="87"/>
      <c r="AD12" s="87"/>
      <c r="AE12" s="87"/>
      <c r="AF12" s="87"/>
      <c r="AG12" s="87"/>
      <c r="AH12" s="87"/>
      <c r="AI12" s="87"/>
      <c r="AJ12" s="87"/>
      <c r="AK12" s="87"/>
      <c r="AL12" s="87"/>
      <c r="AM12" s="87"/>
      <c r="AN12" s="131">
        <v>0</v>
      </c>
      <c r="AO12" s="100">
        <v>0</v>
      </c>
      <c r="AP12" s="100">
        <f>75629.83+200</f>
        <v>75829.83</v>
      </c>
      <c r="AQ12" s="83"/>
      <c r="AR12" s="83">
        <v>0</v>
      </c>
      <c r="AS12" s="83"/>
      <c r="AT12" s="83">
        <v>0</v>
      </c>
      <c r="AU12" s="83"/>
      <c r="AV12" s="83">
        <f t="shared" ref="AV12:AV25" si="1">SUM(AP12:AU12)</f>
        <v>75829.83</v>
      </c>
      <c r="AW12" s="83"/>
      <c r="AX12" s="83">
        <v>0</v>
      </c>
      <c r="AY12" s="83"/>
      <c r="AZ12" s="83">
        <v>45000</v>
      </c>
      <c r="BA12" s="83">
        <v>43150</v>
      </c>
      <c r="BB12" s="214"/>
      <c r="BC12" s="56"/>
      <c r="BD12" s="84">
        <f t="shared" ref="BD12:BD26" si="2">+AP12-AN12</f>
        <v>75829.83</v>
      </c>
      <c r="BE12"/>
      <c r="BF12"/>
      <c r="BG12"/>
      <c r="BH12"/>
      <c r="BI12"/>
    </row>
    <row r="13" spans="1:61" ht="20.100000000000001" customHeight="1" outlineLevel="1">
      <c r="A13" s="77" t="s">
        <v>43</v>
      </c>
      <c r="B13" s="77" t="s">
        <v>203</v>
      </c>
      <c r="C13" s="77" t="str">
        <f t="shared" ref="C13:C25" si="3">+C12</f>
        <v>AF·</v>
      </c>
      <c r="D13" s="78" t="s">
        <v>46</v>
      </c>
      <c r="E13" s="78" t="str">
        <f t="shared" si="0"/>
        <v>000</v>
      </c>
      <c r="F13" s="3">
        <v>661027</v>
      </c>
      <c r="G13" s="102" t="s">
        <v>265</v>
      </c>
      <c r="H13" s="87"/>
      <c r="I13" s="87">
        <v>0</v>
      </c>
      <c r="J13" s="87">
        <v>0</v>
      </c>
      <c r="K13" s="87"/>
      <c r="L13" s="87">
        <v>0</v>
      </c>
      <c r="M13" s="87"/>
      <c r="N13" s="87"/>
      <c r="O13" s="87"/>
      <c r="P13" s="87"/>
      <c r="Q13" s="87"/>
      <c r="R13" s="87"/>
      <c r="S13" s="87"/>
      <c r="T13" s="87"/>
      <c r="U13" s="87"/>
      <c r="V13" s="87"/>
      <c r="W13" s="87"/>
      <c r="X13" s="87">
        <v>0</v>
      </c>
      <c r="Y13" s="87"/>
      <c r="Z13" s="87">
        <v>0</v>
      </c>
      <c r="AA13" s="87"/>
      <c r="AB13" s="87"/>
      <c r="AC13" s="87"/>
      <c r="AD13" s="87"/>
      <c r="AE13" s="87"/>
      <c r="AF13" s="87"/>
      <c r="AG13" s="87"/>
      <c r="AH13" s="87"/>
      <c r="AI13" s="87"/>
      <c r="AJ13" s="87"/>
      <c r="AK13" s="87"/>
      <c r="AL13" s="87"/>
      <c r="AM13" s="87"/>
      <c r="AN13" s="132">
        <v>0</v>
      </c>
      <c r="AO13" s="132">
        <v>0</v>
      </c>
      <c r="AP13" s="132">
        <v>55215.14</v>
      </c>
      <c r="AQ13" s="87"/>
      <c r="AR13" s="87">
        <v>0</v>
      </c>
      <c r="AS13" s="87"/>
      <c r="AT13" s="87">
        <v>0</v>
      </c>
      <c r="AU13" s="87"/>
      <c r="AV13" s="56">
        <f t="shared" si="1"/>
        <v>55215.14</v>
      </c>
      <c r="AW13" s="56"/>
      <c r="AX13" s="56">
        <f>-5000-5000</f>
        <v>-10000</v>
      </c>
      <c r="AY13" s="56"/>
      <c r="AZ13" s="56">
        <v>30000</v>
      </c>
      <c r="BA13" s="56">
        <v>30156</v>
      </c>
      <c r="BB13" s="214"/>
      <c r="BC13" s="56"/>
      <c r="BD13" s="84">
        <f t="shared" si="2"/>
        <v>55215.14</v>
      </c>
      <c r="BE13"/>
      <c r="BF13"/>
      <c r="BG13"/>
      <c r="BH13"/>
      <c r="BI13"/>
    </row>
    <row r="14" spans="1:61" ht="20.100000000000001" customHeight="1" outlineLevel="1">
      <c r="A14" s="77" t="s">
        <v>43</v>
      </c>
      <c r="B14" s="77" t="s">
        <v>203</v>
      </c>
      <c r="C14" s="77" t="str">
        <f t="shared" si="3"/>
        <v>AF·</v>
      </c>
      <c r="D14" s="78" t="s">
        <v>46</v>
      </c>
      <c r="E14" s="78" t="str">
        <f t="shared" si="0"/>
        <v>000</v>
      </c>
      <c r="F14" s="3">
        <v>661031</v>
      </c>
      <c r="G14" s="102" t="s">
        <v>266</v>
      </c>
      <c r="H14" s="87"/>
      <c r="I14" s="87">
        <v>0</v>
      </c>
      <c r="J14" s="87">
        <v>0</v>
      </c>
      <c r="K14" s="87"/>
      <c r="L14" s="87">
        <v>0</v>
      </c>
      <c r="M14" s="87"/>
      <c r="N14" s="87"/>
      <c r="O14" s="87"/>
      <c r="P14" s="87"/>
      <c r="Q14" s="87"/>
      <c r="R14" s="87"/>
      <c r="S14" s="87"/>
      <c r="T14" s="87"/>
      <c r="U14" s="87"/>
      <c r="V14" s="87"/>
      <c r="W14" s="87"/>
      <c r="X14" s="87">
        <v>0</v>
      </c>
      <c r="Y14" s="87"/>
      <c r="Z14" s="87">
        <v>0</v>
      </c>
      <c r="AA14" s="87"/>
      <c r="AB14" s="87"/>
      <c r="AC14" s="87"/>
      <c r="AD14" s="87"/>
      <c r="AE14" s="87"/>
      <c r="AF14" s="87"/>
      <c r="AG14" s="87"/>
      <c r="AH14" s="87"/>
      <c r="AI14" s="87"/>
      <c r="AJ14" s="87"/>
      <c r="AK14" s="87"/>
      <c r="AL14" s="87"/>
      <c r="AM14" s="87"/>
      <c r="AN14" s="132">
        <v>0</v>
      </c>
      <c r="AO14" s="132">
        <v>0</v>
      </c>
      <c r="AP14" s="132">
        <v>9091.73</v>
      </c>
      <c r="AQ14" s="87"/>
      <c r="AR14" s="87">
        <v>0</v>
      </c>
      <c r="AS14" s="87"/>
      <c r="AT14" s="87">
        <v>0</v>
      </c>
      <c r="AU14" s="87"/>
      <c r="AV14" s="56">
        <f t="shared" si="1"/>
        <v>9091.73</v>
      </c>
      <c r="AW14" s="56"/>
      <c r="AX14" s="56">
        <v>0</v>
      </c>
      <c r="AY14" s="56"/>
      <c r="AZ14" s="56">
        <v>11000</v>
      </c>
      <c r="BA14" s="56">
        <v>11000</v>
      </c>
      <c r="BB14" s="214"/>
      <c r="BC14" s="56"/>
      <c r="BD14" s="84">
        <f t="shared" si="2"/>
        <v>9091.73</v>
      </c>
      <c r="BE14"/>
      <c r="BF14"/>
      <c r="BG14"/>
      <c r="BH14"/>
      <c r="BI14"/>
    </row>
    <row r="15" spans="1:61" ht="20.100000000000001" customHeight="1" outlineLevel="1">
      <c r="A15" s="77" t="s">
        <v>43</v>
      </c>
      <c r="B15" s="77" t="s">
        <v>203</v>
      </c>
      <c r="C15" s="77" t="str">
        <f t="shared" si="3"/>
        <v>AF·</v>
      </c>
      <c r="D15" s="78" t="s">
        <v>46</v>
      </c>
      <c r="E15" s="78" t="str">
        <f t="shared" si="0"/>
        <v>000</v>
      </c>
      <c r="F15" s="3">
        <v>673027</v>
      </c>
      <c r="G15" s="102" t="s">
        <v>268</v>
      </c>
      <c r="H15" s="87"/>
      <c r="I15" s="87">
        <v>0</v>
      </c>
      <c r="J15" s="87">
        <v>0</v>
      </c>
      <c r="K15" s="87"/>
      <c r="L15" s="87">
        <v>0</v>
      </c>
      <c r="M15" s="87"/>
      <c r="N15" s="87"/>
      <c r="O15" s="87"/>
      <c r="P15" s="87"/>
      <c r="Q15" s="87"/>
      <c r="R15" s="87"/>
      <c r="S15" s="87"/>
      <c r="T15" s="87"/>
      <c r="U15" s="87"/>
      <c r="V15" s="87"/>
      <c r="W15" s="87"/>
      <c r="X15" s="87">
        <v>0</v>
      </c>
      <c r="Y15" s="87"/>
      <c r="Z15" s="87">
        <v>0</v>
      </c>
      <c r="AA15" s="87"/>
      <c r="AB15" s="87"/>
      <c r="AC15" s="87"/>
      <c r="AD15" s="87"/>
      <c r="AE15" s="87"/>
      <c r="AF15" s="87"/>
      <c r="AG15" s="87"/>
      <c r="AH15" s="87"/>
      <c r="AI15" s="87"/>
      <c r="AJ15" s="87"/>
      <c r="AK15" s="87"/>
      <c r="AL15" s="87"/>
      <c r="AM15" s="87"/>
      <c r="AN15" s="132">
        <v>0</v>
      </c>
      <c r="AO15" s="132">
        <v>0</v>
      </c>
      <c r="AP15" s="132">
        <v>0</v>
      </c>
      <c r="AQ15" s="87"/>
      <c r="AR15" s="87">
        <v>0</v>
      </c>
      <c r="AS15" s="87"/>
      <c r="AT15" s="87">
        <v>0</v>
      </c>
      <c r="AU15" s="87"/>
      <c r="AV15" s="56">
        <f t="shared" si="1"/>
        <v>0</v>
      </c>
      <c r="AW15" s="56"/>
      <c r="AX15" s="56">
        <v>0</v>
      </c>
      <c r="AY15" s="56"/>
      <c r="AZ15" s="56">
        <v>10000</v>
      </c>
      <c r="BA15" s="56">
        <v>10000</v>
      </c>
      <c r="BB15" s="214"/>
      <c r="BC15" s="56"/>
      <c r="BD15" s="84">
        <f t="shared" si="2"/>
        <v>0</v>
      </c>
      <c r="BE15"/>
      <c r="BF15"/>
      <c r="BG15"/>
      <c r="BH15"/>
      <c r="BI15"/>
    </row>
    <row r="16" spans="1:61" ht="20.100000000000001" customHeight="1" outlineLevel="1">
      <c r="A16" s="77" t="s">
        <v>43</v>
      </c>
      <c r="B16" s="77" t="s">
        <v>218</v>
      </c>
      <c r="C16" s="77" t="str">
        <f t="shared" si="3"/>
        <v>AF·</v>
      </c>
      <c r="D16" s="78" t="s">
        <v>46</v>
      </c>
      <c r="E16" s="78" t="str">
        <f t="shared" si="0"/>
        <v>000</v>
      </c>
      <c r="F16" s="3">
        <v>611116</v>
      </c>
      <c r="G16" s="102" t="s">
        <v>287</v>
      </c>
      <c r="H16" s="87"/>
      <c r="I16" s="87">
        <v>0</v>
      </c>
      <c r="J16" s="87">
        <v>0</v>
      </c>
      <c r="K16" s="87"/>
      <c r="L16" s="87">
        <v>0</v>
      </c>
      <c r="M16" s="87"/>
      <c r="N16" s="87"/>
      <c r="O16" s="87"/>
      <c r="P16" s="87"/>
      <c r="Q16" s="87"/>
      <c r="R16" s="87"/>
      <c r="S16" s="87"/>
      <c r="T16" s="87"/>
      <c r="U16" s="87"/>
      <c r="V16" s="87"/>
      <c r="W16" s="87"/>
      <c r="X16" s="87">
        <v>0</v>
      </c>
      <c r="Y16" s="87"/>
      <c r="Z16" s="87">
        <v>0</v>
      </c>
      <c r="AA16" s="87"/>
      <c r="AB16" s="87"/>
      <c r="AC16" s="87"/>
      <c r="AD16" s="87"/>
      <c r="AE16" s="87"/>
      <c r="AF16" s="87"/>
      <c r="AG16" s="87"/>
      <c r="AH16" s="87"/>
      <c r="AI16" s="87"/>
      <c r="AJ16" s="87"/>
      <c r="AK16" s="87"/>
      <c r="AL16" s="87"/>
      <c r="AM16" s="87"/>
      <c r="AN16" s="132">
        <v>0</v>
      </c>
      <c r="AO16" s="132">
        <v>0</v>
      </c>
      <c r="AP16" s="132">
        <v>85115.96</v>
      </c>
      <c r="AQ16" s="87"/>
      <c r="AR16" s="87">
        <v>0</v>
      </c>
      <c r="AS16" s="87"/>
      <c r="AT16" s="87">
        <v>0</v>
      </c>
      <c r="AU16" s="87"/>
      <c r="AV16" s="56">
        <f t="shared" si="1"/>
        <v>85115.96</v>
      </c>
      <c r="AW16" s="56"/>
      <c r="AX16" s="56">
        <v>0</v>
      </c>
      <c r="AY16" s="56"/>
      <c r="AZ16" s="56">
        <v>85116</v>
      </c>
      <c r="BA16" s="56">
        <v>85116</v>
      </c>
      <c r="BB16" s="214"/>
      <c r="BC16" s="56"/>
      <c r="BD16" s="84">
        <f t="shared" si="2"/>
        <v>85115.96</v>
      </c>
      <c r="BE16">
        <v>1</v>
      </c>
      <c r="BF16"/>
      <c r="BG16"/>
      <c r="BH16">
        <v>1</v>
      </c>
      <c r="BI16"/>
    </row>
    <row r="17" spans="1:61" ht="20.100000000000001" customHeight="1" outlineLevel="1">
      <c r="A17" s="77" t="s">
        <v>43</v>
      </c>
      <c r="B17" s="77" t="s">
        <v>218</v>
      </c>
      <c r="C17" s="77" t="str">
        <f t="shared" si="3"/>
        <v>AF·</v>
      </c>
      <c r="D17" s="78" t="s">
        <v>46</v>
      </c>
      <c r="E17" s="78" t="str">
        <f t="shared" si="0"/>
        <v>000</v>
      </c>
      <c r="F17" s="3">
        <v>611342</v>
      </c>
      <c r="G17" s="102" t="s">
        <v>288</v>
      </c>
      <c r="H17" s="87"/>
      <c r="I17" s="87">
        <v>0</v>
      </c>
      <c r="J17" s="87">
        <v>0</v>
      </c>
      <c r="K17" s="87"/>
      <c r="L17" s="87">
        <v>0</v>
      </c>
      <c r="M17" s="87"/>
      <c r="N17" s="87"/>
      <c r="O17" s="87"/>
      <c r="P17" s="87"/>
      <c r="Q17" s="87"/>
      <c r="R17" s="87"/>
      <c r="S17" s="87"/>
      <c r="T17" s="87"/>
      <c r="U17" s="87"/>
      <c r="V17" s="87"/>
      <c r="W17" s="87"/>
      <c r="X17" s="87">
        <v>0</v>
      </c>
      <c r="Y17" s="87"/>
      <c r="Z17" s="87">
        <v>0</v>
      </c>
      <c r="AA17" s="87"/>
      <c r="AB17" s="87"/>
      <c r="AC17" s="87"/>
      <c r="AD17" s="87"/>
      <c r="AE17" s="87"/>
      <c r="AF17" s="87"/>
      <c r="AG17" s="87"/>
      <c r="AH17" s="87"/>
      <c r="AI17" s="87"/>
      <c r="AJ17" s="87"/>
      <c r="AK17" s="87"/>
      <c r="AL17" s="87"/>
      <c r="AM17" s="87"/>
      <c r="AN17" s="132">
        <v>0</v>
      </c>
      <c r="AO17" s="132">
        <v>0</v>
      </c>
      <c r="AP17" s="132">
        <v>0</v>
      </c>
      <c r="AQ17" s="87"/>
      <c r="AR17" s="87">
        <v>0</v>
      </c>
      <c r="AS17" s="87"/>
      <c r="AT17" s="87">
        <v>0</v>
      </c>
      <c r="AU17" s="87"/>
      <c r="AV17" s="56">
        <f t="shared" si="1"/>
        <v>0</v>
      </c>
      <c r="AW17" s="56"/>
      <c r="AX17" s="106">
        <v>90473</v>
      </c>
      <c r="AY17" s="56"/>
      <c r="AZ17" s="56">
        <v>399290</v>
      </c>
      <c r="BA17" s="56">
        <v>399290</v>
      </c>
      <c r="BB17" s="214"/>
      <c r="BC17" s="56"/>
      <c r="BD17" s="84">
        <f t="shared" si="2"/>
        <v>0</v>
      </c>
      <c r="BE17">
        <v>1</v>
      </c>
      <c r="BF17"/>
      <c r="BG17"/>
      <c r="BH17">
        <v>1</v>
      </c>
      <c r="BI17"/>
    </row>
    <row r="18" spans="1:61" ht="20.100000000000001" customHeight="1" outlineLevel="1">
      <c r="A18" s="77" t="s">
        <v>43</v>
      </c>
      <c r="B18" s="77" t="s">
        <v>218</v>
      </c>
      <c r="C18" s="77" t="str">
        <f t="shared" si="3"/>
        <v>AF·</v>
      </c>
      <c r="D18" s="78" t="s">
        <v>46</v>
      </c>
      <c r="E18" s="78" t="str">
        <f t="shared" si="0"/>
        <v>000</v>
      </c>
      <c r="F18" s="3">
        <v>611361</v>
      </c>
      <c r="G18" s="102" t="s">
        <v>289</v>
      </c>
      <c r="H18" s="87"/>
      <c r="I18" s="87">
        <v>0</v>
      </c>
      <c r="J18" s="87">
        <v>0</v>
      </c>
      <c r="K18" s="87"/>
      <c r="L18" s="87">
        <v>0</v>
      </c>
      <c r="M18" s="87"/>
      <c r="N18" s="87"/>
      <c r="O18" s="87"/>
      <c r="P18" s="87"/>
      <c r="Q18" s="87"/>
      <c r="R18" s="87"/>
      <c r="S18" s="87"/>
      <c r="T18" s="87"/>
      <c r="U18" s="87"/>
      <c r="V18" s="87"/>
      <c r="W18" s="87"/>
      <c r="X18" s="87">
        <v>0</v>
      </c>
      <c r="Y18" s="87"/>
      <c r="Z18" s="87">
        <v>0</v>
      </c>
      <c r="AA18" s="87"/>
      <c r="AB18" s="87"/>
      <c r="AC18" s="87"/>
      <c r="AD18" s="87"/>
      <c r="AE18" s="87"/>
      <c r="AF18" s="87"/>
      <c r="AG18" s="87"/>
      <c r="AH18" s="87"/>
      <c r="AI18" s="87"/>
      <c r="AJ18" s="87"/>
      <c r="AK18" s="87"/>
      <c r="AL18" s="87"/>
      <c r="AM18" s="87"/>
      <c r="AN18" s="132">
        <v>0</v>
      </c>
      <c r="AO18" s="132">
        <v>0</v>
      </c>
      <c r="AP18" s="132">
        <v>1602.5</v>
      </c>
      <c r="AQ18" s="87"/>
      <c r="AR18" s="87">
        <v>0</v>
      </c>
      <c r="AS18" s="87"/>
      <c r="AT18" s="87">
        <v>0</v>
      </c>
      <c r="AU18" s="87"/>
      <c r="AV18" s="56">
        <f t="shared" si="1"/>
        <v>1602.5</v>
      </c>
      <c r="AW18" s="56"/>
      <c r="AX18" s="56">
        <v>0</v>
      </c>
      <c r="AY18" s="56"/>
      <c r="AZ18" s="56">
        <v>2500</v>
      </c>
      <c r="BA18" s="56">
        <v>2500</v>
      </c>
      <c r="BB18" s="214"/>
      <c r="BC18" s="56"/>
      <c r="BD18" s="84">
        <f t="shared" si="2"/>
        <v>1602.5</v>
      </c>
      <c r="BE18">
        <v>1</v>
      </c>
      <c r="BF18"/>
      <c r="BG18"/>
      <c r="BH18">
        <v>1</v>
      </c>
      <c r="BI18"/>
    </row>
    <row r="19" spans="1:61" ht="20.100000000000001" customHeight="1" outlineLevel="1">
      <c r="A19" s="77" t="s">
        <v>43</v>
      </c>
      <c r="B19" s="77" t="s">
        <v>218</v>
      </c>
      <c r="C19" s="77" t="str">
        <f t="shared" si="3"/>
        <v>AF·</v>
      </c>
      <c r="D19" s="78" t="s">
        <v>46</v>
      </c>
      <c r="E19" s="78" t="str">
        <f t="shared" si="0"/>
        <v>000</v>
      </c>
      <c r="F19" s="3">
        <v>611411</v>
      </c>
      <c r="G19" s="102" t="s">
        <v>314</v>
      </c>
      <c r="H19" s="87"/>
      <c r="I19" s="87">
        <v>0</v>
      </c>
      <c r="J19" s="87">
        <v>0</v>
      </c>
      <c r="K19" s="87"/>
      <c r="L19" s="87">
        <v>0</v>
      </c>
      <c r="M19" s="87"/>
      <c r="N19" s="87"/>
      <c r="O19" s="87"/>
      <c r="P19" s="87"/>
      <c r="Q19" s="87"/>
      <c r="R19" s="87"/>
      <c r="S19" s="87"/>
      <c r="T19" s="87"/>
      <c r="U19" s="87"/>
      <c r="V19" s="87"/>
      <c r="W19" s="87"/>
      <c r="X19" s="87">
        <v>0</v>
      </c>
      <c r="Y19" s="87"/>
      <c r="Z19" s="87">
        <v>0</v>
      </c>
      <c r="AA19" s="87"/>
      <c r="AB19" s="87"/>
      <c r="AC19" s="87"/>
      <c r="AD19" s="87"/>
      <c r="AE19" s="87"/>
      <c r="AF19" s="87"/>
      <c r="AG19" s="87"/>
      <c r="AH19" s="87"/>
      <c r="AI19" s="87"/>
      <c r="AJ19" s="87"/>
      <c r="AK19" s="87"/>
      <c r="AL19" s="87"/>
      <c r="AM19" s="87"/>
      <c r="AN19" s="132">
        <v>0</v>
      </c>
      <c r="AO19" s="132">
        <v>0</v>
      </c>
      <c r="AP19" s="132">
        <v>23016.959999999999</v>
      </c>
      <c r="AQ19" s="87"/>
      <c r="AR19" s="87">
        <v>0</v>
      </c>
      <c r="AS19" s="87"/>
      <c r="AT19" s="87">
        <v>0</v>
      </c>
      <c r="AU19" s="87"/>
      <c r="AV19" s="56">
        <f t="shared" si="1"/>
        <v>23016.959999999999</v>
      </c>
      <c r="AW19" s="56"/>
      <c r="AX19" s="56">
        <v>0</v>
      </c>
      <c r="AY19" s="56"/>
      <c r="AZ19" s="56">
        <v>23017</v>
      </c>
      <c r="BA19" s="56">
        <v>25616</v>
      </c>
      <c r="BB19" s="214"/>
      <c r="BC19" s="56"/>
      <c r="BD19" s="84">
        <f t="shared" si="2"/>
        <v>23016.959999999999</v>
      </c>
      <c r="BE19">
        <v>1</v>
      </c>
      <c r="BF19"/>
      <c r="BG19"/>
      <c r="BH19">
        <v>1</v>
      </c>
      <c r="BI19"/>
    </row>
    <row r="20" spans="1:61" ht="20.100000000000001" customHeight="1" outlineLevel="1">
      <c r="A20" s="77" t="s">
        <v>43</v>
      </c>
      <c r="B20" s="77" t="s">
        <v>218</v>
      </c>
      <c r="C20" s="77" t="str">
        <f t="shared" si="3"/>
        <v>AF·</v>
      </c>
      <c r="D20" s="78" t="s">
        <v>46</v>
      </c>
      <c r="E20" s="78" t="str">
        <f t="shared" si="0"/>
        <v>000</v>
      </c>
      <c r="F20" s="3">
        <v>632013</v>
      </c>
      <c r="G20" s="102" t="s">
        <v>271</v>
      </c>
      <c r="H20" s="87"/>
      <c r="I20" s="87">
        <v>0</v>
      </c>
      <c r="J20" s="87">
        <v>0</v>
      </c>
      <c r="K20" s="87"/>
      <c r="L20" s="87">
        <v>0</v>
      </c>
      <c r="M20" s="87"/>
      <c r="N20" s="87"/>
      <c r="O20" s="87"/>
      <c r="P20" s="87"/>
      <c r="Q20" s="87"/>
      <c r="R20" s="87"/>
      <c r="S20" s="87"/>
      <c r="T20" s="87"/>
      <c r="U20" s="87"/>
      <c r="V20" s="87"/>
      <c r="W20" s="87"/>
      <c r="X20" s="87">
        <v>0</v>
      </c>
      <c r="Y20" s="87"/>
      <c r="Z20" s="87">
        <v>0</v>
      </c>
      <c r="AA20" s="87"/>
      <c r="AB20" s="87"/>
      <c r="AC20" s="87"/>
      <c r="AD20" s="87"/>
      <c r="AE20" s="87"/>
      <c r="AF20" s="87"/>
      <c r="AG20" s="87"/>
      <c r="AH20" s="87"/>
      <c r="AI20" s="87"/>
      <c r="AJ20" s="87"/>
      <c r="AK20" s="87"/>
      <c r="AL20" s="87"/>
      <c r="AM20" s="87"/>
      <c r="AN20" s="132">
        <v>0</v>
      </c>
      <c r="AO20" s="132">
        <v>0</v>
      </c>
      <c r="AP20" s="132">
        <v>0</v>
      </c>
      <c r="AQ20" s="87"/>
      <c r="AR20" s="87">
        <v>0</v>
      </c>
      <c r="AS20" s="87"/>
      <c r="AT20" s="87">
        <v>0</v>
      </c>
      <c r="AU20" s="87"/>
      <c r="AV20" s="56">
        <f t="shared" si="1"/>
        <v>0</v>
      </c>
      <c r="AW20" s="56"/>
      <c r="AX20" s="56">
        <v>0</v>
      </c>
      <c r="AY20" s="56"/>
      <c r="AZ20" s="56">
        <v>6000</v>
      </c>
      <c r="BA20" s="56">
        <v>3000</v>
      </c>
      <c r="BB20" s="214"/>
      <c r="BC20" s="56"/>
      <c r="BD20" s="84">
        <f t="shared" si="2"/>
        <v>0</v>
      </c>
      <c r="BE20"/>
      <c r="BF20"/>
      <c r="BG20"/>
      <c r="BH20"/>
      <c r="BI20"/>
    </row>
    <row r="21" spans="1:61" ht="20.100000000000001" customHeight="1" outlineLevel="1">
      <c r="A21" s="77" t="s">
        <v>43</v>
      </c>
      <c r="B21" s="77" t="s">
        <v>218</v>
      </c>
      <c r="C21" s="77" t="str">
        <f t="shared" si="3"/>
        <v>AF·</v>
      </c>
      <c r="D21" s="78" t="s">
        <v>46</v>
      </c>
      <c r="E21" s="78" t="str">
        <f t="shared" si="0"/>
        <v>000</v>
      </c>
      <c r="F21" s="3">
        <v>643011</v>
      </c>
      <c r="G21" s="102" t="s">
        <v>258</v>
      </c>
      <c r="H21" s="87"/>
      <c r="I21" s="87">
        <v>0</v>
      </c>
      <c r="J21" s="87">
        <v>0</v>
      </c>
      <c r="K21" s="87"/>
      <c r="L21" s="87">
        <v>0</v>
      </c>
      <c r="M21" s="87"/>
      <c r="N21" s="87"/>
      <c r="O21" s="87"/>
      <c r="P21" s="87"/>
      <c r="Q21" s="87"/>
      <c r="R21" s="87"/>
      <c r="S21" s="87"/>
      <c r="T21" s="87"/>
      <c r="U21" s="87"/>
      <c r="V21" s="87"/>
      <c r="W21" s="87"/>
      <c r="X21" s="87">
        <v>0</v>
      </c>
      <c r="Y21" s="87"/>
      <c r="Z21" s="87">
        <v>0</v>
      </c>
      <c r="AA21" s="87"/>
      <c r="AB21" s="87"/>
      <c r="AC21" s="87"/>
      <c r="AD21" s="87"/>
      <c r="AE21" s="87"/>
      <c r="AF21" s="87"/>
      <c r="AG21" s="87"/>
      <c r="AH21" s="87"/>
      <c r="AI21" s="87"/>
      <c r="AJ21" s="87"/>
      <c r="AK21" s="87"/>
      <c r="AL21" s="87"/>
      <c r="AM21" s="87"/>
      <c r="AN21" s="132">
        <v>0</v>
      </c>
      <c r="AO21" s="132">
        <v>0</v>
      </c>
      <c r="AP21" s="132">
        <v>6921.56</v>
      </c>
      <c r="AQ21" s="87"/>
      <c r="AR21" s="87">
        <v>0</v>
      </c>
      <c r="AS21" s="87"/>
      <c r="AT21" s="87">
        <v>0</v>
      </c>
      <c r="AU21" s="87"/>
      <c r="AV21" s="56">
        <f t="shared" si="1"/>
        <v>6921.56</v>
      </c>
      <c r="AW21" s="56"/>
      <c r="AX21" s="56">
        <f>5000+5000</f>
        <v>10000</v>
      </c>
      <c r="AY21" s="56"/>
      <c r="AZ21" s="56">
        <v>8000</v>
      </c>
      <c r="BA21" s="56">
        <v>13000</v>
      </c>
      <c r="BB21" s="214"/>
      <c r="BC21" s="56"/>
      <c r="BD21" s="84">
        <f t="shared" si="2"/>
        <v>6921.56</v>
      </c>
      <c r="BE21"/>
      <c r="BF21"/>
      <c r="BG21"/>
      <c r="BH21"/>
      <c r="BI21"/>
    </row>
    <row r="22" spans="1:61" ht="20.100000000000001" customHeight="1" outlineLevel="1">
      <c r="A22" s="77" t="s">
        <v>43</v>
      </c>
      <c r="B22" s="77" t="s">
        <v>218</v>
      </c>
      <c r="C22" s="77" t="str">
        <f t="shared" si="3"/>
        <v>AF·</v>
      </c>
      <c r="D22" s="78" t="s">
        <v>46</v>
      </c>
      <c r="E22" s="78" t="str">
        <f t="shared" si="0"/>
        <v>000</v>
      </c>
      <c r="F22" s="3">
        <v>658211</v>
      </c>
      <c r="G22" s="102" t="s">
        <v>291</v>
      </c>
      <c r="H22" s="87"/>
      <c r="I22" s="87">
        <v>0</v>
      </c>
      <c r="J22" s="87">
        <v>0</v>
      </c>
      <c r="K22" s="87"/>
      <c r="L22" s="87">
        <v>0</v>
      </c>
      <c r="M22" s="87"/>
      <c r="N22" s="87"/>
      <c r="O22" s="87"/>
      <c r="P22" s="87"/>
      <c r="Q22" s="87"/>
      <c r="R22" s="87"/>
      <c r="S22" s="87"/>
      <c r="T22" s="87"/>
      <c r="U22" s="87"/>
      <c r="V22" s="87"/>
      <c r="W22" s="87"/>
      <c r="X22" s="87">
        <v>0</v>
      </c>
      <c r="Y22" s="87"/>
      <c r="Z22" s="87">
        <v>0</v>
      </c>
      <c r="AA22" s="87"/>
      <c r="AB22" s="87"/>
      <c r="AC22" s="87"/>
      <c r="AD22" s="87"/>
      <c r="AE22" s="87"/>
      <c r="AF22" s="87"/>
      <c r="AG22" s="87"/>
      <c r="AH22" s="87"/>
      <c r="AI22" s="87"/>
      <c r="AJ22" s="87"/>
      <c r="AK22" s="87"/>
      <c r="AL22" s="87"/>
      <c r="AM22" s="87"/>
      <c r="AN22" s="132">
        <v>0</v>
      </c>
      <c r="AO22" s="132">
        <v>0</v>
      </c>
      <c r="AP22" s="132">
        <v>8777.1200000000008</v>
      </c>
      <c r="AQ22" s="87"/>
      <c r="AR22" s="87">
        <v>0</v>
      </c>
      <c r="AS22" s="87"/>
      <c r="AT22" s="87">
        <v>0</v>
      </c>
      <c r="AU22" s="87"/>
      <c r="AV22" s="56">
        <f t="shared" si="1"/>
        <v>8777.1200000000008</v>
      </c>
      <c r="AW22" s="56"/>
      <c r="AX22" s="56">
        <v>0</v>
      </c>
      <c r="AY22" s="56"/>
      <c r="AZ22" s="56">
        <v>6000</v>
      </c>
      <c r="BA22" s="56">
        <v>6000</v>
      </c>
      <c r="BB22" s="214"/>
      <c r="BC22" s="56"/>
      <c r="BD22" s="84">
        <f t="shared" si="2"/>
        <v>8777.1200000000008</v>
      </c>
      <c r="BE22"/>
      <c r="BF22"/>
      <c r="BG22"/>
      <c r="BH22"/>
      <c r="BI22"/>
    </row>
    <row r="23" spans="1:61" ht="20.100000000000001" customHeight="1" outlineLevel="1">
      <c r="A23" s="77" t="s">
        <v>43</v>
      </c>
      <c r="B23" s="77" t="s">
        <v>218</v>
      </c>
      <c r="C23" s="77" t="str">
        <f t="shared" si="3"/>
        <v>AF·</v>
      </c>
      <c r="D23" s="78" t="s">
        <v>46</v>
      </c>
      <c r="E23" s="78" t="str">
        <f t="shared" si="0"/>
        <v>000</v>
      </c>
      <c r="F23" s="3">
        <v>658212</v>
      </c>
      <c r="G23" s="102" t="s">
        <v>292</v>
      </c>
      <c r="H23" s="87"/>
      <c r="I23" s="87">
        <v>0</v>
      </c>
      <c r="J23" s="87">
        <v>0</v>
      </c>
      <c r="K23" s="87"/>
      <c r="L23" s="87">
        <v>0</v>
      </c>
      <c r="M23" s="87"/>
      <c r="N23" s="87"/>
      <c r="O23" s="87"/>
      <c r="P23" s="87"/>
      <c r="Q23" s="87"/>
      <c r="R23" s="87"/>
      <c r="S23" s="87"/>
      <c r="T23" s="87"/>
      <c r="U23" s="87"/>
      <c r="V23" s="87"/>
      <c r="W23" s="87"/>
      <c r="X23" s="87">
        <v>0</v>
      </c>
      <c r="Y23" s="87"/>
      <c r="Z23" s="87">
        <v>0</v>
      </c>
      <c r="AA23" s="87"/>
      <c r="AB23" s="87"/>
      <c r="AC23" s="87"/>
      <c r="AD23" s="87"/>
      <c r="AE23" s="87"/>
      <c r="AF23" s="87"/>
      <c r="AG23" s="87"/>
      <c r="AH23" s="87"/>
      <c r="AI23" s="87"/>
      <c r="AJ23" s="87"/>
      <c r="AK23" s="87"/>
      <c r="AL23" s="87"/>
      <c r="AM23" s="87"/>
      <c r="AN23" s="132">
        <v>0</v>
      </c>
      <c r="AO23" s="132">
        <v>0</v>
      </c>
      <c r="AP23" s="132">
        <v>7558.48</v>
      </c>
      <c r="AQ23" s="87"/>
      <c r="AR23" s="87">
        <v>0</v>
      </c>
      <c r="AS23" s="87"/>
      <c r="AT23" s="87">
        <v>0</v>
      </c>
      <c r="AU23" s="87"/>
      <c r="AV23" s="56">
        <f t="shared" si="1"/>
        <v>7558.48</v>
      </c>
      <c r="AW23" s="56"/>
      <c r="AX23" s="56">
        <v>0</v>
      </c>
      <c r="AY23" s="56"/>
      <c r="AZ23" s="56">
        <v>1200</v>
      </c>
      <c r="BA23" s="56">
        <v>12000</v>
      </c>
      <c r="BB23" s="214"/>
      <c r="BC23" s="56"/>
      <c r="BD23" s="84">
        <f t="shared" si="2"/>
        <v>7558.48</v>
      </c>
      <c r="BE23"/>
      <c r="BF23"/>
      <c r="BG23"/>
      <c r="BH23"/>
      <c r="BI23"/>
    </row>
    <row r="24" spans="1:61" ht="20.100000000000001" customHeight="1" outlineLevel="1">
      <c r="A24" s="77" t="s">
        <v>43</v>
      </c>
      <c r="B24" s="77" t="s">
        <v>218</v>
      </c>
      <c r="C24" s="77" t="str">
        <f t="shared" si="3"/>
        <v>AF·</v>
      </c>
      <c r="D24" s="78" t="s">
        <v>46</v>
      </c>
      <c r="E24" s="78" t="str">
        <f t="shared" si="0"/>
        <v>000</v>
      </c>
      <c r="F24" s="3">
        <v>661001</v>
      </c>
      <c r="G24" s="102" t="s">
        <v>294</v>
      </c>
      <c r="H24" s="87"/>
      <c r="I24" s="87">
        <v>0</v>
      </c>
      <c r="J24" s="87">
        <v>0</v>
      </c>
      <c r="K24" s="87"/>
      <c r="L24" s="87">
        <v>0</v>
      </c>
      <c r="M24" s="87"/>
      <c r="N24" s="87"/>
      <c r="O24" s="87"/>
      <c r="P24" s="87"/>
      <c r="Q24" s="87"/>
      <c r="R24" s="87"/>
      <c r="S24" s="87"/>
      <c r="T24" s="87"/>
      <c r="U24" s="87"/>
      <c r="V24" s="87"/>
      <c r="W24" s="87"/>
      <c r="X24" s="87">
        <v>0</v>
      </c>
      <c r="Y24" s="87"/>
      <c r="Z24" s="87">
        <v>0</v>
      </c>
      <c r="AA24" s="87"/>
      <c r="AB24" s="87"/>
      <c r="AC24" s="87"/>
      <c r="AD24" s="87"/>
      <c r="AE24" s="87"/>
      <c r="AF24" s="87"/>
      <c r="AG24" s="87"/>
      <c r="AH24" s="87"/>
      <c r="AI24" s="87"/>
      <c r="AJ24" s="87"/>
      <c r="AK24" s="87"/>
      <c r="AL24" s="87"/>
      <c r="AM24" s="87"/>
      <c r="AN24" s="132">
        <v>0</v>
      </c>
      <c r="AO24" s="132">
        <v>0</v>
      </c>
      <c r="AP24" s="132">
        <v>33172.199999999997</v>
      </c>
      <c r="AQ24" s="87"/>
      <c r="AR24" s="87">
        <v>0</v>
      </c>
      <c r="AS24" s="87"/>
      <c r="AT24" s="87">
        <v>0</v>
      </c>
      <c r="AU24" s="87"/>
      <c r="AV24" s="56">
        <f t="shared" si="1"/>
        <v>33172.199999999997</v>
      </c>
      <c r="AW24" s="56"/>
      <c r="AX24" s="56">
        <v>0</v>
      </c>
      <c r="AY24" s="56"/>
      <c r="AZ24" s="56">
        <v>7000</v>
      </c>
      <c r="BA24" s="56">
        <v>7021</v>
      </c>
      <c r="BB24" s="214"/>
      <c r="BC24" s="56"/>
      <c r="BD24" s="84">
        <f t="shared" si="2"/>
        <v>33172.199999999997</v>
      </c>
      <c r="BE24"/>
      <c r="BF24"/>
      <c r="BG24"/>
      <c r="BH24"/>
      <c r="BI24"/>
    </row>
    <row r="25" spans="1:61" ht="20.100000000000001" customHeight="1" outlineLevel="1">
      <c r="A25" s="77" t="s">
        <v>43</v>
      </c>
      <c r="B25" s="77" t="s">
        <v>218</v>
      </c>
      <c r="C25" s="77" t="str">
        <f t="shared" si="3"/>
        <v>AF·</v>
      </c>
      <c r="D25" s="78" t="s">
        <v>46</v>
      </c>
      <c r="E25" s="78" t="str">
        <f t="shared" si="0"/>
        <v>000</v>
      </c>
      <c r="F25" s="3">
        <v>661025</v>
      </c>
      <c r="G25" s="102" t="s">
        <v>296</v>
      </c>
      <c r="H25" s="87"/>
      <c r="I25" s="87">
        <v>0</v>
      </c>
      <c r="J25" s="87">
        <v>0</v>
      </c>
      <c r="K25" s="87"/>
      <c r="L25" s="87">
        <v>0</v>
      </c>
      <c r="M25" s="87"/>
      <c r="N25" s="87"/>
      <c r="O25" s="87"/>
      <c r="P25" s="87"/>
      <c r="Q25" s="87"/>
      <c r="R25" s="87"/>
      <c r="S25" s="87"/>
      <c r="T25" s="87"/>
      <c r="U25" s="87"/>
      <c r="V25" s="87"/>
      <c r="W25" s="87"/>
      <c r="X25" s="87">
        <v>0</v>
      </c>
      <c r="Y25" s="87"/>
      <c r="Z25" s="87">
        <v>0</v>
      </c>
      <c r="AA25" s="87"/>
      <c r="AB25" s="87"/>
      <c r="AC25" s="87"/>
      <c r="AD25" s="87"/>
      <c r="AE25" s="87"/>
      <c r="AF25" s="87"/>
      <c r="AG25" s="87"/>
      <c r="AH25" s="87"/>
      <c r="AI25" s="87"/>
      <c r="AJ25" s="87"/>
      <c r="AK25" s="87"/>
      <c r="AL25" s="87"/>
      <c r="AM25" s="87"/>
      <c r="AN25" s="132">
        <v>0</v>
      </c>
      <c r="AO25" s="132">
        <v>0</v>
      </c>
      <c r="AP25" s="132">
        <v>12286.01</v>
      </c>
      <c r="AQ25" s="87"/>
      <c r="AR25" s="87">
        <v>0</v>
      </c>
      <c r="AS25" s="87"/>
      <c r="AT25" s="87">
        <v>0</v>
      </c>
      <c r="AU25" s="87"/>
      <c r="AV25" s="56">
        <f t="shared" si="1"/>
        <v>12286.01</v>
      </c>
      <c r="AW25" s="56"/>
      <c r="AX25" s="56">
        <v>0</v>
      </c>
      <c r="AY25" s="56"/>
      <c r="AZ25" s="56">
        <v>3400</v>
      </c>
      <c r="BA25" s="56">
        <v>3400</v>
      </c>
      <c r="BB25" s="214"/>
      <c r="BC25" s="56"/>
      <c r="BD25" s="84">
        <f t="shared" si="2"/>
        <v>12286.01</v>
      </c>
      <c r="BE25"/>
      <c r="BF25"/>
      <c r="BG25"/>
      <c r="BH25"/>
      <c r="BI25"/>
    </row>
    <row r="26" spans="1:61">
      <c r="B26" s="77"/>
      <c r="C26" s="77"/>
      <c r="D26" s="90"/>
      <c r="E26" s="90"/>
      <c r="F26" s="3"/>
      <c r="G26" s="110" t="s">
        <v>315</v>
      </c>
      <c r="H26" s="81"/>
      <c r="I26" s="133">
        <f t="shared" ref="I26:AP26" si="4">SUBTOTAL(9,I12:I25)</f>
        <v>0</v>
      </c>
      <c r="J26" s="133">
        <f t="shared" si="4"/>
        <v>0</v>
      </c>
      <c r="K26" s="133">
        <f t="shared" si="4"/>
        <v>0</v>
      </c>
      <c r="L26" s="133">
        <f t="shared" si="4"/>
        <v>0</v>
      </c>
      <c r="M26" s="133">
        <f t="shared" si="4"/>
        <v>0</v>
      </c>
      <c r="N26" s="133">
        <f t="shared" si="4"/>
        <v>0</v>
      </c>
      <c r="O26" s="133">
        <f t="shared" si="4"/>
        <v>0</v>
      </c>
      <c r="P26" s="133">
        <f t="shared" si="4"/>
        <v>0</v>
      </c>
      <c r="Q26" s="133">
        <f t="shared" si="4"/>
        <v>0</v>
      </c>
      <c r="R26" s="133">
        <f t="shared" si="4"/>
        <v>0</v>
      </c>
      <c r="S26" s="133">
        <f t="shared" si="4"/>
        <v>0</v>
      </c>
      <c r="T26" s="133">
        <f t="shared" si="4"/>
        <v>0</v>
      </c>
      <c r="U26" s="133">
        <f t="shared" si="4"/>
        <v>0</v>
      </c>
      <c r="V26" s="133">
        <f t="shared" si="4"/>
        <v>0</v>
      </c>
      <c r="W26" s="133">
        <f t="shared" si="4"/>
        <v>0</v>
      </c>
      <c r="X26" s="125">
        <f t="shared" si="4"/>
        <v>0</v>
      </c>
      <c r="Y26" s="133">
        <f t="shared" si="4"/>
        <v>0</v>
      </c>
      <c r="Z26" s="133">
        <f t="shared" si="4"/>
        <v>0</v>
      </c>
      <c r="AA26" s="133">
        <f t="shared" si="4"/>
        <v>0</v>
      </c>
      <c r="AB26" s="133">
        <f t="shared" si="4"/>
        <v>0</v>
      </c>
      <c r="AC26" s="133">
        <f t="shared" si="4"/>
        <v>0</v>
      </c>
      <c r="AD26" s="133">
        <f t="shared" si="4"/>
        <v>0</v>
      </c>
      <c r="AE26" s="133">
        <f t="shared" si="4"/>
        <v>0</v>
      </c>
      <c r="AF26" s="133">
        <f t="shared" si="4"/>
        <v>0</v>
      </c>
      <c r="AG26" s="133">
        <f t="shared" si="4"/>
        <v>0</v>
      </c>
      <c r="AH26" s="133">
        <f t="shared" si="4"/>
        <v>0</v>
      </c>
      <c r="AI26" s="133">
        <f t="shared" si="4"/>
        <v>0</v>
      </c>
      <c r="AJ26" s="133">
        <f t="shared" si="4"/>
        <v>0</v>
      </c>
      <c r="AK26" s="133">
        <f t="shared" si="4"/>
        <v>0</v>
      </c>
      <c r="AL26" s="133">
        <f t="shared" si="4"/>
        <v>0</v>
      </c>
      <c r="AM26" s="133">
        <f t="shared" si="4"/>
        <v>0</v>
      </c>
      <c r="AN26" s="134">
        <f t="shared" si="4"/>
        <v>0</v>
      </c>
      <c r="AO26" s="134">
        <f t="shared" si="4"/>
        <v>0</v>
      </c>
      <c r="AP26" s="134">
        <f t="shared" si="4"/>
        <v>318587.49000000005</v>
      </c>
      <c r="AQ26" s="133"/>
      <c r="AR26" s="133">
        <f>SUBTOTAL(9,AR12:AR25)</f>
        <v>0</v>
      </c>
      <c r="AS26" s="133">
        <f>SUBTOTAL(9,AS12:AS25)</f>
        <v>0</v>
      </c>
      <c r="AT26" s="133">
        <f>SUBTOTAL(9,AT12:AT25)</f>
        <v>0</v>
      </c>
      <c r="AU26" s="133">
        <f>SUBTOTAL(9,AU12:AU25)</f>
        <v>0</v>
      </c>
      <c r="AV26" s="133">
        <f>SUBTOTAL(9,AV12:AV25)</f>
        <v>318587.49000000005</v>
      </c>
      <c r="AW26" s="135"/>
      <c r="AX26" s="133">
        <f>SUBTOTAL(9,AX12:AX25)</f>
        <v>90473</v>
      </c>
      <c r="AY26" s="135"/>
      <c r="AZ26" s="134">
        <f>SUBTOTAL(9,AZ12:AZ25)</f>
        <v>637523</v>
      </c>
      <c r="BA26" s="133">
        <f>SUBTOTAL(9,BA12:BA25)</f>
        <v>651249</v>
      </c>
      <c r="BB26" s="214"/>
      <c r="BC26" s="56"/>
      <c r="BD26" s="98">
        <f t="shared" si="2"/>
        <v>318587.49000000005</v>
      </c>
      <c r="BE26"/>
      <c r="BF26"/>
      <c r="BG26"/>
      <c r="BH26"/>
      <c r="BI26"/>
    </row>
    <row r="27" spans="1:61" ht="9" customHeight="1">
      <c r="A27" s="77"/>
      <c r="B27" s="77"/>
      <c r="C27" s="77"/>
      <c r="D27" s="90"/>
      <c r="E27" s="90"/>
      <c r="F27" s="3"/>
      <c r="G27" s="80"/>
      <c r="H27" s="87"/>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5"/>
      <c r="AL27" s="83"/>
      <c r="AM27" s="83"/>
      <c r="AN27" s="100"/>
      <c r="AO27" s="100"/>
      <c r="AP27" s="100"/>
      <c r="AQ27" s="83"/>
      <c r="AR27" s="83"/>
      <c r="AS27" s="83"/>
      <c r="AT27" s="83"/>
      <c r="AU27" s="83"/>
      <c r="AV27" s="83"/>
      <c r="AW27" s="83"/>
      <c r="AX27" s="83"/>
      <c r="AY27" s="83"/>
      <c r="AZ27" s="34"/>
      <c r="BA27" s="83"/>
      <c r="BB27" s="34"/>
      <c r="BC27" s="56"/>
      <c r="BD27" s="83"/>
      <c r="BE27" s="83"/>
      <c r="BF27" s="83"/>
      <c r="BG27" s="83"/>
      <c r="BH27" s="19"/>
    </row>
  </sheetData>
  <autoFilter ref="A9:BH27"/>
  <mergeCells count="8">
    <mergeCell ref="A6:F6"/>
    <mergeCell ref="A7:F7"/>
    <mergeCell ref="AB5:AD5"/>
    <mergeCell ref="A8:E8"/>
    <mergeCell ref="AG2:AH2"/>
    <mergeCell ref="AG3:AH3"/>
    <mergeCell ref="AG4:AH4"/>
    <mergeCell ref="AB4:AD4"/>
  </mergeCells>
  <phoneticPr fontId="3" type="noConversion"/>
  <conditionalFormatting sqref="F1:F1048576">
    <cfRule type="cellIs" dxfId="31" priority="1" stopIfTrue="1" operator="between">
      <formula>610000</formula>
      <formula>619999</formula>
    </cfRule>
  </conditionalFormatting>
  <pageMargins left="0.54" right="0.25" top="0.24" bottom="0.49" header="0.25" footer="0"/>
  <pageSetup scale="77" fitToHeight="0" orientation="landscape" r:id="rId1"/>
  <headerFooter alignWithMargins="0">
    <oddFooter>&amp;C&amp;8Detail of Expenditures Budget By Department, Page &amp;P of &amp;N</oddFooter>
  </headerFooter>
  <legacyDrawing r:id="rId2"/>
</worksheet>
</file>

<file path=xl/worksheets/sheet7.xml><?xml version="1.0" encoding="utf-8"?>
<worksheet xmlns="http://schemas.openxmlformats.org/spreadsheetml/2006/main" xmlns:r="http://schemas.openxmlformats.org/officeDocument/2006/relationships">
  <sheetPr codeName="Sheet9" enableFormatConditionsCalculation="0">
    <tabColor indexed="17"/>
    <pageSetUpPr fitToPage="1"/>
  </sheetPr>
  <dimension ref="A1:BK138"/>
  <sheetViews>
    <sheetView zoomScale="75" zoomScaleNormal="90" workbookViewId="0">
      <pane xSplit="8" ySplit="24" topLeftCell="I25" activePane="bottomRight" state="frozen"/>
      <selection activeCell="A28" sqref="A28"/>
      <selection pane="topRight" activeCell="A28" sqref="A28"/>
      <selection pane="bottomLeft" activeCell="A28" sqref="A28"/>
      <selection pane="bottomRight"/>
    </sheetView>
  </sheetViews>
  <sheetFormatPr defaultRowHeight="12.75" outlineLevelRow="1" outlineLevelCol="1"/>
  <cols>
    <col min="1" max="1" width="7" style="39" customWidth="1" outlineLevel="1"/>
    <col min="2" max="2" width="6.140625" style="39" customWidth="1" outlineLevel="1"/>
    <col min="3" max="3" width="3.7109375" style="39" customWidth="1" outlineLevel="1"/>
    <col min="4" max="5" width="4.85546875" style="168" customWidth="1" outlineLevel="1"/>
    <col min="6" max="6" width="8.7109375" style="40" customWidth="1" outlineLevel="1"/>
    <col min="7" max="7" width="28.5703125" style="4" customWidth="1"/>
    <col min="8" max="8" width="16.5703125" style="4" hidden="1" customWidth="1"/>
    <col min="9" max="10" width="15.140625" style="4" hidden="1" customWidth="1" collapsed="1"/>
    <col min="11" max="11" width="39.5703125" style="4" hidden="1" customWidth="1"/>
    <col min="12" max="12" width="15.140625" style="7" bestFit="1" customWidth="1" collapsed="1"/>
    <col min="13" max="13" width="31.7109375" style="7" hidden="1" customWidth="1"/>
    <col min="14" max="14" width="35.5703125" style="7" hidden="1" customWidth="1" collapsed="1"/>
    <col min="15" max="15" width="0.140625" style="7" customWidth="1"/>
    <col min="16" max="16" width="25.28515625" style="7" hidden="1" customWidth="1" outlineLevel="1" collapsed="1"/>
    <col min="17" max="17" width="23.42578125" style="7" hidden="1" customWidth="1" outlineLevel="1"/>
    <col min="18" max="18" width="20.5703125" style="7" hidden="1" customWidth="1" outlineLevel="1" collapsed="1"/>
    <col min="19" max="19" width="18" style="7" hidden="1" customWidth="1" outlineLevel="1"/>
    <col min="20" max="20" width="19.5703125" style="7" hidden="1" customWidth="1" outlineLevel="1"/>
    <col min="21" max="21" width="18.42578125" style="7" hidden="1" customWidth="1" outlineLevel="1"/>
    <col min="22" max="22" width="13.140625" style="7" hidden="1" customWidth="1"/>
    <col min="23" max="23" width="14.140625" style="7" hidden="1" customWidth="1"/>
    <col min="24" max="24" width="14.5703125" style="7" customWidth="1" collapsed="1"/>
    <col min="25" max="25" width="0.85546875" style="7" hidden="1" customWidth="1"/>
    <col min="26" max="26" width="16.140625" style="7" hidden="1" customWidth="1"/>
    <col min="27" max="27" width="0.140625" style="7" hidden="1" customWidth="1"/>
    <col min="28" max="28" width="16.140625" style="7" hidden="1" customWidth="1" outlineLevel="1"/>
    <col min="29" max="29" width="0.42578125" style="7" hidden="1" customWidth="1" outlineLevel="1"/>
    <col min="30" max="30" width="17.85546875" style="7" hidden="1" customWidth="1" outlineLevel="1"/>
    <col min="31" max="31" width="0.42578125" style="7" hidden="1" customWidth="1" outlineLevel="1"/>
    <col min="32" max="32" width="16.140625" style="7" hidden="1" customWidth="1" collapsed="1"/>
    <col min="33" max="33" width="16" style="7" hidden="1" customWidth="1" outlineLevel="1"/>
    <col min="34" max="34" width="17" style="7" hidden="1" customWidth="1" outlineLevel="1"/>
    <col min="35" max="35" width="10.5703125" style="7" hidden="1" customWidth="1" outlineLevel="1"/>
    <col min="36" max="36" width="16.140625" style="7" hidden="1" customWidth="1" collapsed="1"/>
    <col min="37" max="37" width="0.7109375" style="7" hidden="1" customWidth="1"/>
    <col min="38" max="38" width="16.140625" style="7" hidden="1" customWidth="1" outlineLevel="1"/>
    <col min="39" max="39" width="4.140625" style="7" hidden="1" customWidth="1" outlineLevel="1"/>
    <col min="40" max="40" width="16.140625" style="17" customWidth="1" collapsed="1"/>
    <col min="41" max="41" width="16.140625" style="17" hidden="1" customWidth="1" collapsed="1"/>
    <col min="42" max="42" width="16.140625" style="17" customWidth="1" collapsed="1"/>
    <col min="43" max="43" width="0.7109375" style="7" hidden="1" customWidth="1" outlineLevel="1"/>
    <col min="44" max="44" width="22.140625" style="7" hidden="1" customWidth="1" outlineLevel="1"/>
    <col min="45" max="45" width="0.42578125" style="7" hidden="1" customWidth="1" outlineLevel="1"/>
    <col min="46" max="46" width="17.85546875" style="7" hidden="1" customWidth="1" outlineLevel="1"/>
    <col min="47" max="47" width="0.42578125" style="7" hidden="1" customWidth="1" outlineLevel="1"/>
    <col min="48" max="48" width="18" style="7" hidden="1" customWidth="1" collapsed="1"/>
    <col min="49" max="49" width="0.5703125" style="7" hidden="1" customWidth="1"/>
    <col min="50" max="50" width="18" style="7" hidden="1" customWidth="1"/>
    <col min="51" max="51" width="0.5703125" style="7" customWidth="1"/>
    <col min="52" max="52" width="16.140625" style="17" customWidth="1" collapsed="1"/>
    <col min="53" max="53" width="15.7109375" style="7" bestFit="1" customWidth="1"/>
    <col min="54" max="54" width="15.140625" style="7" customWidth="1"/>
    <col min="55" max="55" width="23.140625" style="7" customWidth="1"/>
    <col min="56" max="56" width="19.85546875" style="7" bestFit="1" customWidth="1"/>
    <col min="57" max="59" width="12.42578125" style="7" customWidth="1"/>
    <col min="60" max="60" width="3.85546875" style="76" customWidth="1"/>
    <col min="61" max="61" width="14.5703125" style="12" bestFit="1" customWidth="1"/>
  </cols>
  <sheetData>
    <row r="1" spans="1:62" ht="15">
      <c r="A1" s="1" t="s">
        <v>0</v>
      </c>
      <c r="B1" s="2"/>
      <c r="C1" s="2"/>
      <c r="D1" s="1"/>
      <c r="E1" s="1"/>
      <c r="F1" s="3"/>
      <c r="H1" s="5"/>
      <c r="I1" s="6"/>
      <c r="T1" s="8"/>
      <c r="Z1" s="9"/>
      <c r="AB1" s="9"/>
      <c r="AD1" s="9"/>
      <c r="AF1" s="9"/>
      <c r="AH1" s="10" t="e">
        <f>+#REF!</f>
        <v>#REF!</v>
      </c>
      <c r="AJ1" s="9"/>
      <c r="AK1" s="9"/>
      <c r="AN1" s="9"/>
      <c r="AO1" s="9"/>
      <c r="AP1" s="9"/>
      <c r="AR1" s="9"/>
      <c r="AT1" s="9"/>
      <c r="AV1" s="9"/>
      <c r="AW1" s="9"/>
      <c r="AX1" s="9"/>
      <c r="AY1" s="9"/>
      <c r="AZ1" s="9"/>
      <c r="BA1" s="9"/>
      <c r="BB1" s="9"/>
      <c r="BC1" s="9"/>
      <c r="BD1" s="9"/>
      <c r="BE1" s="9"/>
      <c r="BF1" s="9"/>
      <c r="BG1" s="9"/>
      <c r="BH1" s="11"/>
    </row>
    <row r="2" spans="1:62" ht="15">
      <c r="A2" s="1" t="s">
        <v>1053</v>
      </c>
      <c r="B2" s="2"/>
      <c r="C2" s="2"/>
      <c r="D2" s="1"/>
      <c r="E2" s="1"/>
      <c r="F2" s="3"/>
      <c r="H2" s="5"/>
      <c r="I2" s="13"/>
      <c r="J2" s="14"/>
      <c r="K2" s="14"/>
      <c r="L2" s="15"/>
      <c r="M2" s="15"/>
      <c r="N2" s="15"/>
      <c r="O2" s="15"/>
      <c r="P2" s="15"/>
      <c r="R2" s="15"/>
      <c r="T2" s="8"/>
      <c r="V2" s="15"/>
      <c r="X2" s="15"/>
      <c r="Z2" s="15"/>
      <c r="AB2" s="15"/>
      <c r="AD2" s="15"/>
      <c r="AF2" s="15"/>
      <c r="AG2" s="238" t="s">
        <v>1</v>
      </c>
      <c r="AH2" s="238"/>
      <c r="AI2" s="17"/>
      <c r="AJ2" s="18"/>
      <c r="AK2" s="15"/>
      <c r="AL2" s="10" t="e">
        <f>+#REF!</f>
        <v>#REF!</v>
      </c>
      <c r="AN2" s="18"/>
      <c r="AO2" s="18"/>
      <c r="AP2" s="18"/>
      <c r="AR2" s="15"/>
      <c r="AT2" s="15"/>
      <c r="AV2" s="15"/>
      <c r="AW2" s="15"/>
      <c r="AX2" s="15"/>
      <c r="AY2" s="15"/>
      <c r="AZ2" s="18"/>
      <c r="BA2" s="15"/>
      <c r="BB2" s="15"/>
      <c r="BC2" s="15"/>
      <c r="BD2" s="15"/>
      <c r="BE2" s="15"/>
      <c r="BF2" s="15"/>
      <c r="BG2" s="15"/>
      <c r="BH2" s="19"/>
    </row>
    <row r="3" spans="1:62">
      <c r="A3" s="20" t="str">
        <f>IF(G7=1,"DETAIL OF EXPENDITURES BUDGET BY DEPARTMENT WITH COMPARATIVE AMOUNTS", "SUMMARY OF EXPENDITURES BUDGET BY DEPARTMENT WITH COMPARATIVE AMOUNTS")</f>
        <v>DETAIL OF EXPENDITURES BUDGET BY DEPARTMENT WITH COMPARATIVE AMOUNTS</v>
      </c>
      <c r="B3" s="21"/>
      <c r="C3" s="21"/>
      <c r="D3" s="22"/>
      <c r="E3" s="22"/>
      <c r="F3" s="3"/>
      <c r="H3" s="5"/>
      <c r="I3" s="23"/>
      <c r="J3" s="15"/>
      <c r="L3" s="15"/>
      <c r="M3" s="10"/>
      <c r="N3" s="10"/>
      <c r="O3" s="10"/>
      <c r="P3" s="24"/>
      <c r="R3" s="24"/>
      <c r="V3" s="24"/>
      <c r="W3" s="24"/>
      <c r="X3" s="15"/>
      <c r="Y3" s="24"/>
      <c r="AA3" s="24"/>
      <c r="AB3" s="24" t="e">
        <f>+#REF!</f>
        <v>#REF!</v>
      </c>
      <c r="AC3" s="24"/>
      <c r="AD3" s="24" t="e">
        <f>+#REF!</f>
        <v>#REF!</v>
      </c>
      <c r="AE3" s="24"/>
      <c r="AF3" s="10" t="e">
        <f>+#REF!</f>
        <v>#REF!</v>
      </c>
      <c r="AG3" s="239" t="s">
        <v>2</v>
      </c>
      <c r="AH3" s="239"/>
      <c r="AI3" s="25"/>
      <c r="AJ3" s="25" t="e">
        <f>+#REF!</f>
        <v>#REF!</v>
      </c>
      <c r="AK3" s="24"/>
      <c r="AL3" s="16" t="s">
        <v>1</v>
      </c>
      <c r="AM3" s="25"/>
      <c r="AN3" s="25"/>
      <c r="AO3" s="25"/>
      <c r="AP3" s="25"/>
      <c r="AQ3" s="24"/>
      <c r="AR3" s="24" t="e">
        <f>+#REF!</f>
        <v>#REF!</v>
      </c>
      <c r="AS3" s="24"/>
      <c r="AT3" s="24" t="e">
        <f>+#REF!</f>
        <v>#REF!</v>
      </c>
      <c r="AU3" s="24"/>
      <c r="AV3" s="24" t="e">
        <f>+#REF!</f>
        <v>#REF!</v>
      </c>
      <c r="AW3" s="24"/>
      <c r="AX3" s="24" t="e">
        <f>+#REF!</f>
        <v>#REF!</v>
      </c>
      <c r="AY3" s="24"/>
      <c r="AZ3" s="25"/>
      <c r="BA3" s="24"/>
      <c r="BB3" s="24"/>
      <c r="BC3" s="24"/>
      <c r="BD3" s="26"/>
      <c r="BE3" s="26"/>
      <c r="BF3" s="26"/>
      <c r="BG3" s="26"/>
      <c r="BH3" s="27"/>
    </row>
    <row r="4" spans="1:62" ht="15">
      <c r="A4" s="28" t="s">
        <v>1070</v>
      </c>
      <c r="B4" s="29"/>
      <c r="C4" s="29"/>
      <c r="D4" s="28"/>
      <c r="E4" s="28"/>
      <c r="F4" s="3"/>
      <c r="H4" s="30"/>
      <c r="I4" s="31" t="e">
        <f>+#REF!</f>
        <v>#REF!</v>
      </c>
      <c r="J4" s="31" t="e">
        <f>+#REF!</f>
        <v>#REF!</v>
      </c>
      <c r="L4" s="31"/>
      <c r="M4" s="32"/>
      <c r="N4" s="33"/>
      <c r="O4" s="32"/>
      <c r="P4" s="33"/>
      <c r="R4" s="33"/>
      <c r="T4" s="33"/>
      <c r="X4" s="31"/>
      <c r="Z4" s="10"/>
      <c r="AB4" s="241"/>
      <c r="AC4" s="241"/>
      <c r="AD4" s="241"/>
      <c r="AE4" s="35"/>
      <c r="AF4" s="34"/>
      <c r="AG4" s="240"/>
      <c r="AH4" s="240"/>
      <c r="AI4" s="17"/>
      <c r="AJ4" s="16"/>
      <c r="AK4" s="24"/>
      <c r="AL4" s="16"/>
      <c r="AM4" s="17"/>
      <c r="AN4" s="31"/>
      <c r="AO4" s="31"/>
      <c r="AP4" s="31"/>
      <c r="AR4" s="34" t="s">
        <v>5</v>
      </c>
      <c r="AU4" s="35"/>
      <c r="AV4" s="34"/>
      <c r="AW4" s="34"/>
      <c r="AX4" s="34" t="s">
        <v>5</v>
      </c>
      <c r="AY4" s="34"/>
      <c r="AZ4" s="31"/>
      <c r="BA4" s="34"/>
      <c r="BB4" s="34"/>
      <c r="BC4" s="34"/>
      <c r="BD4" s="37"/>
      <c r="BE4" s="37"/>
      <c r="BF4" s="37"/>
      <c r="BG4" s="37"/>
      <c r="BH4" s="38"/>
    </row>
    <row r="5" spans="1:62" ht="15">
      <c r="B5" s="29"/>
      <c r="C5" s="29"/>
      <c r="D5" s="28"/>
      <c r="E5" s="28"/>
      <c r="G5" s="28"/>
      <c r="H5" s="5"/>
      <c r="I5" s="41" t="s">
        <v>6</v>
      </c>
      <c r="J5" s="42" t="s">
        <v>7</v>
      </c>
      <c r="L5" s="16" t="s">
        <v>8</v>
      </c>
      <c r="M5" s="16"/>
      <c r="N5" s="16" t="s">
        <v>9</v>
      </c>
      <c r="O5" s="16"/>
      <c r="P5" s="16" t="s">
        <v>9</v>
      </c>
      <c r="Q5" s="17"/>
      <c r="R5" s="43"/>
      <c r="S5" s="17"/>
      <c r="T5" s="16"/>
      <c r="U5" s="17"/>
      <c r="V5" s="16" t="s">
        <v>9</v>
      </c>
      <c r="X5" s="16" t="s">
        <v>9</v>
      </c>
      <c r="Z5" s="34" t="s">
        <v>1</v>
      </c>
      <c r="AB5" s="243" t="s">
        <v>10</v>
      </c>
      <c r="AC5" s="243"/>
      <c r="AD5" s="243"/>
      <c r="AE5" s="35"/>
      <c r="AF5" s="34" t="s">
        <v>1</v>
      </c>
      <c r="AG5" s="17"/>
      <c r="AH5" s="16" t="s">
        <v>11</v>
      </c>
      <c r="AI5" s="17"/>
      <c r="AJ5" s="16" t="s">
        <v>1</v>
      </c>
      <c r="AK5" s="24"/>
      <c r="AL5" s="43" t="s">
        <v>12</v>
      </c>
      <c r="AM5" s="17"/>
      <c r="AN5" s="16" t="s">
        <v>1</v>
      </c>
      <c r="AO5" s="45" t="s">
        <v>1</v>
      </c>
      <c r="AP5" s="46" t="s">
        <v>5</v>
      </c>
      <c r="AQ5" s="47"/>
      <c r="AR5" s="48" t="s">
        <v>10</v>
      </c>
      <c r="AS5" s="47"/>
      <c r="AT5" s="47"/>
      <c r="AU5" s="47"/>
      <c r="AV5" s="46" t="s">
        <v>5</v>
      </c>
      <c r="AW5" s="34"/>
      <c r="AX5" s="49" t="s">
        <v>3</v>
      </c>
      <c r="AY5" s="34"/>
      <c r="AZ5" s="46" t="s">
        <v>1054</v>
      </c>
      <c r="BA5" s="46" t="s">
        <v>1054</v>
      </c>
      <c r="BB5" s="34" t="s">
        <v>1069</v>
      </c>
      <c r="BC5" s="34"/>
      <c r="BD5" s="50" t="s">
        <v>13</v>
      </c>
      <c r="BE5" s="37"/>
      <c r="BF5" s="37"/>
      <c r="BG5" s="37"/>
      <c r="BH5" s="51"/>
    </row>
    <row r="6" spans="1:62">
      <c r="A6" s="242"/>
      <c r="B6" s="242"/>
      <c r="C6" s="242"/>
      <c r="D6" s="242"/>
      <c r="E6" s="242"/>
      <c r="F6" s="242"/>
      <c r="G6" s="22"/>
      <c r="H6" s="5"/>
      <c r="I6" s="52" t="s">
        <v>14</v>
      </c>
      <c r="J6" s="52" t="s">
        <v>14</v>
      </c>
      <c r="L6" s="43" t="s">
        <v>14</v>
      </c>
      <c r="M6" s="43"/>
      <c r="N6" s="43" t="s">
        <v>15</v>
      </c>
      <c r="O6" s="43"/>
      <c r="P6" s="43" t="s">
        <v>4</v>
      </c>
      <c r="Q6" s="17"/>
      <c r="R6" s="43" t="s">
        <v>4</v>
      </c>
      <c r="S6" s="43"/>
      <c r="T6" s="43" t="s">
        <v>16</v>
      </c>
      <c r="U6" s="43"/>
      <c r="V6" s="43" t="s">
        <v>4</v>
      </c>
      <c r="W6" s="43"/>
      <c r="X6" s="43" t="s">
        <v>14</v>
      </c>
      <c r="Y6" s="43"/>
      <c r="Z6" s="34" t="s">
        <v>17</v>
      </c>
      <c r="AA6" s="43"/>
      <c r="AB6" s="53" t="s">
        <v>16</v>
      </c>
      <c r="AC6" s="53"/>
      <c r="AD6" s="34"/>
      <c r="AE6" s="53"/>
      <c r="AF6" s="34" t="s">
        <v>17</v>
      </c>
      <c r="AG6" s="43" t="s">
        <v>16</v>
      </c>
      <c r="AH6" s="16" t="s">
        <v>18</v>
      </c>
      <c r="AI6" s="43"/>
      <c r="AJ6" s="16" t="s">
        <v>19</v>
      </c>
      <c r="AK6" s="24"/>
      <c r="AL6" s="43" t="s">
        <v>16</v>
      </c>
      <c r="AM6" s="43"/>
      <c r="AN6" s="43" t="s">
        <v>14</v>
      </c>
      <c r="AO6" s="45" t="s">
        <v>20</v>
      </c>
      <c r="AP6" s="43" t="s">
        <v>14</v>
      </c>
      <c r="AQ6" s="54"/>
      <c r="AR6" s="54" t="s">
        <v>16</v>
      </c>
      <c r="AS6" s="54"/>
      <c r="AT6" s="46"/>
      <c r="AU6" s="54"/>
      <c r="AV6" s="46" t="s">
        <v>19</v>
      </c>
      <c r="AW6" s="34"/>
      <c r="AX6" s="55" t="s">
        <v>16</v>
      </c>
      <c r="AY6" s="34"/>
      <c r="AZ6" s="46" t="s">
        <v>17</v>
      </c>
      <c r="BA6" s="46" t="s">
        <v>17</v>
      </c>
      <c r="BB6" s="34" t="s">
        <v>19</v>
      </c>
      <c r="BC6" s="56"/>
      <c r="BD6" s="50" t="s">
        <v>21</v>
      </c>
      <c r="BE6" s="37"/>
      <c r="BF6" s="37"/>
      <c r="BG6" s="37"/>
      <c r="BH6" s="57"/>
    </row>
    <row r="7" spans="1:62" ht="15">
      <c r="A7" s="237"/>
      <c r="B7" s="237"/>
      <c r="C7" s="237"/>
      <c r="D7" s="237"/>
      <c r="E7" s="237"/>
      <c r="F7" s="237"/>
      <c r="G7" s="59">
        <v>1</v>
      </c>
      <c r="H7" s="60"/>
      <c r="I7" s="52" t="s">
        <v>22</v>
      </c>
      <c r="J7" s="52" t="s">
        <v>22</v>
      </c>
      <c r="L7" s="43" t="s">
        <v>22</v>
      </c>
      <c r="M7" s="43"/>
      <c r="N7" s="43" t="s">
        <v>23</v>
      </c>
      <c r="O7" s="43"/>
      <c r="P7" s="43" t="s">
        <v>24</v>
      </c>
      <c r="Q7" s="43"/>
      <c r="R7" s="43" t="s">
        <v>24</v>
      </c>
      <c r="S7" s="43"/>
      <c r="T7" s="43" t="s">
        <v>25</v>
      </c>
      <c r="U7" s="43"/>
      <c r="V7" s="43" t="s">
        <v>24</v>
      </c>
      <c r="W7" s="43"/>
      <c r="X7" s="43" t="s">
        <v>22</v>
      </c>
      <c r="Y7" s="43"/>
      <c r="Z7" s="53" t="s">
        <v>15</v>
      </c>
      <c r="AA7" s="43"/>
      <c r="AB7" s="53" t="s">
        <v>26</v>
      </c>
      <c r="AC7" s="53"/>
      <c r="AD7" s="53"/>
      <c r="AE7" s="53"/>
      <c r="AF7" s="53" t="s">
        <v>4</v>
      </c>
      <c r="AG7" s="43" t="s">
        <v>26</v>
      </c>
      <c r="AH7" s="43" t="s">
        <v>27</v>
      </c>
      <c r="AI7" s="43"/>
      <c r="AJ7" s="43" t="s">
        <v>4</v>
      </c>
      <c r="AK7" s="24"/>
      <c r="AL7" s="43" t="s">
        <v>26</v>
      </c>
      <c r="AM7" s="43"/>
      <c r="AN7" s="43" t="s">
        <v>22</v>
      </c>
      <c r="AO7" s="61" t="s">
        <v>22</v>
      </c>
      <c r="AP7" s="43" t="s">
        <v>22</v>
      </c>
      <c r="AQ7" s="54"/>
      <c r="AR7" s="54" t="s">
        <v>26</v>
      </c>
      <c r="AS7" s="54"/>
      <c r="AT7" s="54"/>
      <c r="AU7" s="54"/>
      <c r="AV7" s="54" t="s">
        <v>4</v>
      </c>
      <c r="AW7" s="53"/>
      <c r="AX7" s="55" t="s">
        <v>26</v>
      </c>
      <c r="AY7" s="53"/>
      <c r="AZ7" s="54" t="s">
        <v>15</v>
      </c>
      <c r="BA7" s="54" t="s">
        <v>4</v>
      </c>
      <c r="BB7" s="34" t="s">
        <v>15</v>
      </c>
      <c r="BC7" s="56"/>
      <c r="BD7" s="50" t="s">
        <v>28</v>
      </c>
      <c r="BE7" s="62"/>
      <c r="BF7" s="62"/>
      <c r="BG7" s="62"/>
      <c r="BH7" s="57"/>
      <c r="BI7" s="63"/>
    </row>
    <row r="8" spans="1:62" ht="15">
      <c r="A8" s="237" t="s">
        <v>29</v>
      </c>
      <c r="B8" s="237"/>
      <c r="C8" s="237"/>
      <c r="D8" s="237"/>
      <c r="E8" s="237"/>
      <c r="F8" s="64" t="s">
        <v>30</v>
      </c>
      <c r="G8" s="64" t="s">
        <v>31</v>
      </c>
      <c r="H8" s="60"/>
      <c r="I8" s="65" t="s">
        <v>32</v>
      </c>
      <c r="J8" s="65" t="s">
        <v>32</v>
      </c>
      <c r="L8" s="66" t="s">
        <v>32</v>
      </c>
      <c r="M8" s="36"/>
      <c r="N8" s="36" t="s">
        <v>2</v>
      </c>
      <c r="O8" s="36"/>
      <c r="P8" s="36" t="s">
        <v>33</v>
      </c>
      <c r="Q8" s="36"/>
      <c r="R8" s="36" t="s">
        <v>34</v>
      </c>
      <c r="S8" s="36"/>
      <c r="T8" s="36" t="s">
        <v>35</v>
      </c>
      <c r="U8" s="36"/>
      <c r="V8" s="36" t="s">
        <v>36</v>
      </c>
      <c r="W8" s="36"/>
      <c r="X8" s="66" t="s">
        <v>32</v>
      </c>
      <c r="Y8" s="36"/>
      <c r="Z8" s="44" t="s">
        <v>24</v>
      </c>
      <c r="AA8" s="36"/>
      <c r="AB8" s="44" t="s">
        <v>35</v>
      </c>
      <c r="AC8" s="44"/>
      <c r="AD8" s="44" t="s">
        <v>37</v>
      </c>
      <c r="AE8" s="44"/>
      <c r="AF8" s="44" t="s">
        <v>38</v>
      </c>
      <c r="AG8" s="36" t="s">
        <v>35</v>
      </c>
      <c r="AH8" s="36" t="s">
        <v>39</v>
      </c>
      <c r="AI8" s="36"/>
      <c r="AJ8" s="36" t="s">
        <v>40</v>
      </c>
      <c r="AK8" s="24"/>
      <c r="AL8" s="36" t="s">
        <v>35</v>
      </c>
      <c r="AM8" s="36"/>
      <c r="AN8" s="36" t="s">
        <v>32</v>
      </c>
      <c r="AO8" s="67" t="s">
        <v>32</v>
      </c>
      <c r="AP8" s="36" t="s">
        <v>32</v>
      </c>
      <c r="AQ8" s="48"/>
      <c r="AR8" s="48" t="s">
        <v>35</v>
      </c>
      <c r="AS8" s="48"/>
      <c r="AT8" s="48" t="s">
        <v>37</v>
      </c>
      <c r="AU8" s="48"/>
      <c r="AV8" s="48" t="s">
        <v>38</v>
      </c>
      <c r="AW8" s="44"/>
      <c r="AX8" s="49" t="s">
        <v>35</v>
      </c>
      <c r="AY8" s="44"/>
      <c r="AZ8" s="48" t="s">
        <v>2</v>
      </c>
      <c r="BA8" s="48" t="s">
        <v>40</v>
      </c>
      <c r="BB8" s="44" t="s">
        <v>2</v>
      </c>
      <c r="BC8" s="56"/>
      <c r="BD8" s="50" t="s">
        <v>41</v>
      </c>
      <c r="BE8" s="68"/>
      <c r="BF8" s="68"/>
      <c r="BG8" s="68"/>
      <c r="BH8" s="69"/>
    </row>
    <row r="9" spans="1:62" ht="15">
      <c r="A9" s="58"/>
      <c r="B9" s="58"/>
      <c r="C9" s="58"/>
      <c r="D9" s="64"/>
      <c r="E9" s="64"/>
      <c r="F9" s="64"/>
      <c r="G9" s="70"/>
      <c r="H9" s="60"/>
      <c r="J9" s="71"/>
      <c r="AK9" s="24"/>
      <c r="BB9" s="34"/>
      <c r="BC9" s="56"/>
      <c r="BH9" s="72">
        <v>2</v>
      </c>
    </row>
    <row r="10" spans="1:62" hidden="1" outlineLevel="1">
      <c r="A10" s="73"/>
      <c r="B10" s="74"/>
      <c r="C10" s="74"/>
      <c r="D10" s="3"/>
      <c r="E10" s="3"/>
      <c r="F10" s="3"/>
      <c r="G10" s="75" t="s">
        <v>42</v>
      </c>
      <c r="H10" s="5"/>
      <c r="AK10" s="24"/>
      <c r="BB10" s="83"/>
      <c r="BC10" s="56"/>
    </row>
    <row r="11" spans="1:62" hidden="1" outlineLevel="1">
      <c r="A11" s="77" t="s">
        <v>43</v>
      </c>
      <c r="B11" s="77" t="s">
        <v>44</v>
      </c>
      <c r="C11" s="77" t="s">
        <v>45</v>
      </c>
      <c r="D11" s="78" t="s">
        <v>46</v>
      </c>
      <c r="E11" s="78"/>
      <c r="F11" s="79">
        <v>611111</v>
      </c>
      <c r="G11" s="80" t="s">
        <v>47</v>
      </c>
      <c r="H11" s="81"/>
      <c r="I11" s="82">
        <v>145200</v>
      </c>
      <c r="J11" s="82">
        <v>145200</v>
      </c>
      <c r="L11" s="83">
        <v>145200</v>
      </c>
      <c r="M11" s="83"/>
      <c r="N11" s="83">
        <v>145200</v>
      </c>
      <c r="O11" s="83"/>
      <c r="P11" s="83">
        <v>145200</v>
      </c>
      <c r="Q11" s="83"/>
      <c r="R11" s="83">
        <v>145200</v>
      </c>
      <c r="S11" s="83"/>
      <c r="T11" s="83">
        <v>0</v>
      </c>
      <c r="U11" s="83"/>
      <c r="V11" s="83">
        <v>145200</v>
      </c>
      <c r="W11" s="83"/>
      <c r="X11" s="83">
        <v>145200</v>
      </c>
      <c r="Y11" s="83"/>
      <c r="Z11" s="84">
        <v>145200</v>
      </c>
      <c r="AA11" s="83"/>
      <c r="AB11" s="84"/>
      <c r="AC11" s="83"/>
      <c r="AD11" s="84"/>
      <c r="AE11" s="83"/>
      <c r="AF11" s="84">
        <f t="shared" ref="AF11:AF24" si="0">SUM(Z11:AE11)</f>
        <v>145200</v>
      </c>
      <c r="AG11" s="84">
        <v>0</v>
      </c>
      <c r="AH11" s="84">
        <v>0</v>
      </c>
      <c r="AI11" s="83"/>
      <c r="AJ11" s="84">
        <f t="shared" ref="AJ11:AJ24" si="1">SUM(AE11:AI11)</f>
        <v>145200</v>
      </c>
      <c r="AK11" s="85"/>
      <c r="AL11" s="84">
        <v>0</v>
      </c>
      <c r="AM11" s="83"/>
      <c r="AN11" s="86">
        <f>SUM(AI11:AM11)</f>
        <v>145200</v>
      </c>
      <c r="AO11" s="86">
        <v>0</v>
      </c>
      <c r="AP11" s="86">
        <v>145200</v>
      </c>
      <c r="AQ11" s="83"/>
      <c r="AR11" s="84">
        <v>0</v>
      </c>
      <c r="AS11" s="83"/>
      <c r="AT11" s="84">
        <v>0</v>
      </c>
      <c r="AU11" s="83"/>
      <c r="AV11" s="84">
        <f t="shared" ref="AV11:AV24" si="2">SUM(AP11:AU11)</f>
        <v>145200</v>
      </c>
      <c r="AW11" s="84"/>
      <c r="AX11" s="84">
        <v>0</v>
      </c>
      <c r="AY11" s="84"/>
      <c r="AZ11" s="86"/>
      <c r="BA11" s="84">
        <f t="shared" ref="BA11:BA24" si="3">SUM(AV11:AY11)</f>
        <v>145200</v>
      </c>
      <c r="BB11" s="214"/>
      <c r="BC11" s="56"/>
      <c r="BD11" s="84">
        <f t="shared" ref="BD11:BD24" si="4">+AP11-AN11</f>
        <v>0</v>
      </c>
      <c r="BE11" s="84"/>
      <c r="BF11" s="84"/>
      <c r="BG11" s="84"/>
      <c r="BH11" s="72">
        <v>0</v>
      </c>
      <c r="BJ11">
        <v>0</v>
      </c>
    </row>
    <row r="12" spans="1:62" hidden="1" outlineLevel="1">
      <c r="A12" s="77" t="s">
        <v>43</v>
      </c>
      <c r="B12" s="77" t="s">
        <v>44</v>
      </c>
      <c r="C12" s="77" t="s">
        <v>45</v>
      </c>
      <c r="D12" s="78" t="s">
        <v>46</v>
      </c>
      <c r="E12" s="78"/>
      <c r="F12" s="3">
        <v>632015</v>
      </c>
      <c r="G12" s="80" t="s">
        <v>48</v>
      </c>
      <c r="H12" s="87"/>
      <c r="I12" s="13">
        <v>265</v>
      </c>
      <c r="J12" s="13">
        <v>4046</v>
      </c>
      <c r="L12" s="56">
        <v>3908</v>
      </c>
      <c r="M12" s="56"/>
      <c r="N12" s="56">
        <v>0</v>
      </c>
      <c r="O12" s="56"/>
      <c r="P12" s="56">
        <v>0</v>
      </c>
      <c r="Q12" s="56"/>
      <c r="R12" s="56">
        <v>0</v>
      </c>
      <c r="S12" s="56"/>
      <c r="T12" s="56">
        <v>0</v>
      </c>
      <c r="U12" s="56"/>
      <c r="V12" s="56">
        <v>0</v>
      </c>
      <c r="W12" s="56"/>
      <c r="X12" s="56">
        <v>3175</v>
      </c>
      <c r="Y12" s="56"/>
      <c r="Z12" s="56">
        <f>+[1]Board!W13</f>
        <v>0</v>
      </c>
      <c r="AA12" s="56"/>
      <c r="AB12" s="56"/>
      <c r="AC12" s="56"/>
      <c r="AD12" s="56"/>
      <c r="AE12" s="56"/>
      <c r="AF12" s="56">
        <f t="shared" si="0"/>
        <v>0</v>
      </c>
      <c r="AG12" s="56">
        <v>0</v>
      </c>
      <c r="AH12" s="56">
        <v>0</v>
      </c>
      <c r="AI12" s="56"/>
      <c r="AJ12" s="56">
        <f t="shared" si="1"/>
        <v>0</v>
      </c>
      <c r="AK12" s="85"/>
      <c r="AL12" s="56">
        <v>0</v>
      </c>
      <c r="AM12" s="56"/>
      <c r="AN12" s="88">
        <v>1000</v>
      </c>
      <c r="AO12" s="88">
        <v>0</v>
      </c>
      <c r="AP12" s="88"/>
      <c r="AQ12" s="56"/>
      <c r="AR12" s="56">
        <v>0</v>
      </c>
      <c r="AS12" s="56"/>
      <c r="AT12" s="56">
        <v>0</v>
      </c>
      <c r="AU12" s="56"/>
      <c r="AV12" s="56">
        <f t="shared" si="2"/>
        <v>0</v>
      </c>
      <c r="AW12" s="56"/>
      <c r="AX12" s="56">
        <v>0</v>
      </c>
      <c r="AY12" s="56"/>
      <c r="AZ12" s="88"/>
      <c r="BA12" s="56">
        <f t="shared" si="3"/>
        <v>0</v>
      </c>
      <c r="BB12" s="214"/>
      <c r="BC12" s="56"/>
      <c r="BD12" s="84">
        <f t="shared" si="4"/>
        <v>-1000</v>
      </c>
      <c r="BE12" s="56"/>
      <c r="BF12" s="56"/>
      <c r="BG12" s="56"/>
      <c r="BH12" s="72"/>
    </row>
    <row r="13" spans="1:62" hidden="1" outlineLevel="1">
      <c r="A13" s="77" t="s">
        <v>43</v>
      </c>
      <c r="B13" s="77" t="s">
        <v>44</v>
      </c>
      <c r="C13" s="77" t="s">
        <v>45</v>
      </c>
      <c r="D13" s="78" t="s">
        <v>46</v>
      </c>
      <c r="E13" s="78"/>
      <c r="F13" s="3">
        <v>633211</v>
      </c>
      <c r="G13" s="80" t="s">
        <v>49</v>
      </c>
      <c r="H13" s="87"/>
      <c r="I13" s="13">
        <v>88458</v>
      </c>
      <c r="J13" s="13">
        <v>92034</v>
      </c>
      <c r="L13" s="56">
        <v>84185</v>
      </c>
      <c r="M13" s="56"/>
      <c r="N13" s="56">
        <v>110000</v>
      </c>
      <c r="O13" s="56"/>
      <c r="P13" s="56">
        <v>110000</v>
      </c>
      <c r="Q13" s="56"/>
      <c r="R13" s="56">
        <v>110000</v>
      </c>
      <c r="S13" s="56"/>
      <c r="T13" s="56">
        <v>0</v>
      </c>
      <c r="U13" s="56"/>
      <c r="V13" s="56">
        <v>110000</v>
      </c>
      <c r="W13" s="56"/>
      <c r="X13" s="56">
        <v>85633</v>
      </c>
      <c r="Y13" s="56"/>
      <c r="Z13" s="56">
        <v>110000</v>
      </c>
      <c r="AA13" s="56"/>
      <c r="AB13" s="56"/>
      <c r="AC13" s="56"/>
      <c r="AD13" s="56"/>
      <c r="AE13" s="56"/>
      <c r="AF13" s="56">
        <f t="shared" si="0"/>
        <v>110000</v>
      </c>
      <c r="AG13" s="56">
        <v>0</v>
      </c>
      <c r="AH13" s="56">
        <v>0</v>
      </c>
      <c r="AI13" s="56"/>
      <c r="AJ13" s="56">
        <f t="shared" si="1"/>
        <v>110000</v>
      </c>
      <c r="AK13" s="85"/>
      <c r="AL13" s="89">
        <v>12500</v>
      </c>
      <c r="AM13" s="56"/>
      <c r="AN13" s="88">
        <v>122243.7</v>
      </c>
      <c r="AO13" s="88">
        <v>0</v>
      </c>
      <c r="AP13" s="88">
        <v>110000</v>
      </c>
      <c r="AQ13" s="56"/>
      <c r="AR13" s="56">
        <v>0</v>
      </c>
      <c r="AS13" s="56"/>
      <c r="AT13" s="56">
        <v>0</v>
      </c>
      <c r="AU13" s="56"/>
      <c r="AV13" s="56">
        <f t="shared" si="2"/>
        <v>110000</v>
      </c>
      <c r="AW13" s="56"/>
      <c r="AX13" s="56">
        <v>0</v>
      </c>
      <c r="AY13" s="56"/>
      <c r="AZ13" s="88"/>
      <c r="BA13" s="56">
        <f t="shared" si="3"/>
        <v>110000</v>
      </c>
      <c r="BB13" s="34"/>
      <c r="BC13" s="56"/>
      <c r="BD13" s="84">
        <f t="shared" si="4"/>
        <v>-12243.699999999997</v>
      </c>
      <c r="BE13" s="56"/>
      <c r="BF13" s="56"/>
      <c r="BG13" s="56"/>
      <c r="BH13" s="72"/>
    </row>
    <row r="14" spans="1:62" hidden="1" outlineLevel="1">
      <c r="A14" s="77" t="s">
        <v>43</v>
      </c>
      <c r="B14" s="77" t="s">
        <v>44</v>
      </c>
      <c r="C14" s="77" t="s">
        <v>45</v>
      </c>
      <c r="D14" s="78" t="s">
        <v>46</v>
      </c>
      <c r="E14" s="78"/>
      <c r="F14" s="3">
        <v>633311</v>
      </c>
      <c r="G14" s="80" t="s">
        <v>50</v>
      </c>
      <c r="H14" s="87"/>
      <c r="I14" s="13">
        <v>36399</v>
      </c>
      <c r="J14" s="13">
        <v>57075</v>
      </c>
      <c r="L14" s="56">
        <v>71050</v>
      </c>
      <c r="M14" s="56"/>
      <c r="N14" s="56">
        <v>62500</v>
      </c>
      <c r="O14" s="56"/>
      <c r="P14" s="56">
        <v>69500</v>
      </c>
      <c r="Q14" s="56"/>
      <c r="R14" s="56">
        <v>69500</v>
      </c>
      <c r="S14" s="56"/>
      <c r="T14" s="56">
        <v>0</v>
      </c>
      <c r="U14" s="56"/>
      <c r="V14" s="56">
        <v>69500</v>
      </c>
      <c r="W14" s="56"/>
      <c r="X14" s="56">
        <v>47139</v>
      </c>
      <c r="Y14" s="56"/>
      <c r="Z14" s="56">
        <v>75000</v>
      </c>
      <c r="AA14" s="56"/>
      <c r="AB14" s="56"/>
      <c r="AC14" s="56"/>
      <c r="AD14" s="56"/>
      <c r="AE14" s="56"/>
      <c r="AF14" s="56">
        <f t="shared" si="0"/>
        <v>75000</v>
      </c>
      <c r="AG14" s="56">
        <v>0</v>
      </c>
      <c r="AH14" s="56">
        <v>0</v>
      </c>
      <c r="AI14" s="56"/>
      <c r="AJ14" s="56">
        <f t="shared" si="1"/>
        <v>75000</v>
      </c>
      <c r="AK14" s="85"/>
      <c r="AL14" s="56">
        <v>0</v>
      </c>
      <c r="AM14" s="56"/>
      <c r="AN14" s="88">
        <v>71600</v>
      </c>
      <c r="AO14" s="88">
        <v>0</v>
      </c>
      <c r="AP14" s="88">
        <v>70000</v>
      </c>
      <c r="AQ14" s="56"/>
      <c r="AR14" s="56">
        <v>0</v>
      </c>
      <c r="AS14" s="56"/>
      <c r="AT14" s="56">
        <v>0</v>
      </c>
      <c r="AU14" s="56"/>
      <c r="AV14" s="56">
        <f t="shared" si="2"/>
        <v>70000</v>
      </c>
      <c r="AW14" s="56"/>
      <c r="AX14" s="56">
        <v>0</v>
      </c>
      <c r="AY14" s="56"/>
      <c r="AZ14" s="88"/>
      <c r="BA14" s="56">
        <f t="shared" si="3"/>
        <v>70000</v>
      </c>
      <c r="BB14" s="34"/>
      <c r="BC14" s="56"/>
      <c r="BD14" s="84">
        <f t="shared" si="4"/>
        <v>-1600</v>
      </c>
      <c r="BE14" s="56"/>
      <c r="BF14" s="56"/>
      <c r="BG14" s="56"/>
      <c r="BH14" s="72"/>
    </row>
    <row r="15" spans="1:62" hidden="1" outlineLevel="1">
      <c r="A15" s="77" t="s">
        <v>43</v>
      </c>
      <c r="B15" s="77" t="s">
        <v>44</v>
      </c>
      <c r="C15" s="77" t="s">
        <v>45</v>
      </c>
      <c r="D15" s="78" t="s">
        <v>46</v>
      </c>
      <c r="E15" s="78"/>
      <c r="F15" s="3">
        <v>633911</v>
      </c>
      <c r="G15" s="80" t="s">
        <v>51</v>
      </c>
      <c r="H15" s="87"/>
      <c r="I15" s="13">
        <v>200</v>
      </c>
      <c r="J15" s="13">
        <v>5800</v>
      </c>
      <c r="L15" s="56">
        <v>2600</v>
      </c>
      <c r="M15" s="56"/>
      <c r="N15" s="56">
        <v>10000</v>
      </c>
      <c r="O15" s="56"/>
      <c r="P15" s="56">
        <v>10000</v>
      </c>
      <c r="Q15" s="56"/>
      <c r="R15" s="56">
        <v>10000</v>
      </c>
      <c r="S15" s="56"/>
      <c r="T15" s="56">
        <v>0</v>
      </c>
      <c r="U15" s="56"/>
      <c r="V15" s="56">
        <v>10000</v>
      </c>
      <c r="W15" s="56"/>
      <c r="X15" s="56">
        <v>3140</v>
      </c>
      <c r="Y15" s="56"/>
      <c r="Z15" s="56">
        <v>10000</v>
      </c>
      <c r="AA15" s="56"/>
      <c r="AB15" s="56"/>
      <c r="AC15" s="56"/>
      <c r="AD15" s="56"/>
      <c r="AE15" s="56"/>
      <c r="AF15" s="56">
        <f t="shared" si="0"/>
        <v>10000</v>
      </c>
      <c r="AG15" s="56">
        <v>0</v>
      </c>
      <c r="AH15" s="56">
        <v>0</v>
      </c>
      <c r="AI15" s="56"/>
      <c r="AJ15" s="56">
        <f t="shared" si="1"/>
        <v>10000</v>
      </c>
      <c r="AK15" s="85"/>
      <c r="AL15" s="56">
        <v>0</v>
      </c>
      <c r="AM15" s="56"/>
      <c r="AN15" s="88">
        <v>3750</v>
      </c>
      <c r="AO15" s="88">
        <v>0</v>
      </c>
      <c r="AP15" s="88">
        <v>7500</v>
      </c>
      <c r="AQ15" s="56"/>
      <c r="AR15" s="56">
        <v>0</v>
      </c>
      <c r="AS15" s="56"/>
      <c r="AT15" s="56">
        <v>0</v>
      </c>
      <c r="AU15" s="56"/>
      <c r="AV15" s="56">
        <f t="shared" si="2"/>
        <v>7500</v>
      </c>
      <c r="AW15" s="56"/>
      <c r="AX15" s="56">
        <v>0</v>
      </c>
      <c r="AY15" s="56"/>
      <c r="AZ15" s="88"/>
      <c r="BA15" s="56">
        <f t="shared" si="3"/>
        <v>7500</v>
      </c>
      <c r="BB15" s="34"/>
      <c r="BC15" s="56"/>
      <c r="BD15" s="84">
        <f t="shared" si="4"/>
        <v>3750</v>
      </c>
      <c r="BE15" s="56"/>
      <c r="BF15" s="56"/>
      <c r="BG15" s="56"/>
      <c r="BH15" s="72"/>
    </row>
    <row r="16" spans="1:62" hidden="1" outlineLevel="1">
      <c r="A16" s="77" t="s">
        <v>43</v>
      </c>
      <c r="B16" s="77" t="s">
        <v>44</v>
      </c>
      <c r="C16" s="77" t="s">
        <v>45</v>
      </c>
      <c r="D16" s="78" t="s">
        <v>46</v>
      </c>
      <c r="E16" s="78"/>
      <c r="F16" s="3">
        <v>633921</v>
      </c>
      <c r="G16" s="80" t="s">
        <v>52</v>
      </c>
      <c r="H16" s="87"/>
      <c r="I16" s="13">
        <v>4500</v>
      </c>
      <c r="J16" s="13">
        <v>0</v>
      </c>
      <c r="L16" s="56">
        <v>5000</v>
      </c>
      <c r="M16" s="56"/>
      <c r="N16" s="56">
        <v>10000</v>
      </c>
      <c r="O16" s="56"/>
      <c r="P16" s="56">
        <v>12800</v>
      </c>
      <c r="Q16" s="56"/>
      <c r="R16" s="56">
        <v>12800</v>
      </c>
      <c r="S16" s="56"/>
      <c r="T16" s="56">
        <v>0</v>
      </c>
      <c r="U16" s="56"/>
      <c r="V16" s="56">
        <v>12800</v>
      </c>
      <c r="W16" s="56"/>
      <c r="X16" s="56">
        <v>16000</v>
      </c>
      <c r="Y16" s="56"/>
      <c r="Z16" s="56">
        <v>12800</v>
      </c>
      <c r="AA16" s="56"/>
      <c r="AB16" s="56"/>
      <c r="AC16" s="56"/>
      <c r="AD16" s="56">
        <v>6800</v>
      </c>
      <c r="AE16" s="56"/>
      <c r="AF16" s="56">
        <f t="shared" si="0"/>
        <v>19600</v>
      </c>
      <c r="AG16" s="56">
        <v>0</v>
      </c>
      <c r="AH16" s="56">
        <v>0</v>
      </c>
      <c r="AI16" s="56"/>
      <c r="AJ16" s="56">
        <f t="shared" si="1"/>
        <v>19600</v>
      </c>
      <c r="AK16" s="85"/>
      <c r="AL16" s="56">
        <v>0</v>
      </c>
      <c r="AM16" s="56"/>
      <c r="AN16" s="88">
        <v>6800</v>
      </c>
      <c r="AO16" s="88">
        <v>0</v>
      </c>
      <c r="AP16" s="88">
        <v>19600</v>
      </c>
      <c r="AQ16" s="56"/>
      <c r="AR16" s="56">
        <v>0</v>
      </c>
      <c r="AS16" s="56"/>
      <c r="AT16" s="56">
        <v>0</v>
      </c>
      <c r="AU16" s="56"/>
      <c r="AV16" s="56">
        <f t="shared" si="2"/>
        <v>19600</v>
      </c>
      <c r="AW16" s="56"/>
      <c r="AX16" s="56">
        <v>0</v>
      </c>
      <c r="AY16" s="56"/>
      <c r="AZ16" s="88"/>
      <c r="BA16" s="56">
        <f t="shared" si="3"/>
        <v>19600</v>
      </c>
      <c r="BB16" s="34"/>
      <c r="BC16" s="56"/>
      <c r="BD16" s="84">
        <f t="shared" si="4"/>
        <v>12800</v>
      </c>
      <c r="BE16" s="56"/>
      <c r="BF16" s="56"/>
      <c r="BG16" s="56"/>
      <c r="BH16" s="72"/>
    </row>
    <row r="17" spans="1:62" hidden="1" outlineLevel="1">
      <c r="A17" s="77" t="s">
        <v>43</v>
      </c>
      <c r="B17" s="77" t="s">
        <v>44</v>
      </c>
      <c r="C17" s="77" t="s">
        <v>45</v>
      </c>
      <c r="D17" s="78" t="s">
        <v>46</v>
      </c>
      <c r="E17" s="78"/>
      <c r="F17" s="3">
        <v>654011</v>
      </c>
      <c r="G17" s="80" t="s">
        <v>53</v>
      </c>
      <c r="H17" s="87"/>
      <c r="I17" s="13">
        <v>21144</v>
      </c>
      <c r="J17" s="13">
        <v>6851</v>
      </c>
      <c r="L17" s="56">
        <v>3848</v>
      </c>
      <c r="M17" s="56"/>
      <c r="N17" s="56">
        <v>10000</v>
      </c>
      <c r="O17" s="56"/>
      <c r="P17" s="56">
        <v>10000</v>
      </c>
      <c r="Q17" s="56"/>
      <c r="R17" s="56">
        <v>10000</v>
      </c>
      <c r="S17" s="56"/>
      <c r="T17" s="56">
        <v>0</v>
      </c>
      <c r="U17" s="56"/>
      <c r="V17" s="56">
        <v>10000</v>
      </c>
      <c r="W17" s="56"/>
      <c r="X17" s="56">
        <v>6301</v>
      </c>
      <c r="Y17" s="56"/>
      <c r="Z17" s="56">
        <v>10000</v>
      </c>
      <c r="AA17" s="56"/>
      <c r="AB17" s="56"/>
      <c r="AC17" s="56"/>
      <c r="AD17" s="56"/>
      <c r="AE17" s="56"/>
      <c r="AF17" s="56">
        <f t="shared" si="0"/>
        <v>10000</v>
      </c>
      <c r="AG17" s="56">
        <v>0</v>
      </c>
      <c r="AH17" s="56">
        <v>0</v>
      </c>
      <c r="AI17" s="56"/>
      <c r="AJ17" s="56">
        <f t="shared" si="1"/>
        <v>10000</v>
      </c>
      <c r="AK17" s="85"/>
      <c r="AL17" s="56">
        <v>0</v>
      </c>
      <c r="AM17" s="56"/>
      <c r="AN17" s="88">
        <v>7695.7</v>
      </c>
      <c r="AO17" s="88">
        <v>0</v>
      </c>
      <c r="AP17" s="88">
        <v>7500</v>
      </c>
      <c r="AQ17" s="56"/>
      <c r="AR17" s="56">
        <v>0</v>
      </c>
      <c r="AS17" s="56"/>
      <c r="AT17" s="56">
        <v>0</v>
      </c>
      <c r="AU17" s="56"/>
      <c r="AV17" s="56">
        <f t="shared" si="2"/>
        <v>7500</v>
      </c>
      <c r="AW17" s="56"/>
      <c r="AX17" s="56">
        <v>0</v>
      </c>
      <c r="AY17" s="56"/>
      <c r="AZ17" s="88"/>
      <c r="BA17" s="56">
        <f t="shared" si="3"/>
        <v>7500</v>
      </c>
      <c r="BB17" s="34"/>
      <c r="BC17" s="56"/>
      <c r="BD17" s="84">
        <f t="shared" si="4"/>
        <v>-195.69999999999982</v>
      </c>
      <c r="BE17" s="56"/>
      <c r="BF17" s="56"/>
      <c r="BG17" s="56"/>
      <c r="BH17" s="72"/>
    </row>
    <row r="18" spans="1:62" hidden="1" outlineLevel="1">
      <c r="A18" s="77" t="s">
        <v>43</v>
      </c>
      <c r="B18" s="77" t="s">
        <v>44</v>
      </c>
      <c r="C18" s="77" t="s">
        <v>45</v>
      </c>
      <c r="D18" s="78" t="s">
        <v>46</v>
      </c>
      <c r="E18" s="78"/>
      <c r="F18" s="3">
        <v>655011</v>
      </c>
      <c r="G18" s="80" t="s">
        <v>54</v>
      </c>
      <c r="H18" s="87"/>
      <c r="I18" s="13">
        <v>0</v>
      </c>
      <c r="J18" s="13">
        <v>0</v>
      </c>
      <c r="L18" s="56">
        <v>50</v>
      </c>
      <c r="M18" s="56"/>
      <c r="N18" s="56">
        <v>500</v>
      </c>
      <c r="O18" s="56"/>
      <c r="P18" s="56">
        <v>500</v>
      </c>
      <c r="Q18" s="56"/>
      <c r="R18" s="56">
        <v>500</v>
      </c>
      <c r="S18" s="56"/>
      <c r="T18" s="56">
        <v>0</v>
      </c>
      <c r="U18" s="56"/>
      <c r="V18" s="56">
        <v>500</v>
      </c>
      <c r="W18" s="56"/>
      <c r="X18" s="56">
        <v>0</v>
      </c>
      <c r="Y18" s="56"/>
      <c r="Z18" s="56">
        <v>500</v>
      </c>
      <c r="AA18" s="56"/>
      <c r="AB18" s="56"/>
      <c r="AC18" s="56"/>
      <c r="AD18" s="56"/>
      <c r="AE18" s="56"/>
      <c r="AF18" s="56">
        <f t="shared" si="0"/>
        <v>500</v>
      </c>
      <c r="AG18" s="56">
        <v>0</v>
      </c>
      <c r="AH18" s="56">
        <v>0</v>
      </c>
      <c r="AI18" s="56"/>
      <c r="AJ18" s="56">
        <f t="shared" si="1"/>
        <v>500</v>
      </c>
      <c r="AK18" s="85"/>
      <c r="AL18" s="56">
        <v>0</v>
      </c>
      <c r="AM18" s="56"/>
      <c r="AN18" s="88">
        <v>472.8</v>
      </c>
      <c r="AO18" s="88">
        <v>0</v>
      </c>
      <c r="AP18" s="88">
        <v>500</v>
      </c>
      <c r="AQ18" s="56"/>
      <c r="AR18" s="56">
        <v>0</v>
      </c>
      <c r="AS18" s="56"/>
      <c r="AT18" s="56">
        <v>0</v>
      </c>
      <c r="AU18" s="56"/>
      <c r="AV18" s="56">
        <f t="shared" si="2"/>
        <v>500</v>
      </c>
      <c r="AW18" s="56"/>
      <c r="AX18" s="56">
        <v>0</v>
      </c>
      <c r="AY18" s="56"/>
      <c r="AZ18" s="88"/>
      <c r="BA18" s="56">
        <f t="shared" si="3"/>
        <v>500</v>
      </c>
      <c r="BB18" s="34"/>
      <c r="BC18" s="56"/>
      <c r="BD18" s="84">
        <f t="shared" si="4"/>
        <v>27.199999999999989</v>
      </c>
      <c r="BE18" s="56"/>
      <c r="BF18" s="56"/>
      <c r="BG18" s="56"/>
      <c r="BH18" s="72"/>
    </row>
    <row r="19" spans="1:62" hidden="1" outlineLevel="1">
      <c r="A19" s="77" t="s">
        <v>43</v>
      </c>
      <c r="B19" s="77" t="s">
        <v>44</v>
      </c>
      <c r="C19" s="77" t="s">
        <v>45</v>
      </c>
      <c r="D19" s="78" t="s">
        <v>46</v>
      </c>
      <c r="E19" s="78"/>
      <c r="F19" s="3">
        <v>658211</v>
      </c>
      <c r="G19" s="80" t="s">
        <v>55</v>
      </c>
      <c r="H19" s="87"/>
      <c r="I19" s="13">
        <v>36111</v>
      </c>
      <c r="J19" s="13">
        <v>43295</v>
      </c>
      <c r="L19" s="56">
        <v>55267</v>
      </c>
      <c r="M19" s="56"/>
      <c r="N19" s="56">
        <v>30000</v>
      </c>
      <c r="O19" s="56"/>
      <c r="P19" s="56">
        <v>30000</v>
      </c>
      <c r="Q19" s="56"/>
      <c r="R19" s="56">
        <v>30000</v>
      </c>
      <c r="S19" s="56"/>
      <c r="T19" s="56">
        <v>0</v>
      </c>
      <c r="U19" s="56"/>
      <c r="V19" s="56">
        <v>30000</v>
      </c>
      <c r="W19" s="56"/>
      <c r="X19" s="56">
        <v>50452.73</v>
      </c>
      <c r="Y19" s="56"/>
      <c r="Z19" s="56">
        <v>40000</v>
      </c>
      <c r="AA19" s="56"/>
      <c r="AB19" s="56"/>
      <c r="AC19" s="56"/>
      <c r="AD19" s="56"/>
      <c r="AE19" s="56"/>
      <c r="AF19" s="56">
        <f t="shared" si="0"/>
        <v>40000</v>
      </c>
      <c r="AG19" s="56">
        <v>0</v>
      </c>
      <c r="AH19" s="56">
        <v>0</v>
      </c>
      <c r="AI19" s="56"/>
      <c r="AJ19" s="56">
        <f t="shared" si="1"/>
        <v>40000</v>
      </c>
      <c r="AK19" s="85"/>
      <c r="AL19" s="89">
        <v>14000</v>
      </c>
      <c r="AM19" s="56"/>
      <c r="AN19" s="88">
        <v>54682.34</v>
      </c>
      <c r="AO19" s="88">
        <v>0</v>
      </c>
      <c r="AP19" s="88">
        <v>50000</v>
      </c>
      <c r="AQ19" s="56"/>
      <c r="AR19" s="56">
        <v>0</v>
      </c>
      <c r="AS19" s="56"/>
      <c r="AT19" s="56">
        <v>0</v>
      </c>
      <c r="AU19" s="56"/>
      <c r="AV19" s="56">
        <f t="shared" si="2"/>
        <v>50000</v>
      </c>
      <c r="AW19" s="56"/>
      <c r="AX19" s="56">
        <v>0</v>
      </c>
      <c r="AY19" s="56"/>
      <c r="AZ19" s="88"/>
      <c r="BA19" s="56">
        <f t="shared" si="3"/>
        <v>50000</v>
      </c>
      <c r="BB19" s="34"/>
      <c r="BC19" s="56"/>
      <c r="BD19" s="84">
        <f t="shared" si="4"/>
        <v>-4682.3399999999965</v>
      </c>
      <c r="BE19" s="56"/>
      <c r="BF19" s="56"/>
      <c r="BG19" s="56"/>
      <c r="BH19" s="72"/>
    </row>
    <row r="20" spans="1:62" hidden="1" outlineLevel="1">
      <c r="A20" s="77" t="s">
        <v>43</v>
      </c>
      <c r="B20" s="77" t="s">
        <v>44</v>
      </c>
      <c r="C20" s="77" t="s">
        <v>45</v>
      </c>
      <c r="D20" s="78" t="s">
        <v>46</v>
      </c>
      <c r="E20" s="78"/>
      <c r="F20" s="3">
        <v>661001</v>
      </c>
      <c r="G20" s="80" t="s">
        <v>56</v>
      </c>
      <c r="H20" s="87"/>
      <c r="I20" s="13">
        <v>3840</v>
      </c>
      <c r="J20" s="13">
        <v>12631</v>
      </c>
      <c r="L20" s="56">
        <v>7168</v>
      </c>
      <c r="M20" s="56"/>
      <c r="N20" s="56">
        <v>3000</v>
      </c>
      <c r="O20" s="56"/>
      <c r="P20" s="56">
        <v>3000</v>
      </c>
      <c r="Q20" s="56"/>
      <c r="R20" s="56">
        <v>3000</v>
      </c>
      <c r="S20" s="56"/>
      <c r="T20" s="56">
        <v>0</v>
      </c>
      <c r="U20" s="56"/>
      <c r="V20" s="56">
        <v>3000</v>
      </c>
      <c r="W20" s="56"/>
      <c r="X20" s="56">
        <v>4131.5200000000004</v>
      </c>
      <c r="Y20" s="56"/>
      <c r="Z20" s="56">
        <v>3000</v>
      </c>
      <c r="AA20" s="56"/>
      <c r="AB20" s="56"/>
      <c r="AC20" s="56"/>
      <c r="AD20" s="56"/>
      <c r="AE20" s="56"/>
      <c r="AF20" s="56">
        <f t="shared" si="0"/>
        <v>3000</v>
      </c>
      <c r="AG20" s="56">
        <v>0</v>
      </c>
      <c r="AH20" s="56">
        <v>0</v>
      </c>
      <c r="AI20" s="56"/>
      <c r="AJ20" s="56">
        <f t="shared" si="1"/>
        <v>3000</v>
      </c>
      <c r="AK20" s="85"/>
      <c r="AL20" s="56">
        <v>0</v>
      </c>
      <c r="AM20" s="56"/>
      <c r="AN20" s="88">
        <v>3547.87</v>
      </c>
      <c r="AO20" s="88">
        <v>0</v>
      </c>
      <c r="AP20" s="88">
        <v>4500</v>
      </c>
      <c r="AQ20" s="56"/>
      <c r="AR20" s="56">
        <v>0</v>
      </c>
      <c r="AS20" s="56"/>
      <c r="AT20" s="56">
        <v>4378.5</v>
      </c>
      <c r="AU20" s="56"/>
      <c r="AV20" s="56">
        <f t="shared" si="2"/>
        <v>8878.5</v>
      </c>
      <c r="AW20" s="56"/>
      <c r="AX20" s="56">
        <v>0</v>
      </c>
      <c r="AY20" s="56"/>
      <c r="AZ20" s="88"/>
      <c r="BA20" s="56">
        <f t="shared" si="3"/>
        <v>8878.5</v>
      </c>
      <c r="BB20" s="34"/>
      <c r="BC20" s="56"/>
      <c r="BD20" s="84">
        <f t="shared" si="4"/>
        <v>952.13000000000011</v>
      </c>
      <c r="BE20" s="56"/>
      <c r="BF20" s="56"/>
      <c r="BG20" s="56"/>
      <c r="BH20" s="72"/>
    </row>
    <row r="21" spans="1:62" hidden="1" outlineLevel="1">
      <c r="A21" s="77" t="s">
        <v>43</v>
      </c>
      <c r="B21" s="77" t="s">
        <v>44</v>
      </c>
      <c r="C21" s="77" t="s">
        <v>45</v>
      </c>
      <c r="D21" s="78" t="s">
        <v>46</v>
      </c>
      <c r="E21" s="78"/>
      <c r="F21" s="3">
        <v>673001</v>
      </c>
      <c r="G21" s="80" t="s">
        <v>57</v>
      </c>
      <c r="H21" s="87"/>
      <c r="I21" s="13">
        <v>0</v>
      </c>
      <c r="J21" s="13">
        <v>0</v>
      </c>
      <c r="L21" s="56">
        <v>7986</v>
      </c>
      <c r="M21" s="56"/>
      <c r="N21" s="56">
        <v>0</v>
      </c>
      <c r="O21" s="56"/>
      <c r="P21" s="56">
        <v>0</v>
      </c>
      <c r="Q21" s="56"/>
      <c r="R21" s="56">
        <v>0</v>
      </c>
      <c r="S21" s="56"/>
      <c r="T21" s="56">
        <v>0</v>
      </c>
      <c r="U21" s="56"/>
      <c r="V21" s="56">
        <v>0</v>
      </c>
      <c r="W21" s="56"/>
      <c r="X21" s="56">
        <v>0</v>
      </c>
      <c r="Y21" s="56"/>
      <c r="Z21" s="56">
        <f>+[1]Board!W22</f>
        <v>0</v>
      </c>
      <c r="AA21" s="56"/>
      <c r="AB21" s="56"/>
      <c r="AC21" s="56"/>
      <c r="AD21" s="56"/>
      <c r="AE21" s="56"/>
      <c r="AF21" s="56">
        <f t="shared" si="0"/>
        <v>0</v>
      </c>
      <c r="AG21" s="56">
        <v>0</v>
      </c>
      <c r="AH21" s="56">
        <v>0</v>
      </c>
      <c r="AI21" s="56"/>
      <c r="AJ21" s="56">
        <f t="shared" si="1"/>
        <v>0</v>
      </c>
      <c r="AK21" s="85"/>
      <c r="AL21" s="56">
        <v>0</v>
      </c>
      <c r="AM21" s="56"/>
      <c r="AN21" s="88">
        <f>SUM(AI21:AM21)</f>
        <v>0</v>
      </c>
      <c r="AO21" s="88">
        <v>0</v>
      </c>
      <c r="AP21" s="88">
        <v>0</v>
      </c>
      <c r="AQ21" s="56"/>
      <c r="AR21" s="56">
        <v>0</v>
      </c>
      <c r="AS21" s="56"/>
      <c r="AT21" s="56">
        <v>0</v>
      </c>
      <c r="AU21" s="56"/>
      <c r="AV21" s="56">
        <f t="shared" si="2"/>
        <v>0</v>
      </c>
      <c r="AW21" s="56"/>
      <c r="AX21" s="56">
        <v>0</v>
      </c>
      <c r="AY21" s="56"/>
      <c r="AZ21" s="88"/>
      <c r="BA21" s="56">
        <f t="shared" si="3"/>
        <v>0</v>
      </c>
      <c r="BB21" s="34"/>
      <c r="BC21" s="56"/>
      <c r="BD21" s="84">
        <f t="shared" si="4"/>
        <v>0</v>
      </c>
      <c r="BE21" s="56"/>
      <c r="BF21" s="56"/>
      <c r="BG21" s="56"/>
      <c r="BH21" s="72"/>
    </row>
    <row r="22" spans="1:62" hidden="1" outlineLevel="1">
      <c r="A22" s="77" t="s">
        <v>43</v>
      </c>
      <c r="B22" s="77" t="s">
        <v>44</v>
      </c>
      <c r="C22" s="77" t="s">
        <v>45</v>
      </c>
      <c r="D22" s="78" t="s">
        <v>46</v>
      </c>
      <c r="E22" s="78"/>
      <c r="F22" s="3">
        <v>681011</v>
      </c>
      <c r="G22" s="80" t="s">
        <v>58</v>
      </c>
      <c r="H22" s="87"/>
      <c r="I22" s="13">
        <v>11340</v>
      </c>
      <c r="J22" s="13">
        <v>15988</v>
      </c>
      <c r="L22" s="56">
        <v>17957</v>
      </c>
      <c r="M22" s="56"/>
      <c r="N22" s="56">
        <v>16000</v>
      </c>
      <c r="O22" s="56"/>
      <c r="P22" s="56">
        <v>16000</v>
      </c>
      <c r="Q22" s="56"/>
      <c r="R22" s="56">
        <v>16000</v>
      </c>
      <c r="S22" s="56"/>
      <c r="T22" s="56">
        <v>0</v>
      </c>
      <c r="U22" s="56"/>
      <c r="V22" s="56">
        <v>16000</v>
      </c>
      <c r="W22" s="56"/>
      <c r="X22" s="56">
        <v>20690</v>
      </c>
      <c r="Y22" s="56"/>
      <c r="Z22" s="56">
        <v>16000</v>
      </c>
      <c r="AA22" s="56"/>
      <c r="AB22" s="56"/>
      <c r="AC22" s="56"/>
      <c r="AD22" s="56"/>
      <c r="AE22" s="56"/>
      <c r="AF22" s="56">
        <f t="shared" si="0"/>
        <v>16000</v>
      </c>
      <c r="AG22" s="56">
        <v>0</v>
      </c>
      <c r="AH22" s="56">
        <v>0</v>
      </c>
      <c r="AI22" s="56"/>
      <c r="AJ22" s="56">
        <f t="shared" si="1"/>
        <v>16000</v>
      </c>
      <c r="AK22" s="85"/>
      <c r="AL22" s="89">
        <v>4000</v>
      </c>
      <c r="AM22" s="56"/>
      <c r="AN22" s="88">
        <v>19980</v>
      </c>
      <c r="AO22" s="88">
        <v>0</v>
      </c>
      <c r="AP22" s="88">
        <v>21000</v>
      </c>
      <c r="AQ22" s="56"/>
      <c r="AR22" s="56">
        <v>0</v>
      </c>
      <c r="AS22" s="56"/>
      <c r="AT22" s="56">
        <v>0</v>
      </c>
      <c r="AU22" s="56"/>
      <c r="AV22" s="56">
        <f t="shared" si="2"/>
        <v>21000</v>
      </c>
      <c r="AW22" s="56"/>
      <c r="AX22" s="56">
        <v>0</v>
      </c>
      <c r="AY22" s="56"/>
      <c r="AZ22" s="88"/>
      <c r="BA22" s="56">
        <f t="shared" si="3"/>
        <v>21000</v>
      </c>
      <c r="BB22" s="34"/>
      <c r="BC22" s="56"/>
      <c r="BD22" s="84">
        <f t="shared" si="4"/>
        <v>1020</v>
      </c>
      <c r="BE22" s="56"/>
      <c r="BF22" s="56"/>
      <c r="BG22" s="56"/>
      <c r="BH22" s="72"/>
    </row>
    <row r="23" spans="1:62" hidden="1" outlineLevel="1">
      <c r="A23" s="77" t="s">
        <v>43</v>
      </c>
      <c r="B23" s="77" t="s">
        <v>59</v>
      </c>
      <c r="C23" s="77" t="s">
        <v>45</v>
      </c>
      <c r="D23" s="78" t="s">
        <v>46</v>
      </c>
      <c r="E23" s="78"/>
      <c r="F23" s="3">
        <v>631611</v>
      </c>
      <c r="G23" s="80" t="s">
        <v>60</v>
      </c>
      <c r="H23" s="87"/>
      <c r="I23" s="13">
        <v>15926</v>
      </c>
      <c r="J23" s="13">
        <v>58622</v>
      </c>
      <c r="L23" s="56">
        <v>0</v>
      </c>
      <c r="M23" s="56"/>
      <c r="N23" s="56">
        <v>0</v>
      </c>
      <c r="O23" s="56"/>
      <c r="P23" s="56">
        <v>0</v>
      </c>
      <c r="Q23" s="56"/>
      <c r="R23" s="56">
        <v>0</v>
      </c>
      <c r="S23" s="56"/>
      <c r="T23" s="56">
        <v>0</v>
      </c>
      <c r="U23" s="56"/>
      <c r="V23" s="56">
        <v>0</v>
      </c>
      <c r="W23" s="56"/>
      <c r="X23" s="56">
        <v>0</v>
      </c>
      <c r="Y23" s="56"/>
      <c r="Z23" s="56">
        <f>+[1]Board!W12</f>
        <v>0</v>
      </c>
      <c r="AA23" s="56"/>
      <c r="AB23" s="56"/>
      <c r="AC23" s="56"/>
      <c r="AD23" s="56"/>
      <c r="AE23" s="56"/>
      <c r="AF23" s="56">
        <f t="shared" si="0"/>
        <v>0</v>
      </c>
      <c r="AG23" s="56">
        <v>0</v>
      </c>
      <c r="AH23" s="56">
        <v>0</v>
      </c>
      <c r="AI23" s="56"/>
      <c r="AJ23" s="56">
        <f t="shared" si="1"/>
        <v>0</v>
      </c>
      <c r="AK23" s="85"/>
      <c r="AL23" s="56">
        <v>0</v>
      </c>
      <c r="AM23" s="56"/>
      <c r="AN23" s="88">
        <f>SUM(AI23:AM23)</f>
        <v>0</v>
      </c>
      <c r="AO23" s="88">
        <v>0</v>
      </c>
      <c r="AP23" s="88">
        <v>0</v>
      </c>
      <c r="AQ23" s="56"/>
      <c r="AR23" s="56">
        <v>0</v>
      </c>
      <c r="AS23" s="56"/>
      <c r="AT23" s="56">
        <v>0</v>
      </c>
      <c r="AU23" s="56"/>
      <c r="AV23" s="56">
        <f t="shared" si="2"/>
        <v>0</v>
      </c>
      <c r="AW23" s="56"/>
      <c r="AX23" s="56">
        <v>0</v>
      </c>
      <c r="AY23" s="56"/>
      <c r="AZ23" s="88"/>
      <c r="BA23" s="56">
        <f t="shared" si="3"/>
        <v>0</v>
      </c>
      <c r="BB23" s="34"/>
      <c r="BC23" s="56"/>
      <c r="BD23" s="84">
        <f t="shared" si="4"/>
        <v>0</v>
      </c>
      <c r="BE23" s="56"/>
      <c r="BF23" s="56"/>
      <c r="BG23" s="56"/>
      <c r="BH23" s="72"/>
    </row>
    <row r="24" spans="1:62" hidden="1" outlineLevel="1">
      <c r="A24" s="77" t="s">
        <v>43</v>
      </c>
      <c r="B24" s="77" t="s">
        <v>61</v>
      </c>
      <c r="C24" s="77" t="s">
        <v>45</v>
      </c>
      <c r="D24" s="78" t="s">
        <v>46</v>
      </c>
      <c r="E24" s="78"/>
      <c r="F24" s="3">
        <v>632015</v>
      </c>
      <c r="G24" s="80" t="s">
        <v>62</v>
      </c>
      <c r="H24" s="87"/>
      <c r="I24" s="13">
        <v>0</v>
      </c>
      <c r="J24" s="13">
        <v>1319</v>
      </c>
      <c r="L24" s="56">
        <v>2137</v>
      </c>
      <c r="M24" s="56"/>
      <c r="N24" s="56">
        <v>5000</v>
      </c>
      <c r="O24" s="56"/>
      <c r="P24" s="56">
        <v>5000</v>
      </c>
      <c r="Q24" s="56"/>
      <c r="R24" s="56">
        <v>5000</v>
      </c>
      <c r="S24" s="56"/>
      <c r="T24" s="56">
        <v>0</v>
      </c>
      <c r="U24" s="56"/>
      <c r="V24" s="56">
        <v>5000</v>
      </c>
      <c r="W24" s="56"/>
      <c r="X24" s="56">
        <v>3773.31</v>
      </c>
      <c r="Y24" s="56"/>
      <c r="Z24" s="56">
        <v>5000</v>
      </c>
      <c r="AA24" s="56"/>
      <c r="AB24" s="56"/>
      <c r="AC24" s="56"/>
      <c r="AD24" s="56"/>
      <c r="AE24" s="56"/>
      <c r="AF24" s="56">
        <f t="shared" si="0"/>
        <v>5000</v>
      </c>
      <c r="AG24" s="56">
        <v>0</v>
      </c>
      <c r="AH24" s="56">
        <v>0</v>
      </c>
      <c r="AI24" s="56"/>
      <c r="AJ24" s="56">
        <f t="shared" si="1"/>
        <v>5000</v>
      </c>
      <c r="AK24" s="85"/>
      <c r="AL24" s="89">
        <v>4000</v>
      </c>
      <c r="AM24" s="56"/>
      <c r="AN24" s="88">
        <v>9037.74</v>
      </c>
      <c r="AO24" s="88">
        <v>0</v>
      </c>
      <c r="AP24" s="88">
        <v>7500</v>
      </c>
      <c r="AQ24" s="56"/>
      <c r="AR24" s="56">
        <v>0</v>
      </c>
      <c r="AS24" s="56"/>
      <c r="AT24" s="56">
        <v>0</v>
      </c>
      <c r="AU24" s="56"/>
      <c r="AV24" s="56">
        <f t="shared" si="2"/>
        <v>7500</v>
      </c>
      <c r="AW24" s="56"/>
      <c r="AX24" s="56">
        <v>0</v>
      </c>
      <c r="AY24" s="56"/>
      <c r="AZ24" s="88"/>
      <c r="BA24" s="56">
        <f t="shared" si="3"/>
        <v>7500</v>
      </c>
      <c r="BB24" s="34"/>
      <c r="BC24" s="56"/>
      <c r="BD24" s="84">
        <f t="shared" si="4"/>
        <v>-1537.7399999999998</v>
      </c>
      <c r="BE24" s="56"/>
      <c r="BF24" s="56"/>
      <c r="BG24" s="56"/>
      <c r="BH24" s="72"/>
    </row>
    <row r="25" spans="1:62" ht="15" outlineLevel="1">
      <c r="A25" s="75" t="s">
        <v>316</v>
      </c>
      <c r="B25" s="77"/>
      <c r="C25" s="77"/>
      <c r="D25" s="90"/>
      <c r="E25" s="90"/>
      <c r="F25" s="3"/>
      <c r="H25" s="87"/>
      <c r="L25" s="44"/>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5"/>
      <c r="AL25" s="83"/>
      <c r="AM25" s="83"/>
      <c r="AN25" s="100"/>
      <c r="AO25" s="100"/>
      <c r="AP25" s="100"/>
      <c r="AQ25" s="83"/>
      <c r="AR25" s="83"/>
      <c r="AS25" s="83"/>
      <c r="AT25" s="83"/>
      <c r="AU25" s="83"/>
      <c r="AV25" s="83"/>
      <c r="AW25" s="83"/>
      <c r="AX25" s="83"/>
      <c r="AY25" s="83"/>
      <c r="AZ25" s="100"/>
      <c r="BA25" s="83"/>
      <c r="BB25" s="34"/>
      <c r="BC25" s="56"/>
      <c r="BD25" s="83"/>
      <c r="BE25" s="83"/>
      <c r="BF25" s="83"/>
      <c r="BG25" s="83"/>
      <c r="BH25" s="19"/>
    </row>
    <row r="26" spans="1:62" ht="20.100000000000001" customHeight="1" outlineLevel="1">
      <c r="A26" s="77" t="s">
        <v>43</v>
      </c>
      <c r="B26" s="77" t="s">
        <v>211</v>
      </c>
      <c r="C26" s="77" t="s">
        <v>1080</v>
      </c>
      <c r="D26" s="78" t="s">
        <v>46</v>
      </c>
      <c r="E26" s="78" t="str">
        <f>+D26</f>
        <v>000</v>
      </c>
      <c r="F26" s="79">
        <v>611211</v>
      </c>
      <c r="G26" s="102" t="s">
        <v>254</v>
      </c>
      <c r="H26" s="87"/>
      <c r="I26" s="82">
        <v>229334</v>
      </c>
      <c r="J26" s="82">
        <v>220703</v>
      </c>
      <c r="L26" s="83">
        <v>330500</v>
      </c>
      <c r="M26" s="83"/>
      <c r="N26" s="83">
        <v>344364</v>
      </c>
      <c r="O26" s="83"/>
      <c r="P26" s="83">
        <v>344364</v>
      </c>
      <c r="Q26" s="83"/>
      <c r="R26" s="83">
        <v>404352</v>
      </c>
      <c r="S26" s="83"/>
      <c r="T26" s="83">
        <v>0</v>
      </c>
      <c r="U26" s="83"/>
      <c r="V26" s="83">
        <v>404352</v>
      </c>
      <c r="W26" s="83"/>
      <c r="X26" s="83">
        <v>359796.92</v>
      </c>
      <c r="Y26" s="83"/>
      <c r="Z26" s="83">
        <v>401373</v>
      </c>
      <c r="AA26" s="83"/>
      <c r="AB26" s="83"/>
      <c r="AC26" s="83"/>
      <c r="AD26" s="83"/>
      <c r="AE26" s="83"/>
      <c r="AF26" s="84">
        <f t="shared" ref="AF26:AF56" si="5">SUM(Z26:AE26)</f>
        <v>401373</v>
      </c>
      <c r="AG26" s="103">
        <v>-53250</v>
      </c>
      <c r="AH26" s="83">
        <v>8750</v>
      </c>
      <c r="AI26" s="83"/>
      <c r="AJ26" s="84">
        <f t="shared" ref="AJ26:AJ56" si="6">SUM(AE26:AI26)</f>
        <v>356873</v>
      </c>
      <c r="AK26" s="85"/>
      <c r="AL26" s="83">
        <v>0</v>
      </c>
      <c r="AM26" s="83"/>
      <c r="AN26" s="86">
        <v>321506.23</v>
      </c>
      <c r="AO26" s="86">
        <v>0</v>
      </c>
      <c r="AP26" s="86">
        <v>371874.01</v>
      </c>
      <c r="AQ26" s="83"/>
      <c r="AR26" s="83">
        <v>0</v>
      </c>
      <c r="AS26" s="83"/>
      <c r="AT26" s="83">
        <v>0</v>
      </c>
      <c r="AU26" s="83"/>
      <c r="AV26" s="84">
        <f t="shared" ref="AV26:AV57" si="7">SUM(AP26:AU26)</f>
        <v>371874.01</v>
      </c>
      <c r="AW26" s="84"/>
      <c r="AX26" s="128">
        <v>858</v>
      </c>
      <c r="AY26" s="84"/>
      <c r="AZ26" s="86">
        <v>373600</v>
      </c>
      <c r="BA26" s="84">
        <v>363724</v>
      </c>
      <c r="BB26" s="217"/>
      <c r="BC26" s="56"/>
      <c r="BD26" s="84">
        <f t="shared" ref="BD26:BD56" si="8">+AP26-AN26</f>
        <v>50367.780000000028</v>
      </c>
      <c r="BE26" s="84"/>
      <c r="BF26" s="84"/>
      <c r="BG26" s="84"/>
      <c r="BH26" s="72">
        <v>1</v>
      </c>
      <c r="BJ26">
        <v>1</v>
      </c>
    </row>
    <row r="27" spans="1:62" ht="20.100000000000001" customHeight="1" outlineLevel="1">
      <c r="A27" s="77" t="s">
        <v>43</v>
      </c>
      <c r="B27" s="77" t="s">
        <v>43</v>
      </c>
      <c r="C27" s="77" t="s">
        <v>1080</v>
      </c>
      <c r="D27" s="78" t="s">
        <v>46</v>
      </c>
      <c r="E27" s="78" t="str">
        <f t="shared" ref="E27:E92" si="9">+D27</f>
        <v>000</v>
      </c>
      <c r="F27" s="3">
        <v>611211</v>
      </c>
      <c r="G27" s="102" t="s">
        <v>255</v>
      </c>
      <c r="H27" s="87"/>
      <c r="I27" s="13">
        <v>15748444</v>
      </c>
      <c r="J27" s="13">
        <v>16094872</v>
      </c>
      <c r="L27" s="56">
        <v>17712563</v>
      </c>
      <c r="M27" s="56"/>
      <c r="N27" s="56">
        <v>18934603</v>
      </c>
      <c r="O27" s="56"/>
      <c r="P27" s="56">
        <v>18934603</v>
      </c>
      <c r="Q27" s="56"/>
      <c r="R27" s="56">
        <v>20553070</v>
      </c>
      <c r="S27" s="56"/>
      <c r="T27" s="56">
        <v>0</v>
      </c>
      <c r="U27" s="56"/>
      <c r="V27" s="56">
        <v>20553070</v>
      </c>
      <c r="W27" s="56"/>
      <c r="X27" s="56">
        <v>20459884.710000001</v>
      </c>
      <c r="Y27" s="56"/>
      <c r="Z27" s="56">
        <v>20405822</v>
      </c>
      <c r="AA27" s="56"/>
      <c r="AB27" s="56"/>
      <c r="AC27" s="56"/>
      <c r="AD27" s="56"/>
      <c r="AE27" s="56"/>
      <c r="AF27" s="56">
        <f t="shared" si="5"/>
        <v>20405822</v>
      </c>
      <c r="AG27" s="104">
        <v>1406000</v>
      </c>
      <c r="AH27" s="56">
        <v>625000</v>
      </c>
      <c r="AI27" s="56"/>
      <c r="AJ27" s="56">
        <f t="shared" si="6"/>
        <v>22436822</v>
      </c>
      <c r="AK27" s="85"/>
      <c r="AL27" s="56">
        <v>0</v>
      </c>
      <c r="AM27" s="56"/>
      <c r="AN27" s="88">
        <v>22430288.77</v>
      </c>
      <c r="AO27" s="88">
        <v>0</v>
      </c>
      <c r="AP27" s="88">
        <v>21154040.09</v>
      </c>
      <c r="AQ27" s="56"/>
      <c r="AR27" s="56">
        <v>0</v>
      </c>
      <c r="AS27" s="56"/>
      <c r="AT27" s="56">
        <v>0</v>
      </c>
      <c r="AU27" s="56"/>
      <c r="AV27" s="56">
        <f t="shared" si="7"/>
        <v>21154040.09</v>
      </c>
      <c r="AW27" s="56"/>
      <c r="AX27" s="106">
        <v>477228</v>
      </c>
      <c r="AY27" s="56"/>
      <c r="AZ27" s="88">
        <v>19844000</v>
      </c>
      <c r="BA27" s="56">
        <v>20675000</v>
      </c>
      <c r="BB27" s="217"/>
      <c r="BC27" s="56"/>
      <c r="BD27" s="84">
        <f t="shared" si="8"/>
        <v>-1276248.6799999997</v>
      </c>
      <c r="BE27" s="56"/>
      <c r="BF27" s="56"/>
      <c r="BG27" s="56"/>
      <c r="BH27" s="72">
        <v>1</v>
      </c>
      <c r="BJ27">
        <v>1</v>
      </c>
    </row>
    <row r="28" spans="1:62" ht="20.100000000000001" customHeight="1" outlineLevel="1">
      <c r="A28" s="77" t="s">
        <v>43</v>
      </c>
      <c r="B28" s="77" t="s">
        <v>43</v>
      </c>
      <c r="C28" s="77" t="s">
        <v>1080</v>
      </c>
      <c r="D28" s="78" t="s">
        <v>46</v>
      </c>
      <c r="E28" s="78" t="str">
        <f t="shared" si="9"/>
        <v>000</v>
      </c>
      <c r="F28" s="3">
        <v>611212</v>
      </c>
      <c r="G28" s="102" t="s">
        <v>317</v>
      </c>
      <c r="H28" s="87"/>
      <c r="I28" s="13">
        <v>0</v>
      </c>
      <c r="J28" s="13">
        <v>0</v>
      </c>
      <c r="L28" s="56">
        <v>0</v>
      </c>
      <c r="M28" s="56"/>
      <c r="N28" s="56">
        <v>0</v>
      </c>
      <c r="O28" s="56"/>
      <c r="P28" s="56">
        <v>0</v>
      </c>
      <c r="Q28" s="56"/>
      <c r="R28" s="56">
        <v>0</v>
      </c>
      <c r="S28" s="56"/>
      <c r="T28" s="56">
        <v>0</v>
      </c>
      <c r="U28" s="56"/>
      <c r="V28" s="56">
        <v>0</v>
      </c>
      <c r="W28" s="56"/>
      <c r="X28" s="56">
        <v>0</v>
      </c>
      <c r="Y28" s="56"/>
      <c r="Z28" s="56">
        <v>0</v>
      </c>
      <c r="AA28" s="56"/>
      <c r="AB28" s="56"/>
      <c r="AC28" s="56"/>
      <c r="AD28" s="56"/>
      <c r="AE28" s="56"/>
      <c r="AF28" s="56">
        <f t="shared" si="5"/>
        <v>0</v>
      </c>
      <c r="AG28" s="104">
        <v>0</v>
      </c>
      <c r="AH28" s="56">
        <v>0</v>
      </c>
      <c r="AI28" s="56"/>
      <c r="AJ28" s="56">
        <f t="shared" si="6"/>
        <v>0</v>
      </c>
      <c r="AK28" s="85"/>
      <c r="AL28" s="56">
        <v>0</v>
      </c>
      <c r="AM28" s="56"/>
      <c r="AN28" s="88">
        <f>SUM(AI28:AM28)</f>
        <v>0</v>
      </c>
      <c r="AO28" s="88">
        <v>0</v>
      </c>
      <c r="AP28" s="88">
        <v>0</v>
      </c>
      <c r="AQ28" s="56"/>
      <c r="AR28" s="56">
        <v>0</v>
      </c>
      <c r="AS28" s="56"/>
      <c r="AT28" s="56">
        <v>0</v>
      </c>
      <c r="AU28" s="56"/>
      <c r="AV28" s="56">
        <f t="shared" si="7"/>
        <v>0</v>
      </c>
      <c r="AW28" s="56"/>
      <c r="AX28" s="56">
        <v>0</v>
      </c>
      <c r="AY28" s="56"/>
      <c r="AZ28" s="88">
        <v>0</v>
      </c>
      <c r="BA28" s="56">
        <v>0</v>
      </c>
      <c r="BB28" s="217"/>
      <c r="BC28" s="56"/>
      <c r="BD28" s="84">
        <f t="shared" si="8"/>
        <v>0</v>
      </c>
      <c r="BE28" s="56"/>
      <c r="BF28" s="56"/>
      <c r="BG28" s="56"/>
      <c r="BH28" s="72">
        <v>1</v>
      </c>
      <c r="BJ28">
        <v>1</v>
      </c>
    </row>
    <row r="29" spans="1:62" ht="20.100000000000001" customHeight="1" outlineLevel="1">
      <c r="A29" s="77" t="s">
        <v>43</v>
      </c>
      <c r="B29" s="77" t="s">
        <v>43</v>
      </c>
      <c r="C29" s="77" t="s">
        <v>1080</v>
      </c>
      <c r="D29" s="78" t="s">
        <v>46</v>
      </c>
      <c r="E29" s="78" t="str">
        <f t="shared" si="9"/>
        <v>000</v>
      </c>
      <c r="F29" s="3">
        <v>611213</v>
      </c>
      <c r="G29" s="102" t="s">
        <v>318</v>
      </c>
      <c r="H29" s="87"/>
      <c r="I29" s="13">
        <v>53876</v>
      </c>
      <c r="J29" s="13">
        <v>20954</v>
      </c>
      <c r="L29" s="56">
        <v>36064</v>
      </c>
      <c r="M29" s="56"/>
      <c r="N29" s="56">
        <v>35360</v>
      </c>
      <c r="O29" s="56"/>
      <c r="P29" s="56">
        <v>35360</v>
      </c>
      <c r="Q29" s="56"/>
      <c r="R29" s="56">
        <v>28360</v>
      </c>
      <c r="S29" s="56"/>
      <c r="T29" s="56">
        <v>0</v>
      </c>
      <c r="U29" s="56"/>
      <c r="V29" s="56">
        <v>28360</v>
      </c>
      <c r="W29" s="56"/>
      <c r="X29" s="56">
        <v>27995</v>
      </c>
      <c r="Y29" s="56"/>
      <c r="Z29" s="56">
        <v>35360</v>
      </c>
      <c r="AA29" s="56"/>
      <c r="AB29" s="56"/>
      <c r="AC29" s="56"/>
      <c r="AD29" s="56"/>
      <c r="AE29" s="56"/>
      <c r="AF29" s="56">
        <f t="shared" si="5"/>
        <v>35360</v>
      </c>
      <c r="AG29" s="88">
        <v>3750</v>
      </c>
      <c r="AH29" s="56">
        <v>0</v>
      </c>
      <c r="AI29" s="56"/>
      <c r="AJ29" s="56">
        <f t="shared" si="6"/>
        <v>39110</v>
      </c>
      <c r="AK29" s="85"/>
      <c r="AL29" s="56">
        <v>0</v>
      </c>
      <c r="AM29" s="56"/>
      <c r="AN29" s="88">
        <v>37942</v>
      </c>
      <c r="AO29" s="88">
        <v>0</v>
      </c>
      <c r="AP29" s="88">
        <v>38314.870000000003</v>
      </c>
      <c r="AQ29" s="56"/>
      <c r="AR29" s="56">
        <v>0</v>
      </c>
      <c r="AS29" s="56"/>
      <c r="AT29" s="56">
        <v>0</v>
      </c>
      <c r="AU29" s="56"/>
      <c r="AV29" s="56">
        <f t="shared" si="7"/>
        <v>38314.870000000003</v>
      </c>
      <c r="AW29" s="56"/>
      <c r="AX29" s="56">
        <v>0</v>
      </c>
      <c r="AY29" s="56"/>
      <c r="AZ29" s="88">
        <v>38000</v>
      </c>
      <c r="BA29" s="56">
        <v>38000</v>
      </c>
      <c r="BB29" s="217"/>
      <c r="BC29" s="56"/>
      <c r="BD29" s="84">
        <f t="shared" si="8"/>
        <v>372.87000000000262</v>
      </c>
      <c r="BE29" s="56"/>
      <c r="BF29" s="56"/>
      <c r="BG29" s="56"/>
      <c r="BH29" s="72">
        <v>1</v>
      </c>
      <c r="BJ29">
        <v>1</v>
      </c>
    </row>
    <row r="30" spans="1:62" ht="20.100000000000001" customHeight="1" outlineLevel="1">
      <c r="A30" s="77" t="s">
        <v>43</v>
      </c>
      <c r="B30" s="77" t="s">
        <v>43</v>
      </c>
      <c r="C30" s="77" t="s">
        <v>1080</v>
      </c>
      <c r="D30" s="78" t="s">
        <v>46</v>
      </c>
      <c r="E30" s="78" t="str">
        <f t="shared" si="9"/>
        <v>000</v>
      </c>
      <c r="F30" s="3">
        <v>611511</v>
      </c>
      <c r="G30" s="102" t="s">
        <v>256</v>
      </c>
      <c r="H30" s="87"/>
      <c r="I30" s="13">
        <v>0</v>
      </c>
      <c r="J30" s="13">
        <v>28552</v>
      </c>
      <c r="L30" s="56">
        <v>37670</v>
      </c>
      <c r="M30" s="56"/>
      <c r="N30" s="56">
        <v>30500</v>
      </c>
      <c r="O30" s="56"/>
      <c r="P30" s="56">
        <v>30500</v>
      </c>
      <c r="Q30" s="56"/>
      <c r="R30" s="56">
        <v>36395</v>
      </c>
      <c r="S30" s="56"/>
      <c r="T30" s="56">
        <v>0</v>
      </c>
      <c r="U30" s="56"/>
      <c r="V30" s="56">
        <v>36395</v>
      </c>
      <c r="W30" s="56"/>
      <c r="X30" s="56">
        <v>36038.22</v>
      </c>
      <c r="Y30" s="56"/>
      <c r="Z30" s="56">
        <v>33121</v>
      </c>
      <c r="AA30" s="56"/>
      <c r="AB30" s="56"/>
      <c r="AC30" s="56"/>
      <c r="AD30" s="56"/>
      <c r="AE30" s="56"/>
      <c r="AF30" s="56">
        <f t="shared" si="5"/>
        <v>33121</v>
      </c>
      <c r="AG30" s="104">
        <v>16179</v>
      </c>
      <c r="AH30" s="56">
        <v>6750</v>
      </c>
      <c r="AI30" s="56"/>
      <c r="AJ30" s="56">
        <f t="shared" si="6"/>
        <v>56050</v>
      </c>
      <c r="AK30" s="85"/>
      <c r="AL30" s="56">
        <v>0</v>
      </c>
      <c r="AM30" s="56"/>
      <c r="AN30" s="88">
        <v>56049.96</v>
      </c>
      <c r="AO30" s="88">
        <v>0</v>
      </c>
      <c r="AP30" s="88">
        <v>32826.410000000003</v>
      </c>
      <c r="AQ30" s="56"/>
      <c r="AR30" s="56">
        <v>0</v>
      </c>
      <c r="AS30" s="56"/>
      <c r="AT30" s="56">
        <v>0</v>
      </c>
      <c r="AU30" s="56"/>
      <c r="AV30" s="56">
        <f t="shared" si="7"/>
        <v>32826.410000000003</v>
      </c>
      <c r="AW30" s="56"/>
      <c r="AX30" s="106">
        <v>-16304</v>
      </c>
      <c r="AY30" s="56"/>
      <c r="AZ30" s="88">
        <v>49275</v>
      </c>
      <c r="BA30" s="56">
        <v>65421</v>
      </c>
      <c r="BB30" s="217"/>
      <c r="BC30" s="56"/>
      <c r="BD30" s="84">
        <f t="shared" si="8"/>
        <v>-23223.549999999996</v>
      </c>
      <c r="BE30" s="56"/>
      <c r="BF30" s="56"/>
      <c r="BG30" s="56"/>
      <c r="BH30" s="72">
        <v>1</v>
      </c>
      <c r="BJ30">
        <v>1</v>
      </c>
    </row>
    <row r="31" spans="1:62" ht="20.100000000000001" hidden="1" customHeight="1" outlineLevel="1">
      <c r="A31" s="77" t="s">
        <v>43</v>
      </c>
      <c r="B31" s="77" t="s">
        <v>203</v>
      </c>
      <c r="C31" s="77" t="s">
        <v>1080</v>
      </c>
      <c r="D31" s="78" t="s">
        <v>46</v>
      </c>
      <c r="E31" s="78" t="str">
        <f t="shared" si="9"/>
        <v>000</v>
      </c>
      <c r="F31" s="3">
        <v>653022</v>
      </c>
      <c r="G31" s="102" t="s">
        <v>319</v>
      </c>
      <c r="H31" s="87"/>
      <c r="I31" s="13">
        <v>0</v>
      </c>
      <c r="J31" s="13">
        <v>0</v>
      </c>
      <c r="L31" s="56">
        <v>0</v>
      </c>
      <c r="M31" s="56"/>
      <c r="N31" s="56">
        <v>0</v>
      </c>
      <c r="O31" s="56"/>
      <c r="P31" s="56">
        <v>0</v>
      </c>
      <c r="Q31" s="56"/>
      <c r="R31" s="56">
        <v>0</v>
      </c>
      <c r="S31" s="56"/>
      <c r="T31" s="56">
        <v>0</v>
      </c>
      <c r="U31" s="56"/>
      <c r="V31" s="56">
        <v>0</v>
      </c>
      <c r="W31" s="56"/>
      <c r="X31" s="56">
        <v>0</v>
      </c>
      <c r="Y31" s="56"/>
      <c r="Z31" s="56">
        <v>0</v>
      </c>
      <c r="AA31" s="56"/>
      <c r="AB31" s="56"/>
      <c r="AC31" s="56"/>
      <c r="AD31" s="56"/>
      <c r="AE31" s="56"/>
      <c r="AF31" s="56">
        <f t="shared" si="5"/>
        <v>0</v>
      </c>
      <c r="AG31" s="56">
        <v>0</v>
      </c>
      <c r="AH31" s="56">
        <v>0</v>
      </c>
      <c r="AI31" s="56"/>
      <c r="AJ31" s="56">
        <f t="shared" si="6"/>
        <v>0</v>
      </c>
      <c r="AK31" s="85"/>
      <c r="AL31" s="56">
        <v>0</v>
      </c>
      <c r="AM31" s="56"/>
      <c r="AN31" s="88">
        <f>SUM(AI31:AM31)</f>
        <v>0</v>
      </c>
      <c r="AO31" s="88">
        <v>0</v>
      </c>
      <c r="AP31" s="88">
        <v>0</v>
      </c>
      <c r="AQ31" s="56"/>
      <c r="AR31" s="56">
        <v>0</v>
      </c>
      <c r="AS31" s="56"/>
      <c r="AT31" s="56">
        <v>0</v>
      </c>
      <c r="AU31" s="56"/>
      <c r="AV31" s="56">
        <f t="shared" si="7"/>
        <v>0</v>
      </c>
      <c r="AW31" s="56"/>
      <c r="AX31" s="56">
        <v>0</v>
      </c>
      <c r="AY31" s="56"/>
      <c r="AZ31" s="88">
        <v>0</v>
      </c>
      <c r="BA31" s="56">
        <v>0</v>
      </c>
      <c r="BB31" s="217"/>
      <c r="BC31" s="56"/>
      <c r="BD31" s="84">
        <f t="shared" si="8"/>
        <v>0</v>
      </c>
      <c r="BE31" s="56"/>
      <c r="BF31" s="56"/>
      <c r="BG31" s="56"/>
      <c r="BH31" s="72"/>
    </row>
    <row r="32" spans="1:62" ht="20.100000000000001" customHeight="1" outlineLevel="1">
      <c r="A32" s="77" t="s">
        <v>43</v>
      </c>
      <c r="B32" s="77" t="s">
        <v>203</v>
      </c>
      <c r="C32" s="77" t="s">
        <v>1080</v>
      </c>
      <c r="D32" s="78" t="s">
        <v>46</v>
      </c>
      <c r="E32" s="78" t="str">
        <f t="shared" si="9"/>
        <v>000</v>
      </c>
      <c r="F32" s="3">
        <v>634044</v>
      </c>
      <c r="G32" s="102" t="s">
        <v>320</v>
      </c>
      <c r="H32" s="87"/>
      <c r="I32" s="13">
        <v>55</v>
      </c>
      <c r="J32" s="13"/>
      <c r="L32" s="56">
        <v>0</v>
      </c>
      <c r="M32" s="56"/>
      <c r="N32" s="56">
        <v>0</v>
      </c>
      <c r="O32" s="56"/>
      <c r="P32" s="56">
        <v>0</v>
      </c>
      <c r="Q32" s="56"/>
      <c r="R32" s="56">
        <v>0</v>
      </c>
      <c r="S32" s="56"/>
      <c r="T32" s="56">
        <v>0</v>
      </c>
      <c r="U32" s="56"/>
      <c r="V32" s="56">
        <v>0</v>
      </c>
      <c r="W32" s="56"/>
      <c r="X32" s="56">
        <v>0</v>
      </c>
      <c r="Y32" s="56"/>
      <c r="Z32" s="56">
        <v>0</v>
      </c>
      <c r="AA32" s="56"/>
      <c r="AB32" s="56"/>
      <c r="AC32" s="56"/>
      <c r="AD32" s="56"/>
      <c r="AE32" s="56"/>
      <c r="AF32" s="56">
        <f t="shared" si="5"/>
        <v>0</v>
      </c>
      <c r="AG32" s="56">
        <v>0</v>
      </c>
      <c r="AH32" s="56">
        <v>0</v>
      </c>
      <c r="AI32" s="56"/>
      <c r="AJ32" s="56">
        <f t="shared" si="6"/>
        <v>0</v>
      </c>
      <c r="AK32" s="85"/>
      <c r="AL32" s="56">
        <v>0</v>
      </c>
      <c r="AM32" s="56"/>
      <c r="AN32" s="88">
        <f>SUM(AI32:AM32)</f>
        <v>0</v>
      </c>
      <c r="AO32" s="88">
        <v>0</v>
      </c>
      <c r="AP32" s="88">
        <v>0</v>
      </c>
      <c r="AQ32" s="56"/>
      <c r="AR32" s="56">
        <v>0</v>
      </c>
      <c r="AS32" s="56"/>
      <c r="AT32" s="56">
        <v>0</v>
      </c>
      <c r="AU32" s="56"/>
      <c r="AV32" s="56">
        <f t="shared" si="7"/>
        <v>0</v>
      </c>
      <c r="AW32" s="56"/>
      <c r="AX32" s="56">
        <v>0</v>
      </c>
      <c r="AY32" s="56"/>
      <c r="AZ32" s="88">
        <v>0</v>
      </c>
      <c r="BA32" s="56">
        <v>0</v>
      </c>
      <c r="BB32" s="217"/>
      <c r="BC32" s="56"/>
      <c r="BD32" s="84">
        <f t="shared" si="8"/>
        <v>0</v>
      </c>
      <c r="BE32" s="56"/>
      <c r="BF32" s="56"/>
      <c r="BG32" s="56"/>
      <c r="BH32" s="72"/>
    </row>
    <row r="33" spans="1:60" ht="20.100000000000001" customHeight="1" outlineLevel="1">
      <c r="A33" s="77" t="s">
        <v>43</v>
      </c>
      <c r="B33" s="77" t="s">
        <v>203</v>
      </c>
      <c r="C33" s="77" t="s">
        <v>1080</v>
      </c>
      <c r="D33" s="78" t="s">
        <v>46</v>
      </c>
      <c r="E33" s="78" t="str">
        <f t="shared" si="9"/>
        <v>000</v>
      </c>
      <c r="F33" s="3">
        <v>658223</v>
      </c>
      <c r="G33" s="102" t="s">
        <v>259</v>
      </c>
      <c r="H33" s="87"/>
      <c r="I33" s="13">
        <v>5631</v>
      </c>
      <c r="J33" s="13">
        <v>5803</v>
      </c>
      <c r="L33" s="56">
        <v>7327</v>
      </c>
      <c r="M33" s="56"/>
      <c r="N33" s="56">
        <v>9000</v>
      </c>
      <c r="O33" s="56"/>
      <c r="P33" s="56">
        <v>9000</v>
      </c>
      <c r="Q33" s="56"/>
      <c r="R33" s="56">
        <v>9000</v>
      </c>
      <c r="S33" s="56"/>
      <c r="T33" s="56">
        <v>0</v>
      </c>
      <c r="U33" s="56"/>
      <c r="V33" s="56">
        <v>9000</v>
      </c>
      <c r="W33" s="56"/>
      <c r="X33" s="56">
        <f>8763.5+480</f>
        <v>9243.5</v>
      </c>
      <c r="Y33" s="56"/>
      <c r="Z33" s="56">
        <v>10000</v>
      </c>
      <c r="AA33" s="56"/>
      <c r="AB33" s="56"/>
      <c r="AC33" s="56"/>
      <c r="AD33" s="56"/>
      <c r="AE33" s="56"/>
      <c r="AF33" s="56">
        <f t="shared" si="5"/>
        <v>10000</v>
      </c>
      <c r="AG33" s="56">
        <v>0</v>
      </c>
      <c r="AH33" s="56">
        <v>0</v>
      </c>
      <c r="AI33" s="56"/>
      <c r="AJ33" s="56">
        <f t="shared" si="6"/>
        <v>10000</v>
      </c>
      <c r="AK33" s="85"/>
      <c r="AL33" s="56">
        <v>0</v>
      </c>
      <c r="AM33" s="56"/>
      <c r="AN33" s="88">
        <v>9929.9599999999991</v>
      </c>
      <c r="AO33" s="88">
        <v>0</v>
      </c>
      <c r="AP33" s="88">
        <v>9625.4599999999991</v>
      </c>
      <c r="AQ33" s="56"/>
      <c r="AR33" s="56">
        <v>0</v>
      </c>
      <c r="AS33" s="56"/>
      <c r="AT33" s="56">
        <v>0</v>
      </c>
      <c r="AU33" s="56"/>
      <c r="AV33" s="56">
        <f t="shared" si="7"/>
        <v>9625.4599999999991</v>
      </c>
      <c r="AW33" s="56"/>
      <c r="AX33" s="56">
        <v>0</v>
      </c>
      <c r="AY33" s="56"/>
      <c r="AZ33" s="88">
        <v>10000</v>
      </c>
      <c r="BA33" s="56">
        <v>10000</v>
      </c>
      <c r="BB33" s="217"/>
      <c r="BC33" s="56"/>
      <c r="BD33" s="84">
        <f t="shared" si="8"/>
        <v>-304.5</v>
      </c>
      <c r="BE33" s="56"/>
      <c r="BF33" s="56"/>
      <c r="BG33" s="56"/>
      <c r="BH33" s="72"/>
    </row>
    <row r="34" spans="1:60" ht="20.100000000000001" customHeight="1" outlineLevel="1">
      <c r="A34" s="77" t="s">
        <v>43</v>
      </c>
      <c r="B34" s="77" t="s">
        <v>203</v>
      </c>
      <c r="C34" s="77" t="s">
        <v>1080</v>
      </c>
      <c r="D34" s="78" t="s">
        <v>46</v>
      </c>
      <c r="E34" s="78" t="str">
        <f t="shared" si="9"/>
        <v>000</v>
      </c>
      <c r="F34" s="3">
        <v>661011</v>
      </c>
      <c r="G34" s="102" t="s">
        <v>321</v>
      </c>
      <c r="H34" s="87"/>
      <c r="I34" s="13"/>
      <c r="J34" s="13"/>
      <c r="L34" s="56">
        <v>0</v>
      </c>
      <c r="M34" s="56"/>
      <c r="N34" s="56">
        <v>0</v>
      </c>
      <c r="O34" s="56"/>
      <c r="P34" s="56">
        <v>20310</v>
      </c>
      <c r="Q34" s="56"/>
      <c r="R34" s="56">
        <v>20310</v>
      </c>
      <c r="S34" s="56"/>
      <c r="T34" s="56">
        <v>0</v>
      </c>
      <c r="U34" s="56"/>
      <c r="V34" s="56">
        <v>20310</v>
      </c>
      <c r="W34" s="56"/>
      <c r="X34" s="56">
        <v>20308</v>
      </c>
      <c r="Y34" s="56"/>
      <c r="Z34" s="56">
        <v>0</v>
      </c>
      <c r="AA34" s="56"/>
      <c r="AB34" s="56"/>
      <c r="AC34" s="56"/>
      <c r="AD34" s="56"/>
      <c r="AE34" s="56"/>
      <c r="AF34" s="56">
        <f t="shared" si="5"/>
        <v>0</v>
      </c>
      <c r="AG34" s="56">
        <v>0</v>
      </c>
      <c r="AH34" s="56">
        <v>0</v>
      </c>
      <c r="AI34" s="56"/>
      <c r="AJ34" s="56">
        <f t="shared" si="6"/>
        <v>0</v>
      </c>
      <c r="AK34" s="85"/>
      <c r="AL34" s="56">
        <v>0</v>
      </c>
      <c r="AM34" s="56"/>
      <c r="AN34" s="88">
        <f>SUM(AI34:AM34)</f>
        <v>0</v>
      </c>
      <c r="AO34" s="88">
        <v>0</v>
      </c>
      <c r="AP34" s="88">
        <v>274.42</v>
      </c>
      <c r="AQ34" s="56"/>
      <c r="AR34" s="56">
        <v>0</v>
      </c>
      <c r="AS34" s="56"/>
      <c r="AT34" s="56">
        <v>0</v>
      </c>
      <c r="AU34" s="56"/>
      <c r="AV34" s="56">
        <f t="shared" si="7"/>
        <v>274.42</v>
      </c>
      <c r="AW34" s="56"/>
      <c r="AX34" s="56">
        <v>0</v>
      </c>
      <c r="AY34" s="56"/>
      <c r="AZ34" s="88">
        <v>0</v>
      </c>
      <c r="BA34" s="56">
        <v>0</v>
      </c>
      <c r="BB34" s="217"/>
      <c r="BC34" s="56"/>
      <c r="BD34" s="84">
        <f t="shared" si="8"/>
        <v>274.42</v>
      </c>
      <c r="BE34" s="56"/>
      <c r="BF34" s="56"/>
      <c r="BG34" s="56"/>
      <c r="BH34" s="72"/>
    </row>
    <row r="35" spans="1:60" ht="20.100000000000001" customHeight="1" outlineLevel="1">
      <c r="A35" s="77" t="s">
        <v>43</v>
      </c>
      <c r="B35" s="77" t="s">
        <v>203</v>
      </c>
      <c r="C35" s="77" t="s">
        <v>1080</v>
      </c>
      <c r="D35" s="78" t="s">
        <v>46</v>
      </c>
      <c r="E35" s="78" t="str">
        <f t="shared" si="9"/>
        <v>000</v>
      </c>
      <c r="F35" s="3">
        <v>661024</v>
      </c>
      <c r="G35" s="102" t="s">
        <v>322</v>
      </c>
      <c r="H35" s="87"/>
      <c r="I35" s="13">
        <v>13608</v>
      </c>
      <c r="J35" s="13">
        <v>8630</v>
      </c>
      <c r="L35" s="56">
        <v>33936</v>
      </c>
      <c r="M35" s="56"/>
      <c r="N35" s="56">
        <v>36231</v>
      </c>
      <c r="O35" s="56"/>
      <c r="P35" s="56">
        <v>36296</v>
      </c>
      <c r="Q35" s="56"/>
      <c r="R35" s="56">
        <v>36296</v>
      </c>
      <c r="S35" s="56"/>
      <c r="T35" s="56">
        <v>0</v>
      </c>
      <c r="U35" s="56"/>
      <c r="V35" s="56">
        <v>36296</v>
      </c>
      <c r="W35" s="56"/>
      <c r="X35" s="56">
        <v>36985.42</v>
      </c>
      <c r="Y35" s="56"/>
      <c r="Z35" s="56">
        <v>36231</v>
      </c>
      <c r="AA35" s="56"/>
      <c r="AB35" s="56">
        <v>96350</v>
      </c>
      <c r="AC35" s="56"/>
      <c r="AD35" s="89">
        <v>751</v>
      </c>
      <c r="AE35" s="56"/>
      <c r="AF35" s="56">
        <f t="shared" si="5"/>
        <v>133332</v>
      </c>
      <c r="AG35" s="89">
        <v>10000</v>
      </c>
      <c r="AH35" s="56">
        <v>0</v>
      </c>
      <c r="AI35" s="56"/>
      <c r="AJ35" s="56">
        <f t="shared" si="6"/>
        <v>143332</v>
      </c>
      <c r="AK35" s="85"/>
      <c r="AL35" s="89">
        <v>119</v>
      </c>
      <c r="AM35" s="56"/>
      <c r="AN35" s="88">
        <f>137153.04+269.75</f>
        <v>137422.79</v>
      </c>
      <c r="AO35" s="88">
        <v>0</v>
      </c>
      <c r="AP35" s="88">
        <v>177915.37</v>
      </c>
      <c r="AQ35" s="56"/>
      <c r="AR35" s="56">
        <v>1000</v>
      </c>
      <c r="AS35" s="56"/>
      <c r="AT35" s="56">
        <v>0</v>
      </c>
      <c r="AU35" s="56"/>
      <c r="AV35" s="56">
        <f t="shared" si="7"/>
        <v>178915.37</v>
      </c>
      <c r="AW35" s="56"/>
      <c r="AX35" s="89">
        <v>0</v>
      </c>
      <c r="AY35" s="56"/>
      <c r="AZ35" s="88">
        <v>134675</v>
      </c>
      <c r="BA35" s="56">
        <v>140675</v>
      </c>
      <c r="BB35" s="217"/>
      <c r="BC35" s="56"/>
      <c r="BD35" s="84">
        <f t="shared" si="8"/>
        <v>40492.579999999987</v>
      </c>
      <c r="BE35" s="56"/>
      <c r="BF35" s="56"/>
      <c r="BG35" s="56"/>
      <c r="BH35" s="72"/>
    </row>
    <row r="36" spans="1:60" ht="20.100000000000001" customHeight="1" outlineLevel="1">
      <c r="A36" s="77" t="s">
        <v>43</v>
      </c>
      <c r="B36" s="77" t="s">
        <v>203</v>
      </c>
      <c r="C36" s="77" t="s">
        <v>1080</v>
      </c>
      <c r="D36" s="78" t="s">
        <v>46</v>
      </c>
      <c r="E36" s="78" t="str">
        <f t="shared" si="9"/>
        <v>000</v>
      </c>
      <c r="F36" s="3">
        <v>661027</v>
      </c>
      <c r="G36" s="102" t="s">
        <v>323</v>
      </c>
      <c r="H36" s="87"/>
      <c r="I36" s="13">
        <v>27684</v>
      </c>
      <c r="J36" s="13">
        <v>22640</v>
      </c>
      <c r="L36" s="56">
        <v>30379</v>
      </c>
      <c r="M36" s="56"/>
      <c r="N36" s="56">
        <v>32000</v>
      </c>
      <c r="O36" s="56"/>
      <c r="P36" s="56">
        <v>32943</v>
      </c>
      <c r="Q36" s="56"/>
      <c r="R36" s="56">
        <v>32943</v>
      </c>
      <c r="S36" s="56"/>
      <c r="T36" s="56">
        <v>0</v>
      </c>
      <c r="U36" s="56"/>
      <c r="V36" s="56">
        <v>32943</v>
      </c>
      <c r="W36" s="56"/>
      <c r="X36" s="56">
        <v>28510.59</v>
      </c>
      <c r="Y36" s="56"/>
      <c r="Z36" s="56">
        <v>32000</v>
      </c>
      <c r="AA36" s="56"/>
      <c r="AB36" s="56"/>
      <c r="AC36" s="56"/>
      <c r="AD36" s="56"/>
      <c r="AE36" s="56"/>
      <c r="AF36" s="56">
        <f t="shared" si="5"/>
        <v>32000</v>
      </c>
      <c r="AG36" s="56">
        <v>0</v>
      </c>
      <c r="AH36" s="56">
        <v>0</v>
      </c>
      <c r="AI36" s="56"/>
      <c r="AJ36" s="56">
        <f t="shared" si="6"/>
        <v>32000</v>
      </c>
      <c r="AK36" s="85"/>
      <c r="AL36" s="56">
        <v>0</v>
      </c>
      <c r="AM36" s="56"/>
      <c r="AN36" s="88">
        <v>28112.29</v>
      </c>
      <c r="AO36" s="88">
        <v>0</v>
      </c>
      <c r="AP36" s="88">
        <v>29996.78</v>
      </c>
      <c r="AQ36" s="56"/>
      <c r="AR36" s="56">
        <v>0</v>
      </c>
      <c r="AS36" s="56"/>
      <c r="AT36" s="56">
        <v>0</v>
      </c>
      <c r="AU36" s="56"/>
      <c r="AV36" s="56">
        <f t="shared" si="7"/>
        <v>29996.78</v>
      </c>
      <c r="AW36" s="56"/>
      <c r="AX36" s="56">
        <v>0</v>
      </c>
      <c r="AY36" s="56"/>
      <c r="AZ36" s="88">
        <v>32000</v>
      </c>
      <c r="BA36" s="56">
        <v>29500</v>
      </c>
      <c r="BB36" s="217"/>
      <c r="BC36" s="56"/>
      <c r="BD36" s="84">
        <f t="shared" si="8"/>
        <v>1884.489999999998</v>
      </c>
      <c r="BE36" s="56"/>
      <c r="BF36" s="56"/>
      <c r="BG36" s="56"/>
      <c r="BH36" s="72"/>
    </row>
    <row r="37" spans="1:60" ht="20.100000000000001" customHeight="1" outlineLevel="1">
      <c r="A37" s="77" t="s">
        <v>43</v>
      </c>
      <c r="B37" s="77" t="s">
        <v>203</v>
      </c>
      <c r="C37" s="77" t="s">
        <v>1080</v>
      </c>
      <c r="D37" s="78" t="s">
        <v>46</v>
      </c>
      <c r="E37" s="78" t="str">
        <f t="shared" si="9"/>
        <v>000</v>
      </c>
      <c r="F37" s="3">
        <v>661032</v>
      </c>
      <c r="G37" s="102" t="s">
        <v>324</v>
      </c>
      <c r="H37" s="87"/>
      <c r="I37" s="13">
        <v>0</v>
      </c>
      <c r="J37" s="13">
        <v>0</v>
      </c>
      <c r="L37" s="56">
        <v>0</v>
      </c>
      <c r="M37" s="56"/>
      <c r="N37" s="56">
        <v>0</v>
      </c>
      <c r="O37" s="56"/>
      <c r="P37" s="56">
        <v>0</v>
      </c>
      <c r="Q37" s="56"/>
      <c r="R37" s="56">
        <v>0</v>
      </c>
      <c r="S37" s="56"/>
      <c r="T37" s="56">
        <v>0</v>
      </c>
      <c r="U37" s="56"/>
      <c r="V37" s="56">
        <v>0</v>
      </c>
      <c r="W37" s="56"/>
      <c r="X37" s="56">
        <v>0</v>
      </c>
      <c r="Y37" s="56"/>
      <c r="Z37" s="56">
        <v>0</v>
      </c>
      <c r="AA37" s="56"/>
      <c r="AB37" s="56"/>
      <c r="AC37" s="56"/>
      <c r="AD37" s="56"/>
      <c r="AE37" s="56"/>
      <c r="AF37" s="56">
        <f t="shared" si="5"/>
        <v>0</v>
      </c>
      <c r="AG37" s="56">
        <v>0</v>
      </c>
      <c r="AH37" s="56">
        <v>0</v>
      </c>
      <c r="AI37" s="56"/>
      <c r="AJ37" s="56">
        <f t="shared" si="6"/>
        <v>0</v>
      </c>
      <c r="AK37" s="85"/>
      <c r="AL37" s="56">
        <v>0</v>
      </c>
      <c r="AM37" s="56"/>
      <c r="AN37" s="88">
        <f>SUM(AI37:AM37)</f>
        <v>0</v>
      </c>
      <c r="AO37" s="88">
        <v>0</v>
      </c>
      <c r="AP37" s="88">
        <v>0</v>
      </c>
      <c r="AQ37" s="56"/>
      <c r="AR37" s="56">
        <v>0</v>
      </c>
      <c r="AS37" s="56"/>
      <c r="AT37" s="56">
        <v>0</v>
      </c>
      <c r="AU37" s="56"/>
      <c r="AV37" s="56">
        <f t="shared" si="7"/>
        <v>0</v>
      </c>
      <c r="AW37" s="56"/>
      <c r="AX37" s="56">
        <v>0</v>
      </c>
      <c r="AY37" s="56"/>
      <c r="AZ37" s="88">
        <v>0</v>
      </c>
      <c r="BA37" s="56">
        <v>0</v>
      </c>
      <c r="BB37" s="217"/>
      <c r="BC37" s="56"/>
      <c r="BD37" s="84">
        <f t="shared" si="8"/>
        <v>0</v>
      </c>
      <c r="BE37" s="56"/>
      <c r="BF37" s="56"/>
      <c r="BG37" s="56"/>
      <c r="BH37" s="72"/>
    </row>
    <row r="38" spans="1:60" ht="20.100000000000001" customHeight="1" outlineLevel="1">
      <c r="A38" s="77" t="s">
        <v>43</v>
      </c>
      <c r="B38" s="77" t="s">
        <v>203</v>
      </c>
      <c r="C38" s="77" t="s">
        <v>1080</v>
      </c>
      <c r="D38" s="78" t="s">
        <v>46</v>
      </c>
      <c r="E38" s="78" t="str">
        <f t="shared" si="9"/>
        <v>000</v>
      </c>
      <c r="F38" s="3">
        <v>661033</v>
      </c>
      <c r="G38" s="102" t="s">
        <v>325</v>
      </c>
      <c r="H38" s="87"/>
      <c r="I38" s="13">
        <v>0</v>
      </c>
      <c r="J38" s="13">
        <v>0</v>
      </c>
      <c r="L38" s="56">
        <v>0</v>
      </c>
      <c r="M38" s="56"/>
      <c r="N38" s="56">
        <v>0</v>
      </c>
      <c r="O38" s="56"/>
      <c r="P38" s="56">
        <v>0</v>
      </c>
      <c r="Q38" s="56"/>
      <c r="R38" s="56">
        <v>0</v>
      </c>
      <c r="S38" s="56"/>
      <c r="T38" s="56">
        <v>0</v>
      </c>
      <c r="U38" s="56"/>
      <c r="V38" s="56">
        <v>0</v>
      </c>
      <c r="W38" s="56"/>
      <c r="X38" s="56">
        <v>0</v>
      </c>
      <c r="Y38" s="56"/>
      <c r="Z38" s="56">
        <v>0</v>
      </c>
      <c r="AA38" s="56"/>
      <c r="AB38" s="56"/>
      <c r="AC38" s="56"/>
      <c r="AD38" s="56"/>
      <c r="AE38" s="56"/>
      <c r="AF38" s="56">
        <f t="shared" si="5"/>
        <v>0</v>
      </c>
      <c r="AG38" s="56">
        <v>0</v>
      </c>
      <c r="AH38" s="56">
        <v>0</v>
      </c>
      <c r="AI38" s="56"/>
      <c r="AJ38" s="56">
        <f t="shared" si="6"/>
        <v>0</v>
      </c>
      <c r="AK38" s="85"/>
      <c r="AL38" s="56">
        <v>0</v>
      </c>
      <c r="AM38" s="56"/>
      <c r="AN38" s="88">
        <f>SUM(AI38:AM38)</f>
        <v>0</v>
      </c>
      <c r="AO38" s="88">
        <v>0</v>
      </c>
      <c r="AP38" s="88">
        <v>0</v>
      </c>
      <c r="AQ38" s="56"/>
      <c r="AR38" s="56">
        <v>0</v>
      </c>
      <c r="AS38" s="56"/>
      <c r="AT38" s="56">
        <v>0</v>
      </c>
      <c r="AU38" s="56"/>
      <c r="AV38" s="56">
        <f t="shared" si="7"/>
        <v>0</v>
      </c>
      <c r="AW38" s="56"/>
      <c r="AX38" s="56">
        <v>0</v>
      </c>
      <c r="AY38" s="56"/>
      <c r="AZ38" s="88">
        <v>0</v>
      </c>
      <c r="BA38" s="56">
        <v>0</v>
      </c>
      <c r="BB38" s="217"/>
      <c r="BC38" s="56"/>
      <c r="BD38" s="84">
        <f t="shared" si="8"/>
        <v>0</v>
      </c>
      <c r="BE38" s="56"/>
      <c r="BF38" s="56"/>
      <c r="BG38" s="56"/>
      <c r="BH38" s="72"/>
    </row>
    <row r="39" spans="1:60" ht="20.100000000000001" customHeight="1" outlineLevel="1">
      <c r="A39" s="77" t="s">
        <v>43</v>
      </c>
      <c r="B39" s="77" t="s">
        <v>203</v>
      </c>
      <c r="C39" s="77" t="s">
        <v>1080</v>
      </c>
      <c r="D39" s="78" t="s">
        <v>46</v>
      </c>
      <c r="E39" s="78" t="str">
        <f t="shared" si="9"/>
        <v>000</v>
      </c>
      <c r="F39" s="3">
        <v>661034</v>
      </c>
      <c r="G39" s="102" t="s">
        <v>326</v>
      </c>
      <c r="H39" s="87"/>
      <c r="I39" s="13">
        <v>22529</v>
      </c>
      <c r="J39" s="13">
        <v>22525</v>
      </c>
      <c r="L39" s="56">
        <v>94166</v>
      </c>
      <c r="M39" s="56"/>
      <c r="N39" s="56">
        <v>77600</v>
      </c>
      <c r="O39" s="56"/>
      <c r="P39" s="56">
        <v>91850</v>
      </c>
      <c r="Q39" s="56"/>
      <c r="R39" s="56">
        <v>91850</v>
      </c>
      <c r="S39" s="56"/>
      <c r="T39" s="56">
        <v>0</v>
      </c>
      <c r="U39" s="56"/>
      <c r="V39" s="56">
        <v>91850</v>
      </c>
      <c r="W39" s="56"/>
      <c r="X39" s="56">
        <v>77567.37</v>
      </c>
      <c r="Y39" s="56"/>
      <c r="Z39" s="56">
        <v>83000</v>
      </c>
      <c r="AA39" s="56"/>
      <c r="AB39" s="56"/>
      <c r="AC39" s="56"/>
      <c r="AD39" s="56"/>
      <c r="AE39" s="56"/>
      <c r="AF39" s="56">
        <f t="shared" si="5"/>
        <v>83000</v>
      </c>
      <c r="AG39" s="56">
        <f>-3750-3750</f>
        <v>-7500</v>
      </c>
      <c r="AH39" s="56">
        <v>0</v>
      </c>
      <c r="AI39" s="56"/>
      <c r="AJ39" s="56">
        <f t="shared" si="6"/>
        <v>75500</v>
      </c>
      <c r="AK39" s="85"/>
      <c r="AL39" s="56">
        <v>0</v>
      </c>
      <c r="AM39" s="56"/>
      <c r="AN39" s="88">
        <v>75460.75</v>
      </c>
      <c r="AO39" s="88">
        <v>0</v>
      </c>
      <c r="AP39" s="88">
        <v>94498.87</v>
      </c>
      <c r="AQ39" s="56"/>
      <c r="AR39" s="56">
        <v>-500</v>
      </c>
      <c r="AS39" s="56"/>
      <c r="AT39" s="56">
        <v>0</v>
      </c>
      <c r="AU39" s="56"/>
      <c r="AV39" s="56">
        <f t="shared" si="7"/>
        <v>93998.87</v>
      </c>
      <c r="AW39" s="56"/>
      <c r="AX39" s="56">
        <v>0</v>
      </c>
      <c r="AY39" s="56"/>
      <c r="AZ39" s="88">
        <v>50000</v>
      </c>
      <c r="BA39" s="56">
        <v>49000</v>
      </c>
      <c r="BB39" s="217"/>
      <c r="BC39" s="56"/>
      <c r="BD39" s="84">
        <f t="shared" si="8"/>
        <v>19038.119999999995</v>
      </c>
      <c r="BE39" s="56"/>
      <c r="BF39" s="56"/>
      <c r="BG39" s="56"/>
      <c r="BH39" s="72"/>
    </row>
    <row r="40" spans="1:60" ht="20.100000000000001" customHeight="1" outlineLevel="1">
      <c r="A40" s="77" t="s">
        <v>43</v>
      </c>
      <c r="B40" s="124" t="s">
        <v>203</v>
      </c>
      <c r="C40" s="77" t="s">
        <v>1080</v>
      </c>
      <c r="D40" s="136" t="s">
        <v>46</v>
      </c>
      <c r="E40" s="78" t="str">
        <f t="shared" si="9"/>
        <v>000</v>
      </c>
      <c r="F40" s="137">
        <v>661095</v>
      </c>
      <c r="G40" s="129" t="s">
        <v>327</v>
      </c>
      <c r="H40" s="87"/>
      <c r="I40" s="13">
        <v>0</v>
      </c>
      <c r="J40" s="13">
        <v>0</v>
      </c>
      <c r="L40" s="56">
        <v>179</v>
      </c>
      <c r="M40" s="56"/>
      <c r="N40" s="56">
        <v>2000</v>
      </c>
      <c r="O40" s="56"/>
      <c r="P40" s="56">
        <v>2000</v>
      </c>
      <c r="Q40" s="56"/>
      <c r="R40" s="56">
        <v>2000</v>
      </c>
      <c r="S40" s="56"/>
      <c r="T40" s="56">
        <v>0</v>
      </c>
      <c r="U40" s="56"/>
      <c r="V40" s="56">
        <v>2000</v>
      </c>
      <c r="W40" s="56"/>
      <c r="X40" s="56">
        <v>0</v>
      </c>
      <c r="Y40" s="56"/>
      <c r="Z40" s="56">
        <v>2000</v>
      </c>
      <c r="AA40" s="56"/>
      <c r="AB40" s="56"/>
      <c r="AC40" s="56"/>
      <c r="AD40" s="56"/>
      <c r="AE40" s="56"/>
      <c r="AF40" s="56">
        <f t="shared" si="5"/>
        <v>2000</v>
      </c>
      <c r="AG40" s="56">
        <v>0</v>
      </c>
      <c r="AH40" s="56">
        <v>0</v>
      </c>
      <c r="AI40" s="56"/>
      <c r="AJ40" s="56">
        <f t="shared" si="6"/>
        <v>2000</v>
      </c>
      <c r="AK40" s="85"/>
      <c r="AL40" s="56">
        <v>0</v>
      </c>
      <c r="AM40" s="56"/>
      <c r="AN40" s="88">
        <v>0</v>
      </c>
      <c r="AO40" s="88">
        <v>0</v>
      </c>
      <c r="AP40" s="88">
        <v>1717.5</v>
      </c>
      <c r="AQ40" s="56"/>
      <c r="AR40" s="56">
        <v>0</v>
      </c>
      <c r="AS40" s="56"/>
      <c r="AT40" s="56">
        <v>0</v>
      </c>
      <c r="AU40" s="56"/>
      <c r="AV40" s="56">
        <f t="shared" si="7"/>
        <v>1717.5</v>
      </c>
      <c r="AW40" s="56"/>
      <c r="AX40" s="56">
        <v>0</v>
      </c>
      <c r="AY40" s="56"/>
      <c r="AZ40" s="88">
        <v>2000</v>
      </c>
      <c r="BA40" s="56">
        <v>2000</v>
      </c>
      <c r="BB40" s="217"/>
      <c r="BC40" s="56"/>
      <c r="BD40" s="84">
        <f t="shared" si="8"/>
        <v>1717.5</v>
      </c>
      <c r="BE40" s="56"/>
      <c r="BF40" s="56"/>
      <c r="BG40" s="56"/>
      <c r="BH40" s="72"/>
    </row>
    <row r="41" spans="1:60" ht="20.100000000000001" customHeight="1" outlineLevel="1">
      <c r="A41" s="77" t="s">
        <v>43</v>
      </c>
      <c r="B41" s="124" t="s">
        <v>225</v>
      </c>
      <c r="C41" s="77" t="s">
        <v>1080</v>
      </c>
      <c r="D41" s="136" t="s">
        <v>46</v>
      </c>
      <c r="E41" s="78" t="str">
        <f t="shared" si="9"/>
        <v>000</v>
      </c>
      <c r="F41" s="137">
        <v>632013</v>
      </c>
      <c r="G41" s="138" t="s">
        <v>328</v>
      </c>
      <c r="H41" s="87"/>
      <c r="I41" s="139"/>
      <c r="J41" s="13"/>
      <c r="L41" s="56">
        <v>765</v>
      </c>
      <c r="M41" s="56"/>
      <c r="N41" s="56">
        <v>1500</v>
      </c>
      <c r="O41" s="56"/>
      <c r="P41" s="56">
        <v>1500</v>
      </c>
      <c r="Q41" s="56"/>
      <c r="R41" s="56">
        <v>1500</v>
      </c>
      <c r="S41" s="56"/>
      <c r="T41" s="56">
        <v>0</v>
      </c>
      <c r="U41" s="56"/>
      <c r="V41" s="56">
        <v>1500</v>
      </c>
      <c r="W41" s="56"/>
      <c r="X41" s="56">
        <v>0</v>
      </c>
      <c r="Y41" s="56"/>
      <c r="Z41" s="56">
        <v>1500</v>
      </c>
      <c r="AA41" s="56"/>
      <c r="AB41" s="56"/>
      <c r="AC41" s="56"/>
      <c r="AD41" s="56"/>
      <c r="AE41" s="56"/>
      <c r="AF41" s="56">
        <f t="shared" si="5"/>
        <v>1500</v>
      </c>
      <c r="AG41" s="56">
        <v>0</v>
      </c>
      <c r="AH41" s="56">
        <v>0</v>
      </c>
      <c r="AI41" s="56"/>
      <c r="AJ41" s="56">
        <f t="shared" si="6"/>
        <v>1500</v>
      </c>
      <c r="AK41" s="85"/>
      <c r="AL41" s="56">
        <v>0</v>
      </c>
      <c r="AM41" s="56"/>
      <c r="AN41" s="88">
        <v>0</v>
      </c>
      <c r="AO41" s="88">
        <v>0</v>
      </c>
      <c r="AP41" s="88">
        <v>0</v>
      </c>
      <c r="AQ41" s="56"/>
      <c r="AR41" s="56">
        <v>0</v>
      </c>
      <c r="AS41" s="56"/>
      <c r="AT41" s="56">
        <v>0</v>
      </c>
      <c r="AU41" s="56"/>
      <c r="AV41" s="56">
        <f t="shared" si="7"/>
        <v>0</v>
      </c>
      <c r="AW41" s="56"/>
      <c r="AX41" s="56">
        <v>0</v>
      </c>
      <c r="AY41" s="56"/>
      <c r="AZ41" s="88">
        <v>1500</v>
      </c>
      <c r="BA41" s="56">
        <v>1500</v>
      </c>
      <c r="BB41" s="217"/>
      <c r="BC41" s="56"/>
      <c r="BD41" s="84">
        <f t="shared" si="8"/>
        <v>0</v>
      </c>
      <c r="BE41" s="56"/>
      <c r="BF41" s="56"/>
      <c r="BG41" s="56"/>
      <c r="BH41" s="72"/>
    </row>
    <row r="42" spans="1:60" ht="20.100000000000001" customHeight="1" outlineLevel="1">
      <c r="A42" s="77" t="s">
        <v>43</v>
      </c>
      <c r="B42" s="124" t="s">
        <v>216</v>
      </c>
      <c r="C42" s="77" t="s">
        <v>1080</v>
      </c>
      <c r="D42" s="136" t="s">
        <v>46</v>
      </c>
      <c r="E42" s="78" t="str">
        <f t="shared" si="9"/>
        <v>000</v>
      </c>
      <c r="F42" s="137">
        <v>658215</v>
      </c>
      <c r="G42" s="138" t="s">
        <v>329</v>
      </c>
      <c r="H42" s="87"/>
      <c r="I42" s="139"/>
      <c r="J42" s="13"/>
      <c r="L42" s="56">
        <v>323</v>
      </c>
      <c r="M42" s="56"/>
      <c r="N42" s="56">
        <v>1500</v>
      </c>
      <c r="O42" s="56"/>
      <c r="P42" s="56">
        <v>1500</v>
      </c>
      <c r="Q42" s="56"/>
      <c r="R42" s="56">
        <v>1500</v>
      </c>
      <c r="S42" s="56"/>
      <c r="T42" s="56">
        <v>0</v>
      </c>
      <c r="U42" s="56"/>
      <c r="V42" s="56">
        <v>1500</v>
      </c>
      <c r="W42" s="56"/>
      <c r="X42" s="56">
        <v>0</v>
      </c>
      <c r="Y42" s="56"/>
      <c r="Z42" s="56">
        <v>1500</v>
      </c>
      <c r="AA42" s="56"/>
      <c r="AB42" s="56"/>
      <c r="AC42" s="56"/>
      <c r="AD42" s="56"/>
      <c r="AE42" s="56"/>
      <c r="AF42" s="56">
        <f t="shared" si="5"/>
        <v>1500</v>
      </c>
      <c r="AG42" s="56">
        <v>0</v>
      </c>
      <c r="AH42" s="56">
        <v>0</v>
      </c>
      <c r="AI42" s="56"/>
      <c r="AJ42" s="56">
        <f t="shared" si="6"/>
        <v>1500</v>
      </c>
      <c r="AK42" s="85"/>
      <c r="AL42" s="56">
        <v>0</v>
      </c>
      <c r="AM42" s="56"/>
      <c r="AN42" s="88">
        <v>0</v>
      </c>
      <c r="AO42" s="88">
        <v>0</v>
      </c>
      <c r="AP42" s="88">
        <v>0</v>
      </c>
      <c r="AQ42" s="56"/>
      <c r="AR42" s="56">
        <v>0</v>
      </c>
      <c r="AS42" s="56"/>
      <c r="AT42" s="56">
        <v>0</v>
      </c>
      <c r="AU42" s="56"/>
      <c r="AV42" s="56">
        <f t="shared" si="7"/>
        <v>0</v>
      </c>
      <c r="AW42" s="56"/>
      <c r="AX42" s="56">
        <v>0</v>
      </c>
      <c r="AY42" s="56"/>
      <c r="AZ42" s="88">
        <v>1500</v>
      </c>
      <c r="BA42" s="56">
        <v>1500</v>
      </c>
      <c r="BB42" s="217"/>
      <c r="BC42" s="56"/>
      <c r="BD42" s="84">
        <f t="shared" si="8"/>
        <v>0</v>
      </c>
      <c r="BE42" s="56"/>
      <c r="BF42" s="56"/>
      <c r="BG42" s="56"/>
      <c r="BH42" s="72"/>
    </row>
    <row r="43" spans="1:60" ht="20.100000000000001" customHeight="1" outlineLevel="1">
      <c r="A43" s="77" t="s">
        <v>43</v>
      </c>
      <c r="B43" s="77" t="s">
        <v>203</v>
      </c>
      <c r="C43" s="77" t="s">
        <v>1080</v>
      </c>
      <c r="D43" s="78" t="s">
        <v>46</v>
      </c>
      <c r="E43" s="78" t="str">
        <f t="shared" si="9"/>
        <v>000</v>
      </c>
      <c r="F43" s="3">
        <v>661035</v>
      </c>
      <c r="G43" s="140" t="s">
        <v>330</v>
      </c>
      <c r="H43" s="87"/>
      <c r="I43" s="139">
        <v>14211</v>
      </c>
      <c r="J43" s="13">
        <v>21585</v>
      </c>
      <c r="L43" s="56">
        <v>30450</v>
      </c>
      <c r="M43" s="56"/>
      <c r="N43" s="56">
        <v>46050</v>
      </c>
      <c r="O43" s="56"/>
      <c r="P43" s="56">
        <v>46050</v>
      </c>
      <c r="Q43" s="56"/>
      <c r="R43" s="56">
        <v>46050</v>
      </c>
      <c r="S43" s="56"/>
      <c r="T43" s="56">
        <v>0</v>
      </c>
      <c r="U43" s="56"/>
      <c r="V43" s="56">
        <v>46050</v>
      </c>
      <c r="W43" s="56"/>
      <c r="X43" s="56">
        <v>46049.85</v>
      </c>
      <c r="Y43" s="56"/>
      <c r="Z43" s="56">
        <v>46050</v>
      </c>
      <c r="AA43" s="56"/>
      <c r="AB43" s="56"/>
      <c r="AC43" s="56"/>
      <c r="AD43" s="56"/>
      <c r="AE43" s="56"/>
      <c r="AF43" s="56">
        <f t="shared" si="5"/>
        <v>46050</v>
      </c>
      <c r="AG43" s="56">
        <v>0</v>
      </c>
      <c r="AH43" s="56">
        <v>0</v>
      </c>
      <c r="AI43" s="56"/>
      <c r="AJ43" s="56">
        <f t="shared" si="6"/>
        <v>46050</v>
      </c>
      <c r="AK43" s="85"/>
      <c r="AL43" s="56">
        <v>0</v>
      </c>
      <c r="AM43" s="56"/>
      <c r="AN43" s="88">
        <v>45660.39</v>
      </c>
      <c r="AO43" s="88">
        <v>0</v>
      </c>
      <c r="AP43" s="88">
        <v>45939</v>
      </c>
      <c r="AQ43" s="56"/>
      <c r="AR43" s="56">
        <v>-500</v>
      </c>
      <c r="AS43" s="56"/>
      <c r="AT43" s="56">
        <v>389</v>
      </c>
      <c r="AU43" s="56"/>
      <c r="AV43" s="56">
        <f t="shared" si="7"/>
        <v>45828</v>
      </c>
      <c r="AW43" s="56"/>
      <c r="AX43" s="56">
        <v>0</v>
      </c>
      <c r="AY43" s="56"/>
      <c r="AZ43" s="88">
        <v>43065</v>
      </c>
      <c r="BA43" s="56">
        <v>42065</v>
      </c>
      <c r="BB43" s="217"/>
      <c r="BC43" s="56"/>
      <c r="BD43" s="84">
        <f t="shared" si="8"/>
        <v>278.61000000000058</v>
      </c>
      <c r="BE43" s="56"/>
      <c r="BF43" s="56"/>
      <c r="BG43" s="56"/>
      <c r="BH43" s="72"/>
    </row>
    <row r="44" spans="1:60" ht="20.100000000000001" customHeight="1" outlineLevel="1">
      <c r="A44" s="77" t="s">
        <v>43</v>
      </c>
      <c r="B44" s="77" t="s">
        <v>203</v>
      </c>
      <c r="C44" s="77" t="s">
        <v>1080</v>
      </c>
      <c r="D44" s="78" t="s">
        <v>46</v>
      </c>
      <c r="E44" s="78" t="str">
        <f t="shared" si="9"/>
        <v>000</v>
      </c>
      <c r="F44" s="3">
        <v>661036</v>
      </c>
      <c r="G44" s="140" t="s">
        <v>331</v>
      </c>
      <c r="H44" s="87"/>
      <c r="I44" s="139">
        <v>0</v>
      </c>
      <c r="J44" s="13">
        <v>0</v>
      </c>
      <c r="L44" s="56">
        <v>0</v>
      </c>
      <c r="M44" s="56"/>
      <c r="N44" s="56">
        <v>0</v>
      </c>
      <c r="O44" s="56"/>
      <c r="P44" s="56">
        <v>0</v>
      </c>
      <c r="Q44" s="56"/>
      <c r="R44" s="56">
        <v>0</v>
      </c>
      <c r="S44" s="56"/>
      <c r="T44" s="56">
        <v>0</v>
      </c>
      <c r="U44" s="56"/>
      <c r="V44" s="56">
        <v>0</v>
      </c>
      <c r="W44" s="56"/>
      <c r="X44" s="56">
        <v>0</v>
      </c>
      <c r="Y44" s="56"/>
      <c r="Z44" s="56">
        <v>0</v>
      </c>
      <c r="AA44" s="56"/>
      <c r="AB44" s="56"/>
      <c r="AC44" s="56"/>
      <c r="AD44" s="56"/>
      <c r="AE44" s="56"/>
      <c r="AF44" s="56">
        <f t="shared" si="5"/>
        <v>0</v>
      </c>
      <c r="AG44" s="56">
        <v>0</v>
      </c>
      <c r="AH44" s="56">
        <v>0</v>
      </c>
      <c r="AI44" s="56"/>
      <c r="AJ44" s="56">
        <f t="shared" si="6"/>
        <v>0</v>
      </c>
      <c r="AK44" s="85"/>
      <c r="AL44" s="56">
        <v>0</v>
      </c>
      <c r="AM44" s="56"/>
      <c r="AN44" s="88">
        <f>SUM(AI44:AM44)</f>
        <v>0</v>
      </c>
      <c r="AO44" s="88">
        <v>0</v>
      </c>
      <c r="AP44" s="88">
        <v>0</v>
      </c>
      <c r="AQ44" s="56"/>
      <c r="AR44" s="56">
        <v>0</v>
      </c>
      <c r="AS44" s="56"/>
      <c r="AT44" s="56">
        <v>0</v>
      </c>
      <c r="AU44" s="56"/>
      <c r="AV44" s="56">
        <f t="shared" si="7"/>
        <v>0</v>
      </c>
      <c r="AW44" s="56"/>
      <c r="AX44" s="56">
        <v>0</v>
      </c>
      <c r="AY44" s="56"/>
      <c r="AZ44" s="88">
        <v>0</v>
      </c>
      <c r="BA44" s="56">
        <v>0</v>
      </c>
      <c r="BB44" s="217"/>
      <c r="BC44" s="56"/>
      <c r="BD44" s="84">
        <f t="shared" si="8"/>
        <v>0</v>
      </c>
      <c r="BE44" s="56"/>
      <c r="BF44" s="56"/>
      <c r="BG44" s="56"/>
      <c r="BH44" s="72"/>
    </row>
    <row r="45" spans="1:60" ht="20.100000000000001" customHeight="1" outlineLevel="1">
      <c r="A45" s="77" t="s">
        <v>43</v>
      </c>
      <c r="B45" s="77" t="s">
        <v>203</v>
      </c>
      <c r="C45" s="77" t="s">
        <v>1080</v>
      </c>
      <c r="D45" s="78" t="s">
        <v>46</v>
      </c>
      <c r="E45" s="78" t="str">
        <f t="shared" si="9"/>
        <v>000</v>
      </c>
      <c r="F45" s="3">
        <v>661037</v>
      </c>
      <c r="G45" s="140" t="s">
        <v>332</v>
      </c>
      <c r="H45" s="87"/>
      <c r="I45" s="139">
        <v>20711</v>
      </c>
      <c r="J45" s="13">
        <v>30488</v>
      </c>
      <c r="L45" s="56">
        <v>30497</v>
      </c>
      <c r="M45" s="56"/>
      <c r="N45" s="56">
        <v>30500</v>
      </c>
      <c r="O45" s="56"/>
      <c r="P45" s="56">
        <v>30500</v>
      </c>
      <c r="Q45" s="56"/>
      <c r="R45" s="56">
        <v>37500</v>
      </c>
      <c r="S45" s="56"/>
      <c r="T45" s="56">
        <v>0</v>
      </c>
      <c r="U45" s="56"/>
      <c r="V45" s="56">
        <v>37500</v>
      </c>
      <c r="W45" s="56"/>
      <c r="X45" s="56">
        <v>37492.92</v>
      </c>
      <c r="Y45" s="56"/>
      <c r="Z45" s="56">
        <v>37000</v>
      </c>
      <c r="AA45" s="56"/>
      <c r="AB45" s="56"/>
      <c r="AC45" s="56"/>
      <c r="AD45" s="56"/>
      <c r="AE45" s="56"/>
      <c r="AF45" s="56">
        <f t="shared" si="5"/>
        <v>37000</v>
      </c>
      <c r="AG45" s="56">
        <v>0</v>
      </c>
      <c r="AH45" s="56">
        <v>0</v>
      </c>
      <c r="AI45" s="56"/>
      <c r="AJ45" s="56">
        <f t="shared" si="6"/>
        <v>37000</v>
      </c>
      <c r="AK45" s="85"/>
      <c r="AL45" s="56">
        <v>0</v>
      </c>
      <c r="AM45" s="56"/>
      <c r="AN45" s="88">
        <v>36999.480000000003</v>
      </c>
      <c r="AO45" s="88">
        <v>0</v>
      </c>
      <c r="AP45" s="88">
        <v>36224.46</v>
      </c>
      <c r="AQ45" s="56"/>
      <c r="AR45" s="56">
        <v>-500</v>
      </c>
      <c r="AS45" s="56"/>
      <c r="AT45" s="56">
        <v>0</v>
      </c>
      <c r="AU45" s="56"/>
      <c r="AV45" s="56">
        <f t="shared" si="7"/>
        <v>35724.46</v>
      </c>
      <c r="AW45" s="56"/>
      <c r="AX45" s="56">
        <v>0</v>
      </c>
      <c r="AY45" s="56"/>
      <c r="AZ45" s="88">
        <v>30000</v>
      </c>
      <c r="BA45" s="56">
        <v>29100</v>
      </c>
      <c r="BB45" s="217"/>
      <c r="BC45" s="56"/>
      <c r="BD45" s="84">
        <f t="shared" si="8"/>
        <v>-775.02000000000407</v>
      </c>
      <c r="BE45" s="56"/>
      <c r="BF45" s="56"/>
      <c r="BG45" s="56"/>
      <c r="BH45" s="72"/>
    </row>
    <row r="46" spans="1:60" ht="20.100000000000001" customHeight="1" outlineLevel="1">
      <c r="A46" s="77" t="s">
        <v>43</v>
      </c>
      <c r="B46" s="77" t="s">
        <v>203</v>
      </c>
      <c r="C46" s="77" t="s">
        <v>1080</v>
      </c>
      <c r="D46" s="78" t="s">
        <v>46</v>
      </c>
      <c r="E46" s="78" t="str">
        <f t="shared" si="9"/>
        <v>000</v>
      </c>
      <c r="F46" s="3">
        <v>661038</v>
      </c>
      <c r="G46" s="140" t="s">
        <v>333</v>
      </c>
      <c r="H46" s="87"/>
      <c r="I46" s="139">
        <v>14425</v>
      </c>
      <c r="J46" s="13">
        <v>22480</v>
      </c>
      <c r="L46" s="56">
        <v>22496</v>
      </c>
      <c r="M46" s="56"/>
      <c r="N46" s="56">
        <v>32000</v>
      </c>
      <c r="O46" s="56"/>
      <c r="P46" s="56">
        <v>32000</v>
      </c>
      <c r="Q46" s="56"/>
      <c r="R46" s="56">
        <v>32000</v>
      </c>
      <c r="S46" s="56"/>
      <c r="T46" s="56">
        <v>0</v>
      </c>
      <c r="U46" s="56"/>
      <c r="V46" s="56">
        <v>32000</v>
      </c>
      <c r="W46" s="56"/>
      <c r="X46" s="56">
        <v>31999.65</v>
      </c>
      <c r="Y46" s="56"/>
      <c r="Z46" s="56">
        <v>42300</v>
      </c>
      <c r="AA46" s="56"/>
      <c r="AB46" s="56"/>
      <c r="AC46" s="56"/>
      <c r="AD46" s="56"/>
      <c r="AE46" s="56"/>
      <c r="AF46" s="56">
        <f t="shared" si="5"/>
        <v>42300</v>
      </c>
      <c r="AG46" s="56">
        <v>0</v>
      </c>
      <c r="AH46" s="56">
        <v>0</v>
      </c>
      <c r="AI46" s="56"/>
      <c r="AJ46" s="56">
        <f t="shared" si="6"/>
        <v>42300</v>
      </c>
      <c r="AK46" s="85"/>
      <c r="AL46" s="56">
        <v>0</v>
      </c>
      <c r="AM46" s="56"/>
      <c r="AN46" s="88">
        <v>42299.28</v>
      </c>
      <c r="AO46" s="88">
        <v>0</v>
      </c>
      <c r="AP46" s="88">
        <v>41788.79</v>
      </c>
      <c r="AQ46" s="56"/>
      <c r="AR46" s="56">
        <v>-500</v>
      </c>
      <c r="AS46" s="56"/>
      <c r="AT46" s="56">
        <v>0</v>
      </c>
      <c r="AU46" s="56"/>
      <c r="AV46" s="56">
        <f t="shared" si="7"/>
        <v>41288.79</v>
      </c>
      <c r="AW46" s="56"/>
      <c r="AX46" s="56">
        <v>0</v>
      </c>
      <c r="AY46" s="56"/>
      <c r="AZ46" s="88">
        <v>42300</v>
      </c>
      <c r="BA46" s="56">
        <v>42300</v>
      </c>
      <c r="BB46" s="217"/>
      <c r="BC46" s="56"/>
      <c r="BD46" s="84">
        <f t="shared" si="8"/>
        <v>-510.48999999999796</v>
      </c>
      <c r="BE46" s="56"/>
      <c r="BF46" s="56"/>
      <c r="BG46" s="56"/>
      <c r="BH46" s="72"/>
    </row>
    <row r="47" spans="1:60" ht="20.100000000000001" customHeight="1" outlineLevel="1">
      <c r="A47" s="77" t="s">
        <v>43</v>
      </c>
      <c r="B47" s="77" t="s">
        <v>203</v>
      </c>
      <c r="C47" s="77" t="s">
        <v>1080</v>
      </c>
      <c r="D47" s="78" t="s">
        <v>334</v>
      </c>
      <c r="E47" s="78" t="str">
        <f t="shared" si="9"/>
        <v>001</v>
      </c>
      <c r="F47" s="3">
        <v>661055</v>
      </c>
      <c r="G47" s="140" t="s">
        <v>335</v>
      </c>
      <c r="H47" s="87"/>
      <c r="I47" s="139">
        <v>5043</v>
      </c>
      <c r="J47" s="13">
        <v>8301</v>
      </c>
      <c r="L47" s="56">
        <v>12152</v>
      </c>
      <c r="M47" s="56"/>
      <c r="N47" s="56">
        <v>30000</v>
      </c>
      <c r="O47" s="56"/>
      <c r="P47" s="56">
        <v>19300</v>
      </c>
      <c r="Q47" s="56"/>
      <c r="R47" s="56">
        <v>19300</v>
      </c>
      <c r="S47" s="56"/>
      <c r="T47" s="56">
        <v>0</v>
      </c>
      <c r="U47" s="56"/>
      <c r="V47" s="56">
        <v>19300</v>
      </c>
      <c r="W47" s="56"/>
      <c r="X47" s="56">
        <v>19285.28</v>
      </c>
      <c r="Y47" s="56"/>
      <c r="Z47" s="56">
        <v>30000</v>
      </c>
      <c r="AA47" s="56"/>
      <c r="AB47" s="56">
        <v>-9000</v>
      </c>
      <c r="AC47" s="56"/>
      <c r="AD47" s="56">
        <v>500</v>
      </c>
      <c r="AE47" s="56"/>
      <c r="AF47" s="56">
        <f t="shared" si="5"/>
        <v>21500</v>
      </c>
      <c r="AG47" s="56">
        <v>0</v>
      </c>
      <c r="AH47" s="56">
        <v>0</v>
      </c>
      <c r="AI47" s="56"/>
      <c r="AJ47" s="56">
        <f t="shared" si="6"/>
        <v>21500</v>
      </c>
      <c r="AK47" s="85"/>
      <c r="AL47" s="56">
        <v>0</v>
      </c>
      <c r="AM47" s="56"/>
      <c r="AN47" s="88">
        <v>21496.38</v>
      </c>
      <c r="AO47" s="88">
        <v>0</v>
      </c>
      <c r="AP47" s="88">
        <v>26475.62</v>
      </c>
      <c r="AQ47" s="56"/>
      <c r="AR47" s="56">
        <f>-9000-2400</f>
        <v>-11400</v>
      </c>
      <c r="AS47" s="56"/>
      <c r="AT47" s="56">
        <v>0</v>
      </c>
      <c r="AU47" s="56"/>
      <c r="AV47" s="56">
        <f t="shared" si="7"/>
        <v>15075.619999999999</v>
      </c>
      <c r="AW47" s="56"/>
      <c r="AX47" s="56">
        <v>0</v>
      </c>
      <c r="AY47" s="56"/>
      <c r="AZ47" s="88">
        <v>38000</v>
      </c>
      <c r="BA47" s="56">
        <v>27500</v>
      </c>
      <c r="BB47" s="217"/>
      <c r="BC47" s="56"/>
      <c r="BD47" s="84">
        <f t="shared" si="8"/>
        <v>4979.239999999998</v>
      </c>
      <c r="BE47" s="56"/>
      <c r="BF47" s="56"/>
      <c r="BG47" s="56"/>
      <c r="BH47" s="72"/>
    </row>
    <row r="48" spans="1:60" ht="20.100000000000001" customHeight="1" outlineLevel="1">
      <c r="A48" s="77" t="s">
        <v>43</v>
      </c>
      <c r="B48" s="77" t="s">
        <v>203</v>
      </c>
      <c r="C48" s="77" t="s">
        <v>1080</v>
      </c>
      <c r="D48" s="78" t="s">
        <v>46</v>
      </c>
      <c r="E48" s="78" t="str">
        <f t="shared" si="9"/>
        <v>000</v>
      </c>
      <c r="F48" s="3">
        <v>673024</v>
      </c>
      <c r="G48" s="140" t="s">
        <v>336</v>
      </c>
      <c r="H48" s="87"/>
      <c r="I48" s="139">
        <v>19420</v>
      </c>
      <c r="J48" s="13">
        <v>13250</v>
      </c>
      <c r="L48" s="56">
        <v>60254</v>
      </c>
      <c r="M48" s="56"/>
      <c r="N48" s="56">
        <v>96350</v>
      </c>
      <c r="O48" s="56"/>
      <c r="P48" s="56">
        <v>99747</v>
      </c>
      <c r="Q48" s="56"/>
      <c r="R48" s="56">
        <v>99747</v>
      </c>
      <c r="S48" s="56"/>
      <c r="T48" s="56">
        <v>-260</v>
      </c>
      <c r="U48" s="56"/>
      <c r="V48" s="56">
        <v>99487</v>
      </c>
      <c r="W48" s="56"/>
      <c r="X48" s="56">
        <v>97819.9</v>
      </c>
      <c r="Y48" s="56"/>
      <c r="Z48" s="56">
        <v>96350</v>
      </c>
      <c r="AA48" s="56"/>
      <c r="AB48" s="56">
        <v>-96350</v>
      </c>
      <c r="AC48" s="56"/>
      <c r="AD48" s="56"/>
      <c r="AE48" s="56"/>
      <c r="AF48" s="56">
        <f t="shared" si="5"/>
        <v>0</v>
      </c>
      <c r="AG48" s="56">
        <v>0</v>
      </c>
      <c r="AH48" s="56">
        <v>0</v>
      </c>
      <c r="AI48" s="56"/>
      <c r="AJ48" s="56">
        <f t="shared" si="6"/>
        <v>0</v>
      </c>
      <c r="AK48" s="85"/>
      <c r="AL48" s="56">
        <v>0</v>
      </c>
      <c r="AM48" s="56"/>
      <c r="AN48" s="88">
        <f t="shared" ref="AN48:AN55" si="10">SUM(AI48:AM48)</f>
        <v>0</v>
      </c>
      <c r="AO48" s="88">
        <v>0</v>
      </c>
      <c r="AP48" s="88">
        <v>0</v>
      </c>
      <c r="AQ48" s="56"/>
      <c r="AR48" s="56">
        <v>0</v>
      </c>
      <c r="AS48" s="56"/>
      <c r="AT48" s="56">
        <v>0</v>
      </c>
      <c r="AU48" s="56"/>
      <c r="AV48" s="56">
        <f t="shared" si="7"/>
        <v>0</v>
      </c>
      <c r="AW48" s="56"/>
      <c r="AX48" s="56">
        <v>0</v>
      </c>
      <c r="AY48" s="56"/>
      <c r="AZ48" s="88">
        <v>0</v>
      </c>
      <c r="BA48" s="56">
        <v>0</v>
      </c>
      <c r="BB48" s="217"/>
      <c r="BC48" s="56"/>
      <c r="BD48" s="84">
        <f t="shared" si="8"/>
        <v>0</v>
      </c>
      <c r="BE48" s="56"/>
      <c r="BF48" s="56"/>
      <c r="BG48" s="56"/>
      <c r="BH48" s="72"/>
    </row>
    <row r="49" spans="1:62" ht="20.100000000000001" customHeight="1" outlineLevel="1">
      <c r="A49" s="77" t="s">
        <v>43</v>
      </c>
      <c r="B49" s="77" t="s">
        <v>203</v>
      </c>
      <c r="C49" s="77" t="s">
        <v>1080</v>
      </c>
      <c r="D49" s="78" t="s">
        <v>46</v>
      </c>
      <c r="E49" s="78" t="str">
        <f t="shared" si="9"/>
        <v>000</v>
      </c>
      <c r="F49" s="3">
        <v>673033</v>
      </c>
      <c r="G49" s="140" t="s">
        <v>337</v>
      </c>
      <c r="H49" s="87"/>
      <c r="I49" s="139">
        <v>0</v>
      </c>
      <c r="J49" s="13">
        <v>0</v>
      </c>
      <c r="L49" s="56">
        <v>0</v>
      </c>
      <c r="M49" s="56"/>
      <c r="N49" s="56">
        <v>0</v>
      </c>
      <c r="O49" s="56"/>
      <c r="P49" s="56">
        <v>0</v>
      </c>
      <c r="Q49" s="56"/>
      <c r="R49" s="56">
        <v>0</v>
      </c>
      <c r="S49" s="56"/>
      <c r="T49" s="56">
        <v>0</v>
      </c>
      <c r="U49" s="56"/>
      <c r="V49" s="56">
        <v>0</v>
      </c>
      <c r="W49" s="56"/>
      <c r="X49" s="56">
        <v>0</v>
      </c>
      <c r="Y49" s="56"/>
      <c r="Z49" s="56">
        <v>0</v>
      </c>
      <c r="AA49" s="56"/>
      <c r="AB49" s="56"/>
      <c r="AC49" s="56"/>
      <c r="AD49" s="56"/>
      <c r="AE49" s="56"/>
      <c r="AF49" s="56">
        <f t="shared" si="5"/>
        <v>0</v>
      </c>
      <c r="AG49" s="56">
        <v>0</v>
      </c>
      <c r="AH49" s="56">
        <v>0</v>
      </c>
      <c r="AI49" s="56"/>
      <c r="AJ49" s="56">
        <f t="shared" si="6"/>
        <v>0</v>
      </c>
      <c r="AK49" s="85"/>
      <c r="AL49" s="56">
        <v>0</v>
      </c>
      <c r="AM49" s="56"/>
      <c r="AN49" s="88">
        <f t="shared" si="10"/>
        <v>0</v>
      </c>
      <c r="AO49" s="88">
        <v>0</v>
      </c>
      <c r="AP49" s="88">
        <v>0</v>
      </c>
      <c r="AQ49" s="56"/>
      <c r="AR49" s="56">
        <v>0</v>
      </c>
      <c r="AS49" s="56"/>
      <c r="AT49" s="56">
        <v>0</v>
      </c>
      <c r="AU49" s="56"/>
      <c r="AV49" s="56">
        <f t="shared" si="7"/>
        <v>0</v>
      </c>
      <c r="AW49" s="56"/>
      <c r="AX49" s="56">
        <v>0</v>
      </c>
      <c r="AY49" s="56"/>
      <c r="AZ49" s="88">
        <v>0</v>
      </c>
      <c r="BA49" s="56">
        <v>0</v>
      </c>
      <c r="BB49" s="217"/>
      <c r="BC49" s="56"/>
      <c r="BD49" s="84">
        <f t="shared" si="8"/>
        <v>0</v>
      </c>
      <c r="BE49" s="56"/>
      <c r="BF49" s="56"/>
      <c r="BG49" s="56"/>
      <c r="BH49" s="72"/>
    </row>
    <row r="50" spans="1:62" ht="20.100000000000001" customHeight="1" outlineLevel="1">
      <c r="A50" s="77" t="s">
        <v>43</v>
      </c>
      <c r="B50" s="77" t="s">
        <v>203</v>
      </c>
      <c r="C50" s="77" t="s">
        <v>1080</v>
      </c>
      <c r="D50" s="78" t="s">
        <v>46</v>
      </c>
      <c r="E50" s="78" t="str">
        <f t="shared" si="9"/>
        <v>000</v>
      </c>
      <c r="F50" s="3">
        <v>673034</v>
      </c>
      <c r="G50" s="140" t="s">
        <v>338</v>
      </c>
      <c r="H50" s="87"/>
      <c r="I50" s="139">
        <v>0</v>
      </c>
      <c r="J50" s="13">
        <v>0</v>
      </c>
      <c r="L50" s="56">
        <v>0</v>
      </c>
      <c r="M50" s="56"/>
      <c r="N50" s="56">
        <v>0</v>
      </c>
      <c r="O50" s="56"/>
      <c r="P50" s="56">
        <v>0</v>
      </c>
      <c r="Q50" s="56"/>
      <c r="R50" s="56">
        <v>0</v>
      </c>
      <c r="S50" s="56"/>
      <c r="T50" s="56">
        <v>0</v>
      </c>
      <c r="U50" s="56"/>
      <c r="V50" s="56">
        <v>0</v>
      </c>
      <c r="W50" s="56"/>
      <c r="X50" s="56">
        <v>0</v>
      </c>
      <c r="Y50" s="56"/>
      <c r="Z50" s="56">
        <v>0</v>
      </c>
      <c r="AA50" s="56"/>
      <c r="AB50" s="56"/>
      <c r="AC50" s="56"/>
      <c r="AD50" s="56"/>
      <c r="AE50" s="56"/>
      <c r="AF50" s="56">
        <f t="shared" si="5"/>
        <v>0</v>
      </c>
      <c r="AG50" s="56">
        <v>0</v>
      </c>
      <c r="AH50" s="56">
        <v>0</v>
      </c>
      <c r="AI50" s="56"/>
      <c r="AJ50" s="56">
        <f t="shared" si="6"/>
        <v>0</v>
      </c>
      <c r="AK50" s="85"/>
      <c r="AL50" s="56">
        <v>0</v>
      </c>
      <c r="AM50" s="56"/>
      <c r="AN50" s="88">
        <f t="shared" si="10"/>
        <v>0</v>
      </c>
      <c r="AO50" s="88">
        <v>0</v>
      </c>
      <c r="AP50" s="88">
        <v>0</v>
      </c>
      <c r="AQ50" s="56"/>
      <c r="AR50" s="56">
        <v>0</v>
      </c>
      <c r="AS50" s="56"/>
      <c r="AT50" s="56">
        <v>0</v>
      </c>
      <c r="AU50" s="56"/>
      <c r="AV50" s="56">
        <f t="shared" si="7"/>
        <v>0</v>
      </c>
      <c r="AW50" s="56"/>
      <c r="AX50" s="56">
        <v>0</v>
      </c>
      <c r="AY50" s="56"/>
      <c r="AZ50" s="88">
        <v>0</v>
      </c>
      <c r="BA50" s="56">
        <v>0</v>
      </c>
      <c r="BB50" s="217"/>
      <c r="BC50" s="56"/>
      <c r="BD50" s="84">
        <f t="shared" si="8"/>
        <v>0</v>
      </c>
      <c r="BE50" s="56"/>
      <c r="BF50" s="56"/>
      <c r="BG50" s="56"/>
      <c r="BH50" s="72"/>
    </row>
    <row r="51" spans="1:62" ht="20.100000000000001" customHeight="1" outlineLevel="1">
      <c r="A51" s="77" t="s">
        <v>43</v>
      </c>
      <c r="B51" s="77" t="s">
        <v>203</v>
      </c>
      <c r="C51" s="77" t="s">
        <v>1080</v>
      </c>
      <c r="D51" s="78" t="s">
        <v>46</v>
      </c>
      <c r="E51" s="78" t="str">
        <f t="shared" si="9"/>
        <v>000</v>
      </c>
      <c r="F51" s="3">
        <v>673035</v>
      </c>
      <c r="G51" s="140" t="s">
        <v>339</v>
      </c>
      <c r="H51" s="141"/>
      <c r="I51" s="139">
        <v>0</v>
      </c>
      <c r="J51" s="139">
        <v>0</v>
      </c>
      <c r="L51" s="56">
        <v>0</v>
      </c>
      <c r="M51" s="56"/>
      <c r="N51" s="56">
        <v>0</v>
      </c>
      <c r="O51" s="56"/>
      <c r="P51" s="56">
        <v>0</v>
      </c>
      <c r="Q51" s="56"/>
      <c r="R51" s="56">
        <v>0</v>
      </c>
      <c r="S51" s="56"/>
      <c r="T51" s="56">
        <v>0</v>
      </c>
      <c r="U51" s="56"/>
      <c r="V51" s="56">
        <v>0</v>
      </c>
      <c r="W51" s="56"/>
      <c r="X51" s="56">
        <v>0</v>
      </c>
      <c r="Y51" s="56"/>
      <c r="Z51" s="56">
        <v>0</v>
      </c>
      <c r="AA51" s="56"/>
      <c r="AB51" s="56"/>
      <c r="AC51" s="56"/>
      <c r="AD51" s="56"/>
      <c r="AE51" s="56"/>
      <c r="AF51" s="56">
        <f t="shared" si="5"/>
        <v>0</v>
      </c>
      <c r="AG51" s="56">
        <v>0</v>
      </c>
      <c r="AH51" s="56">
        <v>0</v>
      </c>
      <c r="AI51" s="56"/>
      <c r="AJ51" s="56">
        <f t="shared" si="6"/>
        <v>0</v>
      </c>
      <c r="AK51" s="85"/>
      <c r="AL51" s="56">
        <v>0</v>
      </c>
      <c r="AM51" s="56"/>
      <c r="AN51" s="88">
        <f t="shared" si="10"/>
        <v>0</v>
      </c>
      <c r="AO51" s="88">
        <v>0</v>
      </c>
      <c r="AP51" s="88">
        <v>0</v>
      </c>
      <c r="AQ51" s="56"/>
      <c r="AR51" s="56">
        <v>0</v>
      </c>
      <c r="AS51" s="56"/>
      <c r="AT51" s="56">
        <v>0</v>
      </c>
      <c r="AU51" s="56"/>
      <c r="AV51" s="56">
        <f t="shared" si="7"/>
        <v>0</v>
      </c>
      <c r="AW51" s="56"/>
      <c r="AX51" s="56">
        <v>0</v>
      </c>
      <c r="AY51" s="56"/>
      <c r="AZ51" s="88">
        <v>0</v>
      </c>
      <c r="BA51" s="56">
        <v>0</v>
      </c>
      <c r="BB51" s="217"/>
      <c r="BC51" s="56"/>
      <c r="BD51" s="84">
        <f t="shared" si="8"/>
        <v>0</v>
      </c>
      <c r="BE51" s="56"/>
      <c r="BF51" s="56"/>
      <c r="BG51" s="56"/>
      <c r="BH51" s="72"/>
    </row>
    <row r="52" spans="1:62" ht="20.100000000000001" customHeight="1" outlineLevel="1">
      <c r="A52" s="77" t="s">
        <v>43</v>
      </c>
      <c r="B52" s="77" t="s">
        <v>203</v>
      </c>
      <c r="C52" s="77" t="s">
        <v>1080</v>
      </c>
      <c r="D52" s="78" t="s">
        <v>46</v>
      </c>
      <c r="E52" s="78" t="str">
        <f t="shared" si="9"/>
        <v>000</v>
      </c>
      <c r="F52" s="3">
        <v>673036</v>
      </c>
      <c r="G52" s="140" t="s">
        <v>340</v>
      </c>
      <c r="H52" s="141"/>
      <c r="I52" s="139">
        <v>0</v>
      </c>
      <c r="J52" s="139">
        <v>0</v>
      </c>
      <c r="L52" s="56">
        <v>0</v>
      </c>
      <c r="M52" s="56"/>
      <c r="N52" s="56">
        <v>0</v>
      </c>
      <c r="O52" s="56"/>
      <c r="P52" s="56">
        <v>0</v>
      </c>
      <c r="Q52" s="56"/>
      <c r="R52" s="56">
        <v>0</v>
      </c>
      <c r="S52" s="56"/>
      <c r="T52" s="56">
        <v>0</v>
      </c>
      <c r="U52" s="56"/>
      <c r="V52" s="56">
        <v>0</v>
      </c>
      <c r="W52" s="56"/>
      <c r="X52" s="56">
        <v>0</v>
      </c>
      <c r="Y52" s="56"/>
      <c r="Z52" s="56">
        <v>0</v>
      </c>
      <c r="AA52" s="56"/>
      <c r="AB52" s="56"/>
      <c r="AC52" s="56"/>
      <c r="AD52" s="56"/>
      <c r="AE52" s="56"/>
      <c r="AF52" s="56">
        <f t="shared" si="5"/>
        <v>0</v>
      </c>
      <c r="AG52" s="56">
        <v>0</v>
      </c>
      <c r="AH52" s="56">
        <v>0</v>
      </c>
      <c r="AI52" s="56"/>
      <c r="AJ52" s="56">
        <f t="shared" si="6"/>
        <v>0</v>
      </c>
      <c r="AK52" s="85"/>
      <c r="AL52" s="56">
        <v>0</v>
      </c>
      <c r="AM52" s="56"/>
      <c r="AN52" s="88">
        <f t="shared" si="10"/>
        <v>0</v>
      </c>
      <c r="AO52" s="88">
        <v>0</v>
      </c>
      <c r="AP52" s="88">
        <v>0</v>
      </c>
      <c r="AQ52" s="56"/>
      <c r="AR52" s="56">
        <v>0</v>
      </c>
      <c r="AS52" s="56"/>
      <c r="AT52" s="56">
        <v>0</v>
      </c>
      <c r="AU52" s="56"/>
      <c r="AV52" s="56">
        <f t="shared" si="7"/>
        <v>0</v>
      </c>
      <c r="AW52" s="56"/>
      <c r="AX52" s="56">
        <v>0</v>
      </c>
      <c r="AY52" s="56"/>
      <c r="AZ52" s="88">
        <v>0</v>
      </c>
      <c r="BA52" s="56">
        <v>0</v>
      </c>
      <c r="BB52" s="217"/>
      <c r="BC52" s="56"/>
      <c r="BD52" s="84">
        <f t="shared" si="8"/>
        <v>0</v>
      </c>
      <c r="BE52" s="56"/>
      <c r="BF52" s="56"/>
      <c r="BG52" s="56"/>
      <c r="BH52" s="72"/>
    </row>
    <row r="53" spans="1:62" ht="20.100000000000001" customHeight="1" outlineLevel="1">
      <c r="A53" s="77" t="s">
        <v>43</v>
      </c>
      <c r="B53" s="77" t="s">
        <v>203</v>
      </c>
      <c r="C53" s="77" t="s">
        <v>1080</v>
      </c>
      <c r="D53" s="78" t="s">
        <v>46</v>
      </c>
      <c r="E53" s="78" t="str">
        <f t="shared" si="9"/>
        <v>000</v>
      </c>
      <c r="F53" s="3">
        <v>673037</v>
      </c>
      <c r="G53" s="140" t="s">
        <v>341</v>
      </c>
      <c r="H53" s="141"/>
      <c r="I53" s="139">
        <v>0</v>
      </c>
      <c r="J53" s="139">
        <v>0</v>
      </c>
      <c r="L53" s="56">
        <v>0</v>
      </c>
      <c r="M53" s="56"/>
      <c r="N53" s="56">
        <v>0</v>
      </c>
      <c r="O53" s="56"/>
      <c r="P53" s="56">
        <v>0</v>
      </c>
      <c r="Q53" s="56"/>
      <c r="R53" s="56">
        <v>0</v>
      </c>
      <c r="S53" s="56"/>
      <c r="T53" s="56">
        <v>0</v>
      </c>
      <c r="U53" s="56"/>
      <c r="V53" s="56">
        <v>0</v>
      </c>
      <c r="W53" s="56"/>
      <c r="X53" s="56">
        <v>0</v>
      </c>
      <c r="Y53" s="56"/>
      <c r="Z53" s="56">
        <v>0</v>
      </c>
      <c r="AA53" s="56"/>
      <c r="AB53" s="56"/>
      <c r="AC53" s="56"/>
      <c r="AD53" s="56"/>
      <c r="AE53" s="56"/>
      <c r="AF53" s="56">
        <f t="shared" si="5"/>
        <v>0</v>
      </c>
      <c r="AG53" s="56">
        <v>0</v>
      </c>
      <c r="AH53" s="56">
        <v>0</v>
      </c>
      <c r="AI53" s="56"/>
      <c r="AJ53" s="56">
        <f t="shared" si="6"/>
        <v>0</v>
      </c>
      <c r="AK53" s="85"/>
      <c r="AL53" s="56">
        <v>0</v>
      </c>
      <c r="AM53" s="56"/>
      <c r="AN53" s="88">
        <f t="shared" si="10"/>
        <v>0</v>
      </c>
      <c r="AO53" s="88">
        <v>0</v>
      </c>
      <c r="AP53" s="88">
        <v>0</v>
      </c>
      <c r="AQ53" s="56"/>
      <c r="AR53" s="56">
        <v>0</v>
      </c>
      <c r="AS53" s="56"/>
      <c r="AT53" s="56">
        <v>0</v>
      </c>
      <c r="AU53" s="56"/>
      <c r="AV53" s="56">
        <f t="shared" si="7"/>
        <v>0</v>
      </c>
      <c r="AW53" s="56"/>
      <c r="AX53" s="56">
        <v>0</v>
      </c>
      <c r="AY53" s="56"/>
      <c r="AZ53" s="88">
        <v>0</v>
      </c>
      <c r="BA53" s="56">
        <v>0</v>
      </c>
      <c r="BB53" s="217"/>
      <c r="BC53" s="56"/>
      <c r="BD53" s="84">
        <f t="shared" si="8"/>
        <v>0</v>
      </c>
      <c r="BE53" s="56"/>
      <c r="BF53" s="56"/>
      <c r="BG53" s="56"/>
      <c r="BH53" s="72"/>
    </row>
    <row r="54" spans="1:62" ht="20.100000000000001" customHeight="1" outlineLevel="1">
      <c r="A54" s="77" t="s">
        <v>43</v>
      </c>
      <c r="B54" s="77" t="s">
        <v>203</v>
      </c>
      <c r="C54" s="77" t="s">
        <v>1080</v>
      </c>
      <c r="D54" s="78" t="s">
        <v>46</v>
      </c>
      <c r="E54" s="78" t="str">
        <f t="shared" si="9"/>
        <v>000</v>
      </c>
      <c r="F54" s="3">
        <v>673038</v>
      </c>
      <c r="G54" s="140" t="s">
        <v>342</v>
      </c>
      <c r="H54" s="141"/>
      <c r="I54" s="139">
        <v>0</v>
      </c>
      <c r="J54" s="139">
        <v>0</v>
      </c>
      <c r="L54" s="56">
        <v>0</v>
      </c>
      <c r="M54" s="56"/>
      <c r="N54" s="56">
        <v>0</v>
      </c>
      <c r="O54" s="56"/>
      <c r="P54" s="56">
        <v>0</v>
      </c>
      <c r="Q54" s="56"/>
      <c r="R54" s="56">
        <v>0</v>
      </c>
      <c r="S54" s="56"/>
      <c r="T54" s="56">
        <v>0</v>
      </c>
      <c r="U54" s="56"/>
      <c r="V54" s="56">
        <v>0</v>
      </c>
      <c r="W54" s="56"/>
      <c r="X54" s="56">
        <v>0</v>
      </c>
      <c r="Y54" s="56"/>
      <c r="Z54" s="56">
        <v>0</v>
      </c>
      <c r="AA54" s="56"/>
      <c r="AB54" s="56"/>
      <c r="AC54" s="56"/>
      <c r="AD54" s="56"/>
      <c r="AE54" s="56"/>
      <c r="AF54" s="56">
        <f t="shared" si="5"/>
        <v>0</v>
      </c>
      <c r="AG54" s="56">
        <v>0</v>
      </c>
      <c r="AH54" s="56">
        <v>0</v>
      </c>
      <c r="AI54" s="56"/>
      <c r="AJ54" s="56">
        <f t="shared" si="6"/>
        <v>0</v>
      </c>
      <c r="AK54" s="85"/>
      <c r="AL54" s="56">
        <v>0</v>
      </c>
      <c r="AM54" s="56"/>
      <c r="AN54" s="88">
        <f t="shared" si="10"/>
        <v>0</v>
      </c>
      <c r="AO54" s="88">
        <v>0</v>
      </c>
      <c r="AP54" s="88">
        <v>0</v>
      </c>
      <c r="AQ54" s="56"/>
      <c r="AR54" s="56">
        <v>0</v>
      </c>
      <c r="AS54" s="56"/>
      <c r="AT54" s="56">
        <v>0</v>
      </c>
      <c r="AU54" s="56"/>
      <c r="AV54" s="56">
        <f t="shared" si="7"/>
        <v>0</v>
      </c>
      <c r="AW54" s="56"/>
      <c r="AX54" s="56">
        <v>0</v>
      </c>
      <c r="AY54" s="56"/>
      <c r="AZ54" s="88">
        <v>0</v>
      </c>
      <c r="BA54" s="56">
        <v>0</v>
      </c>
      <c r="BB54" s="217"/>
      <c r="BC54" s="56"/>
      <c r="BD54" s="84">
        <f t="shared" si="8"/>
        <v>0</v>
      </c>
      <c r="BE54" s="56"/>
      <c r="BF54" s="56"/>
      <c r="BG54" s="56"/>
      <c r="BH54" s="72"/>
    </row>
    <row r="55" spans="1:62" ht="20.100000000000001" customHeight="1" outlineLevel="1">
      <c r="A55" s="77" t="s">
        <v>43</v>
      </c>
      <c r="B55" s="77" t="s">
        <v>203</v>
      </c>
      <c r="C55" s="77" t="s">
        <v>1080</v>
      </c>
      <c r="D55" s="78" t="s">
        <v>46</v>
      </c>
      <c r="E55" s="78" t="str">
        <f t="shared" si="9"/>
        <v>000</v>
      </c>
      <c r="F55" s="3">
        <v>689112</v>
      </c>
      <c r="G55" s="140" t="s">
        <v>343</v>
      </c>
      <c r="H55" s="141"/>
      <c r="I55" s="139">
        <v>0</v>
      </c>
      <c r="J55" s="139">
        <v>0</v>
      </c>
      <c r="L55" s="56">
        <v>0</v>
      </c>
      <c r="M55" s="56"/>
      <c r="N55" s="56">
        <v>0</v>
      </c>
      <c r="O55" s="56"/>
      <c r="P55" s="56">
        <v>0</v>
      </c>
      <c r="Q55" s="56"/>
      <c r="R55" s="56">
        <v>0</v>
      </c>
      <c r="S55" s="56"/>
      <c r="T55" s="56">
        <v>0</v>
      </c>
      <c r="U55" s="56"/>
      <c r="V55" s="56">
        <v>0</v>
      </c>
      <c r="W55" s="56"/>
      <c r="X55" s="56">
        <v>0</v>
      </c>
      <c r="Y55" s="56"/>
      <c r="Z55" s="56">
        <v>0</v>
      </c>
      <c r="AA55" s="56"/>
      <c r="AB55" s="56"/>
      <c r="AC55" s="56"/>
      <c r="AD55" s="56"/>
      <c r="AE55" s="56"/>
      <c r="AF55" s="56">
        <f t="shared" si="5"/>
        <v>0</v>
      </c>
      <c r="AG55" s="56">
        <v>0</v>
      </c>
      <c r="AH55" s="56">
        <v>0</v>
      </c>
      <c r="AI55" s="56"/>
      <c r="AJ55" s="56">
        <f t="shared" si="6"/>
        <v>0</v>
      </c>
      <c r="AK55" s="85"/>
      <c r="AL55" s="56">
        <v>0</v>
      </c>
      <c r="AM55" s="56"/>
      <c r="AN55" s="88">
        <f t="shared" si="10"/>
        <v>0</v>
      </c>
      <c r="AO55" s="88">
        <v>0</v>
      </c>
      <c r="AP55" s="88">
        <v>0</v>
      </c>
      <c r="AQ55" s="56"/>
      <c r="AR55" s="56">
        <v>0</v>
      </c>
      <c r="AS55" s="56"/>
      <c r="AT55" s="56">
        <v>0</v>
      </c>
      <c r="AU55" s="56"/>
      <c r="AV55" s="56">
        <f t="shared" si="7"/>
        <v>0</v>
      </c>
      <c r="AW55" s="56"/>
      <c r="AX55" s="56">
        <v>0</v>
      </c>
      <c r="AY55" s="56"/>
      <c r="AZ55" s="88">
        <v>0</v>
      </c>
      <c r="BA55" s="56">
        <v>0</v>
      </c>
      <c r="BB55" s="217"/>
      <c r="BC55" s="56"/>
      <c r="BD55" s="84">
        <f t="shared" si="8"/>
        <v>0</v>
      </c>
      <c r="BE55" s="56"/>
      <c r="BF55" s="56"/>
      <c r="BG55" s="56"/>
      <c r="BH55" s="72"/>
    </row>
    <row r="56" spans="1:62" ht="20.100000000000001" customHeight="1" outlineLevel="1">
      <c r="A56" s="77" t="s">
        <v>43</v>
      </c>
      <c r="B56" s="77" t="s">
        <v>272</v>
      </c>
      <c r="C56" s="77" t="s">
        <v>1080</v>
      </c>
      <c r="D56" s="78" t="s">
        <v>46</v>
      </c>
      <c r="E56" s="78" t="str">
        <f t="shared" si="9"/>
        <v>000</v>
      </c>
      <c r="F56" s="3">
        <v>611211</v>
      </c>
      <c r="G56" s="140" t="s">
        <v>344</v>
      </c>
      <c r="H56" s="141"/>
      <c r="I56" s="139">
        <v>37891</v>
      </c>
      <c r="J56" s="139">
        <v>31395</v>
      </c>
      <c r="L56" s="56">
        <v>32102</v>
      </c>
      <c r="M56" s="56"/>
      <c r="N56" s="56">
        <v>42000</v>
      </c>
      <c r="O56" s="56"/>
      <c r="P56" s="56">
        <v>42000</v>
      </c>
      <c r="Q56" s="56"/>
      <c r="R56" s="56">
        <v>45000</v>
      </c>
      <c r="S56" s="56"/>
      <c r="T56" s="56">
        <v>0</v>
      </c>
      <c r="U56" s="56"/>
      <c r="V56" s="56">
        <v>45000</v>
      </c>
      <c r="W56" s="56"/>
      <c r="X56" s="56">
        <f>29183.37+1382.81</f>
        <v>30566.18</v>
      </c>
      <c r="Y56" s="56"/>
      <c r="Z56" s="56">
        <v>40000</v>
      </c>
      <c r="AA56" s="56"/>
      <c r="AB56" s="56"/>
      <c r="AC56" s="56"/>
      <c r="AD56" s="56"/>
      <c r="AE56" s="56"/>
      <c r="AF56" s="56">
        <f t="shared" si="5"/>
        <v>40000</v>
      </c>
      <c r="AG56" s="56">
        <v>0</v>
      </c>
      <c r="AH56" s="56">
        <v>0</v>
      </c>
      <c r="AI56" s="56"/>
      <c r="AJ56" s="56">
        <f t="shared" si="6"/>
        <v>40000</v>
      </c>
      <c r="AK56" s="85"/>
      <c r="AL56" s="56">
        <v>0</v>
      </c>
      <c r="AM56" s="56"/>
      <c r="AN56" s="88">
        <v>30199.75</v>
      </c>
      <c r="AO56" s="88">
        <v>0</v>
      </c>
      <c r="AP56" s="88">
        <v>54276.06</v>
      </c>
      <c r="AQ56" s="56"/>
      <c r="AR56" s="56">
        <v>0</v>
      </c>
      <c r="AS56" s="56"/>
      <c r="AT56" s="56">
        <v>0</v>
      </c>
      <c r="AU56" s="56"/>
      <c r="AV56" s="56">
        <f t="shared" si="7"/>
        <v>54276.06</v>
      </c>
      <c r="AW56" s="56"/>
      <c r="AX56" s="106">
        <v>16148</v>
      </c>
      <c r="AY56" s="56"/>
      <c r="AZ56" s="88">
        <v>54625</v>
      </c>
      <c r="BA56" s="56">
        <v>54625</v>
      </c>
      <c r="BB56" s="217"/>
      <c r="BC56" s="56"/>
      <c r="BD56" s="84">
        <f t="shared" si="8"/>
        <v>24076.309999999998</v>
      </c>
      <c r="BE56" s="56"/>
      <c r="BF56" s="56"/>
      <c r="BG56" s="56"/>
      <c r="BH56" s="72">
        <v>1</v>
      </c>
      <c r="BJ56">
        <v>1</v>
      </c>
    </row>
    <row r="57" spans="1:62" ht="20.100000000000001" customHeight="1" outlineLevel="1">
      <c r="A57" s="77" t="s">
        <v>43</v>
      </c>
      <c r="B57" s="77" t="s">
        <v>272</v>
      </c>
      <c r="C57" s="77" t="s">
        <v>1080</v>
      </c>
      <c r="D57" s="78" t="s">
        <v>46</v>
      </c>
      <c r="E57" s="78" t="str">
        <f t="shared" si="9"/>
        <v>000</v>
      </c>
      <c r="F57" s="3">
        <v>611411</v>
      </c>
      <c r="G57" s="140" t="s">
        <v>345</v>
      </c>
      <c r="H57" s="141"/>
      <c r="I57" s="139">
        <v>0</v>
      </c>
      <c r="J57" s="139">
        <v>0</v>
      </c>
      <c r="L57" s="56">
        <v>0</v>
      </c>
      <c r="M57" s="56"/>
      <c r="N57" s="56"/>
      <c r="O57" s="56">
        <v>0</v>
      </c>
      <c r="P57" s="56"/>
      <c r="Q57" s="56"/>
      <c r="R57" s="56"/>
      <c r="S57" s="56"/>
      <c r="T57" s="56"/>
      <c r="U57" s="56"/>
      <c r="V57" s="56"/>
      <c r="W57" s="56"/>
      <c r="X57" s="56">
        <v>0</v>
      </c>
      <c r="Y57" s="56"/>
      <c r="Z57" s="56"/>
      <c r="AA57" s="56"/>
      <c r="AB57" s="56"/>
      <c r="AC57" s="56"/>
      <c r="AD57" s="56"/>
      <c r="AE57" s="56"/>
      <c r="AF57" s="56"/>
      <c r="AG57" s="56"/>
      <c r="AH57" s="56"/>
      <c r="AI57" s="56"/>
      <c r="AJ57" s="56"/>
      <c r="AK57" s="85"/>
      <c r="AL57" s="56"/>
      <c r="AM57" s="56"/>
      <c r="AN57" s="88">
        <v>1119.92</v>
      </c>
      <c r="AO57" s="88"/>
      <c r="AP57" s="88">
        <f>552.36+480</f>
        <v>1032.3600000000001</v>
      </c>
      <c r="AQ57" s="56"/>
      <c r="AR57" s="56">
        <v>0</v>
      </c>
      <c r="AS57" s="56"/>
      <c r="AT57" s="56">
        <v>0</v>
      </c>
      <c r="AU57" s="56"/>
      <c r="AV57" s="56">
        <f t="shared" si="7"/>
        <v>1032.3600000000001</v>
      </c>
      <c r="AW57" s="56"/>
      <c r="AX57" s="106">
        <v>560</v>
      </c>
      <c r="AY57" s="56"/>
      <c r="AZ57" s="88">
        <v>560</v>
      </c>
      <c r="BA57" s="56">
        <v>560</v>
      </c>
      <c r="BB57" s="217"/>
      <c r="BC57" s="56"/>
      <c r="BD57" s="84"/>
      <c r="BE57" s="56"/>
      <c r="BF57" s="56"/>
      <c r="BG57" s="56"/>
      <c r="BH57" s="72"/>
    </row>
    <row r="58" spans="1:62" ht="20.100000000000001" customHeight="1" outlineLevel="1">
      <c r="A58" s="77" t="s">
        <v>43</v>
      </c>
      <c r="B58" s="77" t="s">
        <v>346</v>
      </c>
      <c r="C58" s="77" t="s">
        <v>1080</v>
      </c>
      <c r="D58" s="78" t="s">
        <v>46</v>
      </c>
      <c r="E58" s="78" t="str">
        <f t="shared" si="9"/>
        <v>000</v>
      </c>
      <c r="F58" s="3">
        <v>611211</v>
      </c>
      <c r="G58" s="140" t="s">
        <v>347</v>
      </c>
      <c r="H58" s="141"/>
      <c r="I58" s="139">
        <v>50808</v>
      </c>
      <c r="J58" s="139">
        <v>51123</v>
      </c>
      <c r="L58" s="56">
        <v>53156</v>
      </c>
      <c r="M58" s="56"/>
      <c r="N58" s="56">
        <v>55000</v>
      </c>
      <c r="O58" s="56"/>
      <c r="P58" s="56">
        <v>55000</v>
      </c>
      <c r="Q58" s="56"/>
      <c r="R58" s="56">
        <v>55000</v>
      </c>
      <c r="S58" s="56"/>
      <c r="T58" s="56">
        <v>0</v>
      </c>
      <c r="U58" s="56"/>
      <c r="V58" s="56">
        <v>55000</v>
      </c>
      <c r="W58" s="56"/>
      <c r="X58" s="56">
        <v>52652.37</v>
      </c>
      <c r="Y58" s="56"/>
      <c r="Z58" s="56">
        <v>55000</v>
      </c>
      <c r="AA58" s="56"/>
      <c r="AB58" s="56"/>
      <c r="AC58" s="56"/>
      <c r="AD58" s="56"/>
      <c r="AE58" s="56"/>
      <c r="AF58" s="56">
        <f t="shared" ref="AF58:AF95" si="11">SUM(Z58:AE58)</f>
        <v>55000</v>
      </c>
      <c r="AG58" s="56">
        <v>0</v>
      </c>
      <c r="AH58" s="56">
        <v>0</v>
      </c>
      <c r="AI58" s="56"/>
      <c r="AJ58" s="56">
        <f t="shared" ref="AJ58:AJ95" si="12">SUM(AE58:AI58)</f>
        <v>55000</v>
      </c>
      <c r="AK58" s="85"/>
      <c r="AL58" s="56">
        <v>0</v>
      </c>
      <c r="AM58" s="56"/>
      <c r="AN58" s="88">
        <v>51921.2</v>
      </c>
      <c r="AO58" s="88">
        <v>0</v>
      </c>
      <c r="AP58" s="88">
        <v>59757.79</v>
      </c>
      <c r="AQ58" s="56"/>
      <c r="AR58" s="56">
        <v>0</v>
      </c>
      <c r="AS58" s="56"/>
      <c r="AT58" s="56">
        <v>0</v>
      </c>
      <c r="AU58" s="56"/>
      <c r="AV58" s="56">
        <f t="shared" ref="AV58:AV91" si="13">SUM(AP58:AU58)</f>
        <v>59757.79</v>
      </c>
      <c r="AW58" s="56"/>
      <c r="AX58" s="56">
        <v>0</v>
      </c>
      <c r="AY58" s="56"/>
      <c r="AZ58" s="88">
        <v>55000</v>
      </c>
      <c r="BA58" s="56">
        <v>55000</v>
      </c>
      <c r="BB58" s="217"/>
      <c r="BC58" s="56"/>
      <c r="BD58" s="84">
        <f t="shared" ref="BD58:BD96" si="14">+AP58-AN58</f>
        <v>7836.5900000000038</v>
      </c>
      <c r="BE58" s="56"/>
      <c r="BF58" s="56"/>
      <c r="BG58" s="56"/>
      <c r="BH58" s="72">
        <v>1</v>
      </c>
      <c r="BJ58">
        <v>1</v>
      </c>
    </row>
    <row r="59" spans="1:62" ht="20.100000000000001" customHeight="1" outlineLevel="1">
      <c r="A59" s="77" t="s">
        <v>43</v>
      </c>
      <c r="B59" s="77" t="s">
        <v>214</v>
      </c>
      <c r="C59" s="77" t="s">
        <v>1080</v>
      </c>
      <c r="D59" s="78" t="s">
        <v>46</v>
      </c>
      <c r="E59" s="78" t="str">
        <f t="shared" si="9"/>
        <v>000</v>
      </c>
      <c r="F59" s="3">
        <v>611213</v>
      </c>
      <c r="G59" s="140" t="s">
        <v>348</v>
      </c>
      <c r="H59" s="141"/>
      <c r="I59" s="139">
        <v>106267</v>
      </c>
      <c r="J59" s="139">
        <v>88431</v>
      </c>
      <c r="L59" s="56">
        <v>112977</v>
      </c>
      <c r="M59" s="56"/>
      <c r="N59" s="56">
        <v>135000</v>
      </c>
      <c r="O59" s="56"/>
      <c r="P59" s="56">
        <v>135000</v>
      </c>
      <c r="Q59" s="56"/>
      <c r="R59" s="56">
        <v>135000</v>
      </c>
      <c r="S59" s="56"/>
      <c r="T59" s="56">
        <v>0</v>
      </c>
      <c r="U59" s="56"/>
      <c r="V59" s="56">
        <v>135000</v>
      </c>
      <c r="W59" s="56"/>
      <c r="X59" s="56">
        <v>133643.82</v>
      </c>
      <c r="Y59" s="56"/>
      <c r="Z59" s="56">
        <v>171000</v>
      </c>
      <c r="AA59" s="56"/>
      <c r="AB59" s="56"/>
      <c r="AC59" s="56"/>
      <c r="AD59" s="56"/>
      <c r="AE59" s="56"/>
      <c r="AF59" s="56">
        <f t="shared" si="11"/>
        <v>171000</v>
      </c>
      <c r="AG59" s="56">
        <v>0</v>
      </c>
      <c r="AH59" s="56">
        <v>0</v>
      </c>
      <c r="AI59" s="56"/>
      <c r="AJ59" s="56">
        <f t="shared" si="12"/>
        <v>171000</v>
      </c>
      <c r="AK59" s="85"/>
      <c r="AL59" s="56">
        <v>0</v>
      </c>
      <c r="AM59" s="56"/>
      <c r="AN59" s="88">
        <f>136350.91-100</f>
        <v>136250.91</v>
      </c>
      <c r="AO59" s="88">
        <v>0</v>
      </c>
      <c r="AP59" s="88">
        <v>137170.38</v>
      </c>
      <c r="AQ59" s="56"/>
      <c r="AR59" s="56">
        <v>0</v>
      </c>
      <c r="AS59" s="56"/>
      <c r="AT59" s="56">
        <v>0</v>
      </c>
      <c r="AU59" s="56"/>
      <c r="AV59" s="56">
        <f t="shared" si="13"/>
        <v>137170.38</v>
      </c>
      <c r="AW59" s="56"/>
      <c r="AX59" s="56">
        <v>0</v>
      </c>
      <c r="AY59" s="56"/>
      <c r="AZ59" s="88">
        <v>171000</v>
      </c>
      <c r="BA59" s="56">
        <v>171000</v>
      </c>
      <c r="BB59" s="217"/>
      <c r="BC59" s="56"/>
      <c r="BD59" s="84">
        <f t="shared" si="14"/>
        <v>919.47000000000116</v>
      </c>
      <c r="BE59" s="56"/>
      <c r="BF59" s="56"/>
      <c r="BG59" s="56"/>
      <c r="BH59" s="72">
        <v>0</v>
      </c>
      <c r="BJ59">
        <v>0</v>
      </c>
    </row>
    <row r="60" spans="1:62" ht="20.100000000000001" customHeight="1" outlineLevel="1">
      <c r="A60" s="77" t="s">
        <v>43</v>
      </c>
      <c r="B60" s="77" t="s">
        <v>282</v>
      </c>
      <c r="C60" s="77" t="s">
        <v>1080</v>
      </c>
      <c r="D60" s="78" t="s">
        <v>46</v>
      </c>
      <c r="E60" s="78" t="str">
        <f t="shared" si="9"/>
        <v>000</v>
      </c>
      <c r="F60" s="3">
        <v>611352</v>
      </c>
      <c r="G60" s="140" t="s">
        <v>349</v>
      </c>
      <c r="H60" s="141"/>
      <c r="I60" s="139">
        <v>905559</v>
      </c>
      <c r="J60" s="139">
        <v>919384</v>
      </c>
      <c r="L60" s="56">
        <v>1049581</v>
      </c>
      <c r="M60" s="56"/>
      <c r="N60" s="56">
        <v>1053658</v>
      </c>
      <c r="O60" s="56"/>
      <c r="P60" s="56">
        <v>1053658</v>
      </c>
      <c r="Q60" s="56"/>
      <c r="R60" s="56">
        <v>1181969</v>
      </c>
      <c r="S60" s="56"/>
      <c r="T60" s="56">
        <v>0</v>
      </c>
      <c r="U60" s="56"/>
      <c r="V60" s="56">
        <v>1181969</v>
      </c>
      <c r="W60" s="56"/>
      <c r="X60" s="56">
        <v>1190259.25</v>
      </c>
      <c r="Y60" s="56"/>
      <c r="Z60" s="56">
        <v>1175367.33</v>
      </c>
      <c r="AA60" s="56"/>
      <c r="AB60" s="56"/>
      <c r="AC60" s="56"/>
      <c r="AD60" s="56"/>
      <c r="AE60" s="56"/>
      <c r="AF60" s="56">
        <f t="shared" si="11"/>
        <v>1175367.33</v>
      </c>
      <c r="AG60" s="104">
        <v>-71000</v>
      </c>
      <c r="AH60" s="56">
        <v>25625</v>
      </c>
      <c r="AI60" s="56"/>
      <c r="AJ60" s="56">
        <f t="shared" si="12"/>
        <v>1129992.33</v>
      </c>
      <c r="AK60" s="85"/>
      <c r="AL60" s="56">
        <v>0</v>
      </c>
      <c r="AM60" s="56"/>
      <c r="AN60" s="88">
        <v>1130388.95</v>
      </c>
      <c r="AO60" s="88">
        <v>0</v>
      </c>
      <c r="AP60" s="88">
        <v>1114802.31</v>
      </c>
      <c r="AQ60" s="56"/>
      <c r="AR60" s="56">
        <v>0</v>
      </c>
      <c r="AS60" s="56"/>
      <c r="AT60" s="56">
        <v>0</v>
      </c>
      <c r="AU60" s="56"/>
      <c r="AV60" s="56">
        <f t="shared" si="13"/>
        <v>1114802.31</v>
      </c>
      <c r="AW60" s="56"/>
      <c r="AX60" s="106">
        <v>-86985</v>
      </c>
      <c r="AY60" s="56"/>
      <c r="AZ60" s="88">
        <v>1101000</v>
      </c>
      <c r="BA60" s="56">
        <v>1115878</v>
      </c>
      <c r="BB60" s="217"/>
      <c r="BC60" s="56"/>
      <c r="BD60" s="84">
        <f t="shared" si="14"/>
        <v>-15586.639999999898</v>
      </c>
      <c r="BE60" s="56"/>
      <c r="BF60" s="56"/>
      <c r="BG60" s="56"/>
      <c r="BH60" s="72">
        <v>1</v>
      </c>
      <c r="BJ60">
        <v>1</v>
      </c>
    </row>
    <row r="61" spans="1:62" ht="20.100000000000001" customHeight="1" outlineLevel="1">
      <c r="A61" s="77" t="s">
        <v>43</v>
      </c>
      <c r="B61" s="77" t="s">
        <v>216</v>
      </c>
      <c r="C61" s="77" t="s">
        <v>1080</v>
      </c>
      <c r="D61" s="78" t="s">
        <v>46</v>
      </c>
      <c r="E61" s="78" t="str">
        <f t="shared" si="9"/>
        <v>000</v>
      </c>
      <c r="F61" s="3">
        <v>611116</v>
      </c>
      <c r="G61" s="143" t="s">
        <v>350</v>
      </c>
      <c r="H61" s="141"/>
      <c r="I61" s="139">
        <v>11061</v>
      </c>
      <c r="J61" s="139">
        <v>32420</v>
      </c>
      <c r="L61" s="56">
        <v>35065</v>
      </c>
      <c r="M61" s="56"/>
      <c r="N61" s="56">
        <v>47573</v>
      </c>
      <c r="O61" s="56"/>
      <c r="P61" s="56">
        <v>47573</v>
      </c>
      <c r="Q61" s="56"/>
      <c r="R61" s="56">
        <v>39420</v>
      </c>
      <c r="S61" s="56"/>
      <c r="T61" s="56">
        <v>0</v>
      </c>
      <c r="U61" s="56"/>
      <c r="V61" s="56">
        <v>39420</v>
      </c>
      <c r="W61" s="56"/>
      <c r="X61" s="56">
        <v>39419.72</v>
      </c>
      <c r="Y61" s="56"/>
      <c r="Z61" s="56">
        <v>46646</v>
      </c>
      <c r="AA61" s="56"/>
      <c r="AB61" s="56"/>
      <c r="AC61" s="56"/>
      <c r="AD61" s="56"/>
      <c r="AE61" s="56"/>
      <c r="AF61" s="56">
        <f t="shared" si="11"/>
        <v>46646</v>
      </c>
      <c r="AG61" s="104">
        <v>-6725</v>
      </c>
      <c r="AH61" s="56">
        <v>625</v>
      </c>
      <c r="AI61" s="56"/>
      <c r="AJ61" s="56">
        <f t="shared" si="12"/>
        <v>40546</v>
      </c>
      <c r="AK61" s="85"/>
      <c r="AL61" s="56">
        <v>0</v>
      </c>
      <c r="AM61" s="56"/>
      <c r="AN61" s="88">
        <v>39921.019999999997</v>
      </c>
      <c r="AO61" s="88">
        <v>0</v>
      </c>
      <c r="AP61" s="88">
        <v>39358.519999999997</v>
      </c>
      <c r="AQ61" s="56"/>
      <c r="AR61" s="56">
        <v>0</v>
      </c>
      <c r="AS61" s="56"/>
      <c r="AT61" s="56">
        <v>0</v>
      </c>
      <c r="AU61" s="56"/>
      <c r="AV61" s="56">
        <f t="shared" si="13"/>
        <v>39358.519999999997</v>
      </c>
      <c r="AW61" s="56"/>
      <c r="AX61" s="56">
        <v>0</v>
      </c>
      <c r="AY61" s="56"/>
      <c r="AZ61" s="88">
        <v>38165</v>
      </c>
      <c r="BA61" s="56">
        <v>84810</v>
      </c>
      <c r="BB61" s="217"/>
      <c r="BC61" s="56"/>
      <c r="BD61" s="84">
        <f t="shared" si="14"/>
        <v>-562.5</v>
      </c>
      <c r="BE61" s="56"/>
      <c r="BF61" s="56"/>
      <c r="BG61" s="56"/>
      <c r="BH61" s="72">
        <v>1</v>
      </c>
      <c r="BJ61">
        <v>1</v>
      </c>
    </row>
    <row r="62" spans="1:62" ht="20.100000000000001" customHeight="1" outlineLevel="1">
      <c r="A62" s="77" t="s">
        <v>43</v>
      </c>
      <c r="B62" s="77" t="s">
        <v>216</v>
      </c>
      <c r="C62" s="77" t="s">
        <v>1080</v>
      </c>
      <c r="D62" s="78" t="s">
        <v>46</v>
      </c>
      <c r="E62" s="78" t="str">
        <f t="shared" si="9"/>
        <v>000</v>
      </c>
      <c r="F62" s="3">
        <v>611414</v>
      </c>
      <c r="G62" s="143" t="s">
        <v>351</v>
      </c>
      <c r="H62" s="141"/>
      <c r="I62" s="139">
        <v>1879</v>
      </c>
      <c r="J62" s="139">
        <v>7689</v>
      </c>
      <c r="L62" s="56">
        <v>9234</v>
      </c>
      <c r="M62" s="56"/>
      <c r="N62" s="56">
        <v>11213</v>
      </c>
      <c r="O62" s="56"/>
      <c r="P62" s="56">
        <v>11213</v>
      </c>
      <c r="Q62" s="56"/>
      <c r="R62" s="56">
        <v>11978</v>
      </c>
      <c r="S62" s="56"/>
      <c r="T62" s="56">
        <v>0</v>
      </c>
      <c r="U62" s="56"/>
      <c r="V62" s="56">
        <v>11978</v>
      </c>
      <c r="W62" s="56"/>
      <c r="X62" s="56">
        <v>9048.98</v>
      </c>
      <c r="Y62" s="56"/>
      <c r="Z62" s="56">
        <v>11327</v>
      </c>
      <c r="AA62" s="56"/>
      <c r="AB62" s="56"/>
      <c r="AC62" s="56"/>
      <c r="AD62" s="56"/>
      <c r="AE62" s="56"/>
      <c r="AF62" s="56">
        <f t="shared" si="11"/>
        <v>11327</v>
      </c>
      <c r="AG62" s="56">
        <v>0</v>
      </c>
      <c r="AH62" s="56">
        <v>767</v>
      </c>
      <c r="AI62" s="56"/>
      <c r="AJ62" s="56">
        <f t="shared" si="12"/>
        <v>12094</v>
      </c>
      <c r="AK62" s="85"/>
      <c r="AL62" s="56">
        <v>0</v>
      </c>
      <c r="AM62" s="56"/>
      <c r="AN62" s="88">
        <v>11927.61</v>
      </c>
      <c r="AO62" s="88">
        <v>0</v>
      </c>
      <c r="AP62" s="88">
        <v>7297.06</v>
      </c>
      <c r="AQ62" s="56"/>
      <c r="AR62" s="56">
        <v>0</v>
      </c>
      <c r="AS62" s="56"/>
      <c r="AT62" s="56">
        <v>0</v>
      </c>
      <c r="AU62" s="56"/>
      <c r="AV62" s="56">
        <f t="shared" si="13"/>
        <v>7297.06</v>
      </c>
      <c r="AW62" s="56"/>
      <c r="AX62" s="56">
        <v>0</v>
      </c>
      <c r="AY62" s="56"/>
      <c r="AZ62" s="88">
        <v>0</v>
      </c>
      <c r="BA62" s="56">
        <v>0</v>
      </c>
      <c r="BB62" s="217"/>
      <c r="BC62" s="56"/>
      <c r="BD62" s="84">
        <f t="shared" si="14"/>
        <v>-4630.55</v>
      </c>
      <c r="BE62" s="56"/>
      <c r="BF62" s="56"/>
      <c r="BG62" s="56"/>
      <c r="BH62" s="72">
        <v>1</v>
      </c>
      <c r="BJ62">
        <v>1</v>
      </c>
    </row>
    <row r="63" spans="1:62" ht="20.100000000000001" hidden="1" customHeight="1" outlineLevel="1">
      <c r="A63" s="77" t="s">
        <v>43</v>
      </c>
      <c r="B63" s="144" t="s">
        <v>218</v>
      </c>
      <c r="C63" s="77" t="s">
        <v>1080</v>
      </c>
      <c r="D63" s="78" t="s">
        <v>46</v>
      </c>
      <c r="E63" s="78" t="str">
        <f t="shared" si="9"/>
        <v>000</v>
      </c>
      <c r="F63" s="3">
        <v>611341</v>
      </c>
      <c r="G63" s="140" t="s">
        <v>352</v>
      </c>
      <c r="H63" s="141"/>
      <c r="I63" s="139"/>
      <c r="J63" s="139">
        <v>0</v>
      </c>
      <c r="L63" s="56">
        <v>0</v>
      </c>
      <c r="M63" s="56"/>
      <c r="N63" s="56">
        <v>0</v>
      </c>
      <c r="O63" s="56"/>
      <c r="P63" s="56">
        <v>0</v>
      </c>
      <c r="Q63" s="56"/>
      <c r="R63" s="56">
        <v>0</v>
      </c>
      <c r="S63" s="56"/>
      <c r="T63" s="56">
        <v>0</v>
      </c>
      <c r="U63" s="56"/>
      <c r="V63" s="56">
        <v>0</v>
      </c>
      <c r="W63" s="56"/>
      <c r="X63" s="56">
        <v>0</v>
      </c>
      <c r="Y63" s="56"/>
      <c r="Z63" s="56">
        <v>0</v>
      </c>
      <c r="AA63" s="56"/>
      <c r="AB63" s="56"/>
      <c r="AC63" s="56"/>
      <c r="AD63" s="56"/>
      <c r="AE63" s="56"/>
      <c r="AF63" s="56">
        <f t="shared" si="11"/>
        <v>0</v>
      </c>
      <c r="AG63" s="56">
        <v>0</v>
      </c>
      <c r="AH63" s="56">
        <v>0</v>
      </c>
      <c r="AI63" s="56"/>
      <c r="AJ63" s="56">
        <f t="shared" si="12"/>
        <v>0</v>
      </c>
      <c r="AK63" s="85"/>
      <c r="AL63" s="56">
        <v>0</v>
      </c>
      <c r="AM63" s="56"/>
      <c r="AN63" s="88">
        <f>SUM(AI63:AM63)</f>
        <v>0</v>
      </c>
      <c r="AO63" s="88">
        <v>0</v>
      </c>
      <c r="AP63" s="88">
        <v>0</v>
      </c>
      <c r="AQ63" s="56"/>
      <c r="AR63" s="56">
        <v>0</v>
      </c>
      <c r="AS63" s="56"/>
      <c r="AT63" s="56">
        <v>0</v>
      </c>
      <c r="AU63" s="56"/>
      <c r="AV63" s="56">
        <f t="shared" si="13"/>
        <v>0</v>
      </c>
      <c r="AW63" s="56"/>
      <c r="AX63" s="56">
        <v>0</v>
      </c>
      <c r="AY63" s="56"/>
      <c r="AZ63" s="88">
        <v>0</v>
      </c>
      <c r="BA63" s="56">
        <v>0</v>
      </c>
      <c r="BB63" s="217"/>
      <c r="BC63" s="56"/>
      <c r="BD63" s="84">
        <f t="shared" si="14"/>
        <v>0</v>
      </c>
      <c r="BE63" s="56"/>
      <c r="BF63" s="56"/>
      <c r="BG63" s="56"/>
      <c r="BH63" s="72">
        <v>1</v>
      </c>
    </row>
    <row r="64" spans="1:62" ht="20.100000000000001" customHeight="1" outlineLevel="1">
      <c r="A64" s="77" t="s">
        <v>43</v>
      </c>
      <c r="B64" s="144" t="s">
        <v>218</v>
      </c>
      <c r="C64" s="77" t="s">
        <v>1080</v>
      </c>
      <c r="D64" s="78" t="s">
        <v>46</v>
      </c>
      <c r="E64" s="78" t="str">
        <f t="shared" si="9"/>
        <v>000</v>
      </c>
      <c r="F64" s="3">
        <v>611342</v>
      </c>
      <c r="G64" s="140" t="s">
        <v>353</v>
      </c>
      <c r="H64" s="141"/>
      <c r="I64" s="139">
        <v>221943</v>
      </c>
      <c r="J64" s="139">
        <v>229706</v>
      </c>
      <c r="L64" s="56">
        <v>420099</v>
      </c>
      <c r="M64" s="56"/>
      <c r="N64" s="56">
        <v>441744</v>
      </c>
      <c r="O64" s="56"/>
      <c r="P64" s="56">
        <v>441744</v>
      </c>
      <c r="Q64" s="56"/>
      <c r="R64" s="56">
        <v>392757</v>
      </c>
      <c r="S64" s="56"/>
      <c r="T64" s="56">
        <v>0</v>
      </c>
      <c r="U64" s="56"/>
      <c r="V64" s="56">
        <v>392757</v>
      </c>
      <c r="W64" s="56"/>
      <c r="X64" s="56">
        <v>392756.92</v>
      </c>
      <c r="Y64" s="56"/>
      <c r="Z64" s="56">
        <v>457500</v>
      </c>
      <c r="AA64" s="56"/>
      <c r="AB64" s="56"/>
      <c r="AC64" s="56"/>
      <c r="AD64" s="56"/>
      <c r="AE64" s="56"/>
      <c r="AF64" s="56">
        <f t="shared" si="11"/>
        <v>457500</v>
      </c>
      <c r="AG64" s="104">
        <v>-5150</v>
      </c>
      <c r="AH64" s="56">
        <v>13750</v>
      </c>
      <c r="AI64" s="56"/>
      <c r="AJ64" s="56">
        <f t="shared" si="12"/>
        <v>466100</v>
      </c>
      <c r="AK64" s="85"/>
      <c r="AL64" s="56">
        <v>0</v>
      </c>
      <c r="AM64" s="56"/>
      <c r="AN64" s="88">
        <v>436978.21</v>
      </c>
      <c r="AO64" s="88">
        <v>0</v>
      </c>
      <c r="AP64" s="88">
        <v>414696.53</v>
      </c>
      <c r="AQ64" s="56"/>
      <c r="AR64" s="56">
        <v>0</v>
      </c>
      <c r="AS64" s="56"/>
      <c r="AT64" s="56">
        <v>0</v>
      </c>
      <c r="AU64" s="56"/>
      <c r="AV64" s="56">
        <f t="shared" si="13"/>
        <v>414696.53</v>
      </c>
      <c r="AW64" s="56"/>
      <c r="AX64" s="106">
        <v>13843</v>
      </c>
      <c r="AY64" s="56"/>
      <c r="AZ64" s="88">
        <v>388723</v>
      </c>
      <c r="BA64" s="56">
        <v>376405</v>
      </c>
      <c r="BB64" s="217"/>
      <c r="BC64" s="56"/>
      <c r="BD64" s="84">
        <f t="shared" si="14"/>
        <v>-22281.679999999993</v>
      </c>
      <c r="BE64" s="56"/>
      <c r="BF64" s="56"/>
      <c r="BG64" s="56"/>
      <c r="BH64" s="72">
        <v>1</v>
      </c>
      <c r="BJ64">
        <v>1</v>
      </c>
    </row>
    <row r="65" spans="1:62" ht="20.100000000000001" customHeight="1" outlineLevel="1">
      <c r="A65" s="77" t="s">
        <v>43</v>
      </c>
      <c r="B65" s="144" t="s">
        <v>218</v>
      </c>
      <c r="C65" s="77" t="s">
        <v>1080</v>
      </c>
      <c r="D65" s="78" t="s">
        <v>46</v>
      </c>
      <c r="E65" s="78" t="str">
        <f t="shared" si="9"/>
        <v>000</v>
      </c>
      <c r="F65" s="3">
        <v>611344</v>
      </c>
      <c r="G65" s="140" t="s">
        <v>1127</v>
      </c>
      <c r="H65" s="141"/>
      <c r="I65" s="139"/>
      <c r="J65" s="139"/>
      <c r="L65" s="56">
        <v>0</v>
      </c>
      <c r="M65" s="56"/>
      <c r="N65" s="56"/>
      <c r="O65" s="56"/>
      <c r="P65" s="56"/>
      <c r="Q65" s="56"/>
      <c r="R65" s="56"/>
      <c r="S65" s="56"/>
      <c r="T65" s="56"/>
      <c r="U65" s="56"/>
      <c r="V65" s="56"/>
      <c r="W65" s="56"/>
      <c r="X65" s="56">
        <v>0</v>
      </c>
      <c r="Y65" s="56"/>
      <c r="Z65" s="56"/>
      <c r="AA65" s="56"/>
      <c r="AB65" s="56"/>
      <c r="AC65" s="56"/>
      <c r="AD65" s="56"/>
      <c r="AE65" s="56"/>
      <c r="AF65" s="56"/>
      <c r="AG65" s="104"/>
      <c r="AH65" s="56"/>
      <c r="AI65" s="56"/>
      <c r="AJ65" s="56"/>
      <c r="AK65" s="85"/>
      <c r="AL65" s="56"/>
      <c r="AM65" s="56"/>
      <c r="AN65" s="88">
        <v>0</v>
      </c>
      <c r="AO65" s="88"/>
      <c r="AP65" s="88">
        <v>168639.33</v>
      </c>
      <c r="AQ65" s="56"/>
      <c r="AR65" s="56"/>
      <c r="AS65" s="56"/>
      <c r="AT65" s="56"/>
      <c r="AU65" s="56"/>
      <c r="AV65" s="56"/>
      <c r="AW65" s="56"/>
      <c r="AX65" s="106"/>
      <c r="AY65" s="56"/>
      <c r="AZ65" s="88">
        <v>0</v>
      </c>
      <c r="BA65" s="56">
        <v>0</v>
      </c>
      <c r="BB65" s="217"/>
      <c r="BC65" s="56"/>
      <c r="BD65" s="84">
        <f t="shared" si="14"/>
        <v>168639.33</v>
      </c>
      <c r="BE65" s="56"/>
      <c r="BF65" s="56"/>
      <c r="BG65" s="56"/>
      <c r="BH65" s="72"/>
    </row>
    <row r="66" spans="1:62" ht="20.100000000000001" customHeight="1" outlineLevel="1">
      <c r="A66" s="77" t="s">
        <v>43</v>
      </c>
      <c r="B66" s="144" t="s">
        <v>218</v>
      </c>
      <c r="C66" s="77" t="s">
        <v>1080</v>
      </c>
      <c r="D66" s="78" t="s">
        <v>46</v>
      </c>
      <c r="E66" s="78" t="str">
        <f t="shared" si="9"/>
        <v>000</v>
      </c>
      <c r="F66" s="3">
        <v>611411</v>
      </c>
      <c r="G66" s="140" t="s">
        <v>354</v>
      </c>
      <c r="H66" s="141"/>
      <c r="I66" s="139">
        <v>23003</v>
      </c>
      <c r="J66" s="139">
        <v>0</v>
      </c>
      <c r="L66" s="56">
        <v>0</v>
      </c>
      <c r="M66" s="56"/>
      <c r="N66" s="56">
        <v>25127</v>
      </c>
      <c r="O66" s="56"/>
      <c r="P66" s="56">
        <v>25127</v>
      </c>
      <c r="Q66" s="56"/>
      <c r="R66" s="56">
        <v>27077</v>
      </c>
      <c r="S66" s="56"/>
      <c r="T66" s="56">
        <v>0</v>
      </c>
      <c r="U66" s="56"/>
      <c r="V66" s="56">
        <v>27077</v>
      </c>
      <c r="W66" s="56"/>
      <c r="X66" s="56">
        <v>27077</v>
      </c>
      <c r="Y66" s="56"/>
      <c r="Z66" s="56">
        <v>25799</v>
      </c>
      <c r="AA66" s="56"/>
      <c r="AB66" s="56"/>
      <c r="AC66" s="56"/>
      <c r="AD66" s="56"/>
      <c r="AE66" s="56"/>
      <c r="AF66" s="56">
        <f t="shared" si="11"/>
        <v>25799</v>
      </c>
      <c r="AG66" s="56">
        <v>0</v>
      </c>
      <c r="AH66" s="56">
        <v>2250</v>
      </c>
      <c r="AI66" s="56"/>
      <c r="AJ66" s="56">
        <f t="shared" si="12"/>
        <v>28049</v>
      </c>
      <c r="AK66" s="85"/>
      <c r="AL66" s="56">
        <v>0</v>
      </c>
      <c r="AM66" s="56"/>
      <c r="AN66" s="88">
        <v>28049</v>
      </c>
      <c r="AO66" s="88">
        <v>0</v>
      </c>
      <c r="AP66" s="88">
        <v>26241.96</v>
      </c>
      <c r="AQ66" s="56"/>
      <c r="AR66" s="56">
        <v>0</v>
      </c>
      <c r="AS66" s="56"/>
      <c r="AT66" s="56">
        <v>0</v>
      </c>
      <c r="AU66" s="56"/>
      <c r="AV66" s="56">
        <f t="shared" si="13"/>
        <v>26241.96</v>
      </c>
      <c r="AW66" s="56"/>
      <c r="AX66" s="56">
        <v>0</v>
      </c>
      <c r="AY66" s="56"/>
      <c r="AZ66" s="88">
        <v>26242</v>
      </c>
      <c r="BA66" s="56">
        <v>26242</v>
      </c>
      <c r="BB66" s="217"/>
      <c r="BC66" s="56"/>
      <c r="BD66" s="84">
        <f t="shared" si="14"/>
        <v>-1807.0400000000009</v>
      </c>
      <c r="BE66" s="56"/>
      <c r="BF66" s="56"/>
      <c r="BG66" s="56"/>
      <c r="BH66" s="72">
        <v>1</v>
      </c>
      <c r="BJ66">
        <v>1</v>
      </c>
    </row>
    <row r="67" spans="1:62" ht="20.100000000000001" customHeight="1" outlineLevel="1">
      <c r="A67" s="77" t="s">
        <v>43</v>
      </c>
      <c r="B67" s="77" t="s">
        <v>218</v>
      </c>
      <c r="C67" s="77" t="s">
        <v>1080</v>
      </c>
      <c r="D67" s="78" t="s">
        <v>46</v>
      </c>
      <c r="E67" s="78" t="str">
        <f t="shared" si="9"/>
        <v>000</v>
      </c>
      <c r="F67" s="3">
        <v>611361</v>
      </c>
      <c r="G67" s="140" t="s">
        <v>355</v>
      </c>
      <c r="H67" s="141"/>
      <c r="I67" s="139">
        <v>16608</v>
      </c>
      <c r="J67" s="139">
        <v>23207</v>
      </c>
      <c r="L67" s="56">
        <v>21299</v>
      </c>
      <c r="M67" s="56"/>
      <c r="N67" s="56">
        <v>22000</v>
      </c>
      <c r="O67" s="56"/>
      <c r="P67" s="56">
        <v>31000</v>
      </c>
      <c r="Q67" s="56"/>
      <c r="R67" s="56">
        <v>68211</v>
      </c>
      <c r="S67" s="56"/>
      <c r="T67" s="56">
        <v>12510</v>
      </c>
      <c r="U67" s="56"/>
      <c r="V67" s="56">
        <v>80721</v>
      </c>
      <c r="W67" s="56"/>
      <c r="X67" s="56">
        <v>58791.13</v>
      </c>
      <c r="Y67" s="56"/>
      <c r="Z67" s="56">
        <v>22000</v>
      </c>
      <c r="AA67" s="56"/>
      <c r="AB67" s="56">
        <v>9000</v>
      </c>
      <c r="AC67" s="56"/>
      <c r="AD67" s="56"/>
      <c r="AE67" s="56"/>
      <c r="AF67" s="56">
        <f t="shared" si="11"/>
        <v>31000</v>
      </c>
      <c r="AG67" s="88">
        <v>3750</v>
      </c>
      <c r="AH67" s="56">
        <v>0</v>
      </c>
      <c r="AI67" s="56"/>
      <c r="AJ67" s="56">
        <f t="shared" si="12"/>
        <v>34750</v>
      </c>
      <c r="AK67" s="85"/>
      <c r="AL67" s="56">
        <v>8500</v>
      </c>
      <c r="AM67" s="56"/>
      <c r="AN67" s="88">
        <v>42613.69</v>
      </c>
      <c r="AO67" s="88">
        <v>0</v>
      </c>
      <c r="AP67" s="88">
        <v>42014.57</v>
      </c>
      <c r="AQ67" s="56"/>
      <c r="AR67" s="56">
        <v>9000</v>
      </c>
      <c r="AS67" s="56"/>
      <c r="AT67" s="56">
        <v>0</v>
      </c>
      <c r="AU67" s="56"/>
      <c r="AV67" s="56">
        <f t="shared" si="13"/>
        <v>51014.57</v>
      </c>
      <c r="AW67" s="56"/>
      <c r="AX67" s="56">
        <v>0</v>
      </c>
      <c r="AY67" s="56"/>
      <c r="AZ67" s="88">
        <v>32700</v>
      </c>
      <c r="BA67" s="56">
        <v>50600</v>
      </c>
      <c r="BB67" s="217"/>
      <c r="BC67" s="56"/>
      <c r="BD67" s="84">
        <f t="shared" si="14"/>
        <v>-599.12000000000262</v>
      </c>
      <c r="BE67" s="56"/>
      <c r="BF67" s="56"/>
      <c r="BG67" s="56"/>
      <c r="BH67" s="72">
        <v>1</v>
      </c>
      <c r="BJ67">
        <v>1</v>
      </c>
    </row>
    <row r="68" spans="1:62" ht="20.100000000000001" customHeight="1" outlineLevel="1">
      <c r="A68" s="77" t="s">
        <v>43</v>
      </c>
      <c r="B68" s="77" t="s">
        <v>218</v>
      </c>
      <c r="C68" s="77" t="s">
        <v>1080</v>
      </c>
      <c r="D68" s="78" t="s">
        <v>46</v>
      </c>
      <c r="E68" s="78" t="str">
        <f t="shared" si="9"/>
        <v>000</v>
      </c>
      <c r="F68" s="3">
        <v>611412</v>
      </c>
      <c r="G68" s="140" t="s">
        <v>356</v>
      </c>
      <c r="H68" s="141"/>
      <c r="I68" s="139">
        <v>0</v>
      </c>
      <c r="J68" s="139">
        <v>22561</v>
      </c>
      <c r="L68" s="56">
        <v>26165</v>
      </c>
      <c r="M68" s="56"/>
      <c r="N68" s="56">
        <v>0</v>
      </c>
      <c r="O68" s="56"/>
      <c r="P68" s="56">
        <v>0</v>
      </c>
      <c r="Q68" s="56"/>
      <c r="R68" s="56">
        <v>0</v>
      </c>
      <c r="S68" s="56"/>
      <c r="T68" s="56">
        <v>0</v>
      </c>
      <c r="U68" s="56"/>
      <c r="V68" s="56">
        <v>0</v>
      </c>
      <c r="W68" s="56"/>
      <c r="X68" s="56">
        <v>0</v>
      </c>
      <c r="Y68" s="56"/>
      <c r="Z68" s="56">
        <v>0</v>
      </c>
      <c r="AA68" s="56"/>
      <c r="AB68" s="56"/>
      <c r="AC68" s="56"/>
      <c r="AD68" s="56"/>
      <c r="AE68" s="56"/>
      <c r="AF68" s="56">
        <f t="shared" si="11"/>
        <v>0</v>
      </c>
      <c r="AG68" s="56">
        <v>0</v>
      </c>
      <c r="AH68" s="56">
        <v>0</v>
      </c>
      <c r="AI68" s="56"/>
      <c r="AJ68" s="56">
        <f t="shared" si="12"/>
        <v>0</v>
      </c>
      <c r="AK68" s="85"/>
      <c r="AL68" s="56">
        <v>0</v>
      </c>
      <c r="AM68" s="56"/>
      <c r="AN68" s="88">
        <f>SUM(AI68:AM68)</f>
        <v>0</v>
      </c>
      <c r="AO68" s="88">
        <v>0</v>
      </c>
      <c r="AP68" s="88">
        <v>0</v>
      </c>
      <c r="AQ68" s="56"/>
      <c r="AR68" s="56">
        <v>0</v>
      </c>
      <c r="AS68" s="56"/>
      <c r="AT68" s="56">
        <v>0</v>
      </c>
      <c r="AU68" s="56"/>
      <c r="AV68" s="56">
        <f t="shared" si="13"/>
        <v>0</v>
      </c>
      <c r="AW68" s="56"/>
      <c r="AX68" s="56">
        <v>0</v>
      </c>
      <c r="AY68" s="56"/>
      <c r="AZ68" s="88">
        <v>0</v>
      </c>
      <c r="BA68" s="56">
        <v>0</v>
      </c>
      <c r="BB68" s="217"/>
      <c r="BC68" s="56"/>
      <c r="BD68" s="84">
        <f t="shared" si="14"/>
        <v>0</v>
      </c>
      <c r="BE68" s="56"/>
      <c r="BF68" s="56"/>
      <c r="BG68" s="56"/>
      <c r="BH68" s="72">
        <v>1</v>
      </c>
    </row>
    <row r="69" spans="1:62" ht="20.100000000000001" customHeight="1" outlineLevel="1">
      <c r="A69" s="77" t="s">
        <v>43</v>
      </c>
      <c r="B69" s="77" t="s">
        <v>218</v>
      </c>
      <c r="C69" s="77" t="s">
        <v>1080</v>
      </c>
      <c r="D69" s="78" t="s">
        <v>46</v>
      </c>
      <c r="E69" s="78" t="str">
        <f t="shared" si="9"/>
        <v>000</v>
      </c>
      <c r="F69" s="3">
        <v>632013</v>
      </c>
      <c r="G69" s="140" t="s">
        <v>357</v>
      </c>
      <c r="H69" s="141"/>
      <c r="I69" s="139">
        <v>2177</v>
      </c>
      <c r="J69" s="139">
        <v>0</v>
      </c>
      <c r="L69" s="56">
        <v>1135</v>
      </c>
      <c r="M69" s="56"/>
      <c r="N69" s="56">
        <v>2500</v>
      </c>
      <c r="O69" s="56"/>
      <c r="P69" s="56">
        <v>2000</v>
      </c>
      <c r="Q69" s="56"/>
      <c r="R69" s="56">
        <v>2000</v>
      </c>
      <c r="S69" s="56"/>
      <c r="T69" s="56">
        <v>0</v>
      </c>
      <c r="U69" s="56"/>
      <c r="V69" s="56">
        <v>2000</v>
      </c>
      <c r="W69" s="56"/>
      <c r="X69" s="56">
        <v>1200</v>
      </c>
      <c r="Y69" s="56"/>
      <c r="Z69" s="56">
        <v>2500</v>
      </c>
      <c r="AA69" s="56"/>
      <c r="AB69" s="56"/>
      <c r="AC69" s="56"/>
      <c r="AD69" s="56"/>
      <c r="AE69" s="56"/>
      <c r="AF69" s="56">
        <f t="shared" si="11"/>
        <v>2500</v>
      </c>
      <c r="AG69" s="56">
        <v>0</v>
      </c>
      <c r="AH69" s="56">
        <v>0</v>
      </c>
      <c r="AI69" s="56"/>
      <c r="AJ69" s="56">
        <f t="shared" si="12"/>
        <v>2500</v>
      </c>
      <c r="AK69" s="85"/>
      <c r="AL69" s="56">
        <v>0</v>
      </c>
      <c r="AM69" s="56"/>
      <c r="AN69" s="88">
        <v>273</v>
      </c>
      <c r="AO69" s="88">
        <v>0</v>
      </c>
      <c r="AP69" s="88">
        <v>950</v>
      </c>
      <c r="AQ69" s="56"/>
      <c r="AR69" s="56">
        <v>-1000</v>
      </c>
      <c r="AS69" s="56"/>
      <c r="AT69" s="56">
        <v>0</v>
      </c>
      <c r="AU69" s="56"/>
      <c r="AV69" s="56">
        <f t="shared" si="13"/>
        <v>-50</v>
      </c>
      <c r="AW69" s="56"/>
      <c r="AX69" s="56">
        <v>0</v>
      </c>
      <c r="AY69" s="56"/>
      <c r="AZ69" s="88">
        <v>2500</v>
      </c>
      <c r="BA69" s="56">
        <v>2500</v>
      </c>
      <c r="BB69" s="217"/>
      <c r="BC69" s="56"/>
      <c r="BD69" s="84">
        <f t="shared" si="14"/>
        <v>677</v>
      </c>
      <c r="BE69" s="56"/>
      <c r="BF69" s="56"/>
      <c r="BG69" s="56"/>
      <c r="BH69" s="72"/>
    </row>
    <row r="70" spans="1:62" ht="20.100000000000001" customHeight="1" outlineLevel="1">
      <c r="A70" s="77" t="s">
        <v>43</v>
      </c>
      <c r="B70" s="77" t="s">
        <v>218</v>
      </c>
      <c r="C70" s="77" t="s">
        <v>1080</v>
      </c>
      <c r="D70" s="78" t="s">
        <v>46</v>
      </c>
      <c r="E70" s="78" t="str">
        <f t="shared" si="9"/>
        <v>000</v>
      </c>
      <c r="F70" s="3">
        <v>632015</v>
      </c>
      <c r="G70" s="140" t="s">
        <v>358</v>
      </c>
      <c r="H70" s="141"/>
      <c r="I70" s="139">
        <v>4962</v>
      </c>
      <c r="J70" s="139">
        <v>2376</v>
      </c>
      <c r="L70" s="56">
        <v>8750</v>
      </c>
      <c r="M70" s="56"/>
      <c r="N70" s="56">
        <v>9000</v>
      </c>
      <c r="O70" s="56"/>
      <c r="P70" s="56">
        <v>9000</v>
      </c>
      <c r="Q70" s="56"/>
      <c r="R70" s="56">
        <v>9000</v>
      </c>
      <c r="S70" s="56"/>
      <c r="T70" s="56">
        <v>-4600</v>
      </c>
      <c r="U70" s="56"/>
      <c r="V70" s="56">
        <v>4400</v>
      </c>
      <c r="W70" s="56"/>
      <c r="X70" s="56">
        <v>4317.17</v>
      </c>
      <c r="Y70" s="56"/>
      <c r="Z70" s="56">
        <v>60000</v>
      </c>
      <c r="AA70" s="56"/>
      <c r="AB70" s="56"/>
      <c r="AC70" s="56"/>
      <c r="AD70" s="56"/>
      <c r="AE70" s="56"/>
      <c r="AF70" s="56">
        <f t="shared" si="11"/>
        <v>60000</v>
      </c>
      <c r="AG70" s="56">
        <v>0</v>
      </c>
      <c r="AH70" s="56">
        <v>0</v>
      </c>
      <c r="AI70" s="56"/>
      <c r="AJ70" s="56">
        <f t="shared" si="12"/>
        <v>60000</v>
      </c>
      <c r="AK70" s="85"/>
      <c r="AL70" s="89">
        <f>-1800+750</f>
        <v>-1050</v>
      </c>
      <c r="AM70" s="56"/>
      <c r="AN70" s="88">
        <v>59218.720000000001</v>
      </c>
      <c r="AO70" s="88">
        <v>0</v>
      </c>
      <c r="AP70" s="88">
        <v>17682.22</v>
      </c>
      <c r="AQ70" s="56"/>
      <c r="AR70" s="56">
        <f>2400+2000+4400</f>
        <v>8800</v>
      </c>
      <c r="AS70" s="56"/>
      <c r="AT70" s="56">
        <v>0</v>
      </c>
      <c r="AU70" s="56"/>
      <c r="AV70" s="56">
        <f t="shared" si="13"/>
        <v>26482.22</v>
      </c>
      <c r="AW70" s="56"/>
      <c r="AX70" s="56">
        <v>0</v>
      </c>
      <c r="AY70" s="56"/>
      <c r="AZ70" s="88">
        <v>6500</v>
      </c>
      <c r="BA70" s="56">
        <v>6500</v>
      </c>
      <c r="BB70" s="217"/>
      <c r="BC70" s="56"/>
      <c r="BD70" s="84">
        <f t="shared" si="14"/>
        <v>-41536.5</v>
      </c>
      <c r="BE70" s="56"/>
      <c r="BF70" s="56"/>
      <c r="BG70" s="56"/>
      <c r="BH70" s="72"/>
    </row>
    <row r="71" spans="1:62" ht="20.100000000000001" customHeight="1" outlineLevel="1">
      <c r="A71" s="77" t="s">
        <v>43</v>
      </c>
      <c r="B71" s="77" t="s">
        <v>218</v>
      </c>
      <c r="C71" s="77" t="s">
        <v>1080</v>
      </c>
      <c r="D71" s="78" t="s">
        <v>46</v>
      </c>
      <c r="E71" s="78" t="str">
        <f t="shared" si="9"/>
        <v>000</v>
      </c>
      <c r="F71" s="3">
        <v>643011</v>
      </c>
      <c r="G71" s="140" t="s">
        <v>359</v>
      </c>
      <c r="H71" s="141"/>
      <c r="I71" s="139">
        <v>18347</v>
      </c>
      <c r="J71" s="139">
        <v>20291</v>
      </c>
      <c r="L71" s="56">
        <v>17284</v>
      </c>
      <c r="M71" s="56"/>
      <c r="N71" s="56">
        <v>20000</v>
      </c>
      <c r="O71" s="56"/>
      <c r="P71" s="56">
        <v>20000</v>
      </c>
      <c r="Q71" s="56"/>
      <c r="R71" s="56">
        <v>20000</v>
      </c>
      <c r="S71" s="56"/>
      <c r="T71" s="56">
        <v>0</v>
      </c>
      <c r="U71" s="56"/>
      <c r="V71" s="56">
        <v>20000</v>
      </c>
      <c r="W71" s="56"/>
      <c r="X71" s="56">
        <v>18219.09</v>
      </c>
      <c r="Y71" s="56"/>
      <c r="Z71" s="56">
        <v>20000</v>
      </c>
      <c r="AA71" s="56"/>
      <c r="AB71" s="56"/>
      <c r="AC71" s="56"/>
      <c r="AD71" s="56"/>
      <c r="AE71" s="56"/>
      <c r="AF71" s="56">
        <f t="shared" si="11"/>
        <v>20000</v>
      </c>
      <c r="AG71" s="56">
        <v>0</v>
      </c>
      <c r="AH71" s="56">
        <v>0</v>
      </c>
      <c r="AI71" s="56"/>
      <c r="AJ71" s="56">
        <f t="shared" si="12"/>
        <v>20000</v>
      </c>
      <c r="AK71" s="85"/>
      <c r="AL71" s="56">
        <v>-1000</v>
      </c>
      <c r="AM71" s="56"/>
      <c r="AN71" s="88">
        <v>18875.87</v>
      </c>
      <c r="AO71" s="88">
        <v>0</v>
      </c>
      <c r="AP71" s="88">
        <v>16794.68</v>
      </c>
      <c r="AQ71" s="56"/>
      <c r="AR71" s="56">
        <v>0</v>
      </c>
      <c r="AS71" s="56"/>
      <c r="AT71" s="56">
        <v>0</v>
      </c>
      <c r="AU71" s="56"/>
      <c r="AV71" s="56">
        <f t="shared" si="13"/>
        <v>16794.68</v>
      </c>
      <c r="AW71" s="56"/>
      <c r="AX71" s="56">
        <v>0</v>
      </c>
      <c r="AY71" s="56"/>
      <c r="AZ71" s="88">
        <v>19000</v>
      </c>
      <c r="BA71" s="56">
        <v>19000</v>
      </c>
      <c r="BB71" s="217"/>
      <c r="BC71" s="56"/>
      <c r="BD71" s="84">
        <f t="shared" si="14"/>
        <v>-2081.1899999999987</v>
      </c>
      <c r="BE71" s="56"/>
      <c r="BF71" s="56"/>
      <c r="BG71" s="56"/>
      <c r="BH71" s="72"/>
    </row>
    <row r="72" spans="1:62" ht="20.100000000000001" customHeight="1" outlineLevel="1">
      <c r="A72" s="77" t="s">
        <v>43</v>
      </c>
      <c r="B72" s="77" t="s">
        <v>218</v>
      </c>
      <c r="C72" s="77" t="s">
        <v>1080</v>
      </c>
      <c r="D72" s="78" t="s">
        <v>46</v>
      </c>
      <c r="E72" s="78" t="str">
        <f t="shared" si="9"/>
        <v>000</v>
      </c>
      <c r="F72" s="3">
        <v>658211</v>
      </c>
      <c r="G72" s="140" t="s">
        <v>360</v>
      </c>
      <c r="H72" s="141"/>
      <c r="I72" s="139">
        <v>14691</v>
      </c>
      <c r="J72" s="139">
        <v>19682</v>
      </c>
      <c r="L72" s="56">
        <v>18929</v>
      </c>
      <c r="M72" s="56"/>
      <c r="N72" s="56">
        <v>18000</v>
      </c>
      <c r="O72" s="56"/>
      <c r="P72" s="56">
        <v>18000</v>
      </c>
      <c r="Q72" s="56"/>
      <c r="R72" s="56">
        <v>18000</v>
      </c>
      <c r="S72" s="56"/>
      <c r="T72" s="56">
        <v>0</v>
      </c>
      <c r="U72" s="56"/>
      <c r="V72" s="56">
        <v>18000</v>
      </c>
      <c r="W72" s="56"/>
      <c r="X72" s="56">
        <v>23374.5</v>
      </c>
      <c r="Y72" s="56"/>
      <c r="Z72" s="56">
        <v>21000</v>
      </c>
      <c r="AA72" s="56"/>
      <c r="AB72" s="56"/>
      <c r="AC72" s="56"/>
      <c r="AD72" s="56"/>
      <c r="AE72" s="56"/>
      <c r="AF72" s="56">
        <f t="shared" si="11"/>
        <v>21000</v>
      </c>
      <c r="AG72" s="56">
        <v>0</v>
      </c>
      <c r="AH72" s="56">
        <v>0</v>
      </c>
      <c r="AI72" s="56"/>
      <c r="AJ72" s="56">
        <f t="shared" si="12"/>
        <v>21000</v>
      </c>
      <c r="AK72" s="85"/>
      <c r="AL72" s="56">
        <v>0</v>
      </c>
      <c r="AM72" s="56"/>
      <c r="AN72" s="88">
        <v>22177.22</v>
      </c>
      <c r="AO72" s="88">
        <v>0</v>
      </c>
      <c r="AP72" s="88">
        <v>14564.28</v>
      </c>
      <c r="AQ72" s="56"/>
      <c r="AR72" s="56">
        <v>-4400</v>
      </c>
      <c r="AS72" s="56"/>
      <c r="AT72" s="56">
        <v>0</v>
      </c>
      <c r="AU72" s="56"/>
      <c r="AV72" s="56">
        <f t="shared" si="13"/>
        <v>10164.280000000001</v>
      </c>
      <c r="AW72" s="56"/>
      <c r="AX72" s="56">
        <v>0</v>
      </c>
      <c r="AY72" s="56"/>
      <c r="AZ72" s="88">
        <v>20000</v>
      </c>
      <c r="BA72" s="56">
        <v>18000</v>
      </c>
      <c r="BB72" s="217"/>
      <c r="BC72" s="56"/>
      <c r="BD72" s="84">
        <f t="shared" si="14"/>
        <v>-7612.9400000000005</v>
      </c>
      <c r="BE72" s="56"/>
      <c r="BF72" s="56"/>
      <c r="BG72" s="56"/>
      <c r="BH72" s="72"/>
    </row>
    <row r="73" spans="1:62" ht="20.100000000000001" customHeight="1" outlineLevel="1">
      <c r="A73" s="77" t="s">
        <v>43</v>
      </c>
      <c r="B73" s="77" t="s">
        <v>218</v>
      </c>
      <c r="C73" s="77" t="s">
        <v>1080</v>
      </c>
      <c r="D73" s="78" t="s">
        <v>46</v>
      </c>
      <c r="E73" s="78" t="str">
        <f t="shared" si="9"/>
        <v>000</v>
      </c>
      <c r="F73" s="3">
        <v>658212</v>
      </c>
      <c r="G73" s="140" t="s">
        <v>292</v>
      </c>
      <c r="H73" s="141"/>
      <c r="I73" s="139">
        <v>6128</v>
      </c>
      <c r="J73" s="139">
        <v>5187</v>
      </c>
      <c r="L73" s="56">
        <v>6590</v>
      </c>
      <c r="M73" s="56"/>
      <c r="N73" s="56">
        <v>8500</v>
      </c>
      <c r="O73" s="56"/>
      <c r="P73" s="56">
        <v>8500</v>
      </c>
      <c r="Q73" s="56"/>
      <c r="R73" s="56">
        <v>8500</v>
      </c>
      <c r="S73" s="56"/>
      <c r="T73" s="56">
        <v>0</v>
      </c>
      <c r="U73" s="56"/>
      <c r="V73" s="56">
        <v>8500</v>
      </c>
      <c r="W73" s="56"/>
      <c r="X73" s="56">
        <v>9345.82</v>
      </c>
      <c r="Y73" s="56"/>
      <c r="Z73" s="56">
        <v>8500</v>
      </c>
      <c r="AA73" s="56"/>
      <c r="AB73" s="56"/>
      <c r="AC73" s="56"/>
      <c r="AD73" s="56"/>
      <c r="AE73" s="56"/>
      <c r="AF73" s="56">
        <f t="shared" si="11"/>
        <v>8500</v>
      </c>
      <c r="AG73" s="56">
        <v>0</v>
      </c>
      <c r="AH73" s="56">
        <v>0</v>
      </c>
      <c r="AI73" s="56"/>
      <c r="AJ73" s="56">
        <f t="shared" si="12"/>
        <v>8500</v>
      </c>
      <c r="AK73" s="85"/>
      <c r="AL73" s="56">
        <v>0</v>
      </c>
      <c r="AM73" s="56"/>
      <c r="AN73" s="88">
        <v>8280.94</v>
      </c>
      <c r="AO73" s="88">
        <v>0</v>
      </c>
      <c r="AP73" s="88">
        <v>8109.9</v>
      </c>
      <c r="AQ73" s="56"/>
      <c r="AR73" s="56">
        <v>0</v>
      </c>
      <c r="AS73" s="56"/>
      <c r="AT73" s="56">
        <v>0</v>
      </c>
      <c r="AU73" s="56"/>
      <c r="AV73" s="56">
        <f t="shared" si="13"/>
        <v>8109.9</v>
      </c>
      <c r="AW73" s="56"/>
      <c r="AX73" s="56">
        <v>0</v>
      </c>
      <c r="AY73" s="56"/>
      <c r="AZ73" s="88">
        <v>8500</v>
      </c>
      <c r="BA73" s="56">
        <v>8500</v>
      </c>
      <c r="BB73" s="217"/>
      <c r="BC73" s="56"/>
      <c r="BD73" s="84">
        <f t="shared" si="14"/>
        <v>-171.04000000000087</v>
      </c>
      <c r="BE73" s="56"/>
      <c r="BF73" s="56"/>
      <c r="BG73" s="56"/>
      <c r="BH73" s="72"/>
    </row>
    <row r="74" spans="1:62" ht="20.100000000000001" customHeight="1" outlineLevel="1">
      <c r="A74" s="77" t="s">
        <v>43</v>
      </c>
      <c r="B74" s="77" t="s">
        <v>218</v>
      </c>
      <c r="C74" s="77" t="s">
        <v>1080</v>
      </c>
      <c r="D74" s="78" t="s">
        <v>46</v>
      </c>
      <c r="E74" s="78" t="str">
        <f t="shared" si="9"/>
        <v>000</v>
      </c>
      <c r="F74" s="3">
        <v>661001</v>
      </c>
      <c r="G74" s="140" t="s">
        <v>361</v>
      </c>
      <c r="H74" s="141"/>
      <c r="I74" s="139">
        <v>2932</v>
      </c>
      <c r="J74" s="139">
        <v>2386</v>
      </c>
      <c r="L74" s="56">
        <v>3102</v>
      </c>
      <c r="M74" s="56"/>
      <c r="N74" s="56">
        <v>3000</v>
      </c>
      <c r="O74" s="56"/>
      <c r="P74" s="56">
        <v>3000</v>
      </c>
      <c r="Q74" s="56"/>
      <c r="R74" s="56">
        <v>3000</v>
      </c>
      <c r="S74" s="56"/>
      <c r="T74" s="56">
        <v>-1400</v>
      </c>
      <c r="U74" s="56"/>
      <c r="V74" s="56">
        <v>1600</v>
      </c>
      <c r="W74" s="56"/>
      <c r="X74" s="56">
        <v>1304.5</v>
      </c>
      <c r="Y74" s="56"/>
      <c r="Z74" s="56">
        <v>3000</v>
      </c>
      <c r="AA74" s="56"/>
      <c r="AB74" s="56">
        <v>3000</v>
      </c>
      <c r="AC74" s="56"/>
      <c r="AD74" s="56"/>
      <c r="AE74" s="56"/>
      <c r="AF74" s="56">
        <f t="shared" si="11"/>
        <v>6000</v>
      </c>
      <c r="AG74" s="56">
        <v>0</v>
      </c>
      <c r="AH74" s="56">
        <v>0</v>
      </c>
      <c r="AI74" s="56"/>
      <c r="AJ74" s="56">
        <f t="shared" si="12"/>
        <v>6000</v>
      </c>
      <c r="AK74" s="85"/>
      <c r="AL74" s="56">
        <v>0</v>
      </c>
      <c r="AM74" s="56"/>
      <c r="AN74" s="88">
        <v>5892.39</v>
      </c>
      <c r="AO74" s="88">
        <v>0</v>
      </c>
      <c r="AP74" s="88">
        <v>3834.45</v>
      </c>
      <c r="AQ74" s="56"/>
      <c r="AR74" s="56">
        <v>0</v>
      </c>
      <c r="AS74" s="56"/>
      <c r="AT74" s="56">
        <v>0</v>
      </c>
      <c r="AU74" s="56"/>
      <c r="AV74" s="56">
        <f t="shared" si="13"/>
        <v>3834.45</v>
      </c>
      <c r="AW74" s="56"/>
      <c r="AX74" s="56">
        <v>0</v>
      </c>
      <c r="AY74" s="56"/>
      <c r="AZ74" s="88">
        <v>6000</v>
      </c>
      <c r="BA74" s="56">
        <v>8500</v>
      </c>
      <c r="BB74" s="217"/>
      <c r="BC74" s="56"/>
      <c r="BD74" s="84">
        <f t="shared" si="14"/>
        <v>-2057.9400000000005</v>
      </c>
      <c r="BE74" s="56"/>
      <c r="BF74" s="56"/>
      <c r="BG74" s="56"/>
      <c r="BH74" s="72"/>
    </row>
    <row r="75" spans="1:62" ht="20.100000000000001" customHeight="1" outlineLevel="1">
      <c r="A75" s="77" t="s">
        <v>43</v>
      </c>
      <c r="B75" s="77" t="s">
        <v>218</v>
      </c>
      <c r="C75" s="77" t="s">
        <v>1080</v>
      </c>
      <c r="D75" s="78" t="s">
        <v>46</v>
      </c>
      <c r="E75" s="78" t="str">
        <f t="shared" si="9"/>
        <v>000</v>
      </c>
      <c r="F75" s="3">
        <v>661004</v>
      </c>
      <c r="G75" s="140" t="s">
        <v>1081</v>
      </c>
      <c r="H75" s="141"/>
      <c r="I75" s="139"/>
      <c r="J75" s="139"/>
      <c r="L75" s="56">
        <v>0</v>
      </c>
      <c r="M75" s="56"/>
      <c r="N75" s="56"/>
      <c r="O75" s="56"/>
      <c r="P75" s="56"/>
      <c r="Q75" s="56"/>
      <c r="R75" s="56"/>
      <c r="S75" s="56"/>
      <c r="T75" s="56"/>
      <c r="U75" s="56"/>
      <c r="V75" s="56"/>
      <c r="W75" s="56"/>
      <c r="X75" s="56">
        <v>0</v>
      </c>
      <c r="Y75" s="56"/>
      <c r="Z75" s="56"/>
      <c r="AA75" s="56"/>
      <c r="AB75" s="56"/>
      <c r="AC75" s="56"/>
      <c r="AD75" s="56"/>
      <c r="AE75" s="56"/>
      <c r="AF75" s="56"/>
      <c r="AG75" s="56"/>
      <c r="AH75" s="56"/>
      <c r="AI75" s="56"/>
      <c r="AJ75" s="56"/>
      <c r="AK75" s="85"/>
      <c r="AL75" s="56"/>
      <c r="AM75" s="56"/>
      <c r="AN75" s="88">
        <v>0</v>
      </c>
      <c r="AO75" s="88"/>
      <c r="AP75" s="88">
        <v>0</v>
      </c>
      <c r="AQ75" s="56"/>
      <c r="AR75" s="56"/>
      <c r="AS75" s="56"/>
      <c r="AT75" s="56"/>
      <c r="AU75" s="56"/>
      <c r="AV75" s="56"/>
      <c r="AW75" s="56"/>
      <c r="AX75" s="56"/>
      <c r="AY75" s="56"/>
      <c r="AZ75" s="88">
        <v>1500</v>
      </c>
      <c r="BA75" s="56">
        <v>0</v>
      </c>
      <c r="BB75" s="217"/>
      <c r="BC75" s="56"/>
      <c r="BD75" s="84">
        <f t="shared" si="14"/>
        <v>0</v>
      </c>
      <c r="BE75" s="56"/>
      <c r="BF75" s="56"/>
      <c r="BG75" s="56"/>
      <c r="BH75" s="72"/>
    </row>
    <row r="76" spans="1:62" ht="20.100000000000001" customHeight="1" outlineLevel="1">
      <c r="A76" s="77" t="s">
        <v>43</v>
      </c>
      <c r="B76" s="77" t="s">
        <v>218</v>
      </c>
      <c r="C76" s="77" t="s">
        <v>1080</v>
      </c>
      <c r="D76" s="78" t="s">
        <v>46</v>
      </c>
      <c r="E76" s="78" t="str">
        <f t="shared" si="9"/>
        <v>000</v>
      </c>
      <c r="F76" s="3">
        <v>661104</v>
      </c>
      <c r="G76" s="140" t="s">
        <v>362</v>
      </c>
      <c r="H76" s="141"/>
      <c r="I76" s="139">
        <v>0</v>
      </c>
      <c r="J76" s="139">
        <v>0</v>
      </c>
      <c r="L76" s="56">
        <v>1165</v>
      </c>
      <c r="M76" s="56"/>
      <c r="N76" s="56">
        <v>1500</v>
      </c>
      <c r="O76" s="56"/>
      <c r="P76" s="56">
        <v>1500</v>
      </c>
      <c r="Q76" s="56"/>
      <c r="R76" s="56">
        <v>1500</v>
      </c>
      <c r="S76" s="56"/>
      <c r="T76" s="56">
        <v>0</v>
      </c>
      <c r="U76" s="56"/>
      <c r="V76" s="56">
        <v>1500</v>
      </c>
      <c r="W76" s="56"/>
      <c r="X76" s="56">
        <f>230.63+209.1+960.06</f>
        <v>1399.79</v>
      </c>
      <c r="Y76" s="56"/>
      <c r="Z76" s="56">
        <v>1500</v>
      </c>
      <c r="AA76" s="56"/>
      <c r="AB76" s="56"/>
      <c r="AC76" s="56"/>
      <c r="AD76" s="56"/>
      <c r="AE76" s="56"/>
      <c r="AF76" s="56">
        <f t="shared" si="11"/>
        <v>1500</v>
      </c>
      <c r="AG76" s="56">
        <v>0</v>
      </c>
      <c r="AH76" s="56">
        <v>0</v>
      </c>
      <c r="AI76" s="56"/>
      <c r="AJ76" s="56">
        <f t="shared" si="12"/>
        <v>1500</v>
      </c>
      <c r="AK76" s="85"/>
      <c r="AL76" s="56">
        <v>0</v>
      </c>
      <c r="AM76" s="56"/>
      <c r="AN76" s="88">
        <v>1449.18</v>
      </c>
      <c r="AO76" s="88">
        <v>0</v>
      </c>
      <c r="AP76" s="88">
        <v>1389.22</v>
      </c>
      <c r="AQ76" s="56"/>
      <c r="AR76" s="56">
        <v>0</v>
      </c>
      <c r="AS76" s="56"/>
      <c r="AT76" s="56">
        <v>0</v>
      </c>
      <c r="AU76" s="56"/>
      <c r="AV76" s="56">
        <f t="shared" si="13"/>
        <v>1389.22</v>
      </c>
      <c r="AW76" s="56"/>
      <c r="AX76" s="56">
        <v>0</v>
      </c>
      <c r="AY76" s="56"/>
      <c r="AZ76" s="88">
        <v>0</v>
      </c>
      <c r="BA76" s="56">
        <v>1500</v>
      </c>
      <c r="BB76" s="217"/>
      <c r="BC76" s="56"/>
      <c r="BD76" s="84">
        <f t="shared" si="14"/>
        <v>-59.960000000000036</v>
      </c>
      <c r="BE76" s="56"/>
      <c r="BF76" s="56"/>
      <c r="BG76" s="56"/>
      <c r="BH76" s="72"/>
    </row>
    <row r="77" spans="1:62" ht="20.100000000000001" customHeight="1" outlineLevel="1">
      <c r="A77" s="77" t="s">
        <v>43</v>
      </c>
      <c r="B77" s="77" t="s">
        <v>218</v>
      </c>
      <c r="C77" s="77" t="s">
        <v>1080</v>
      </c>
      <c r="D77" s="78" t="s">
        <v>46</v>
      </c>
      <c r="E77" s="78" t="str">
        <f t="shared" si="9"/>
        <v>000</v>
      </c>
      <c r="F77" s="3">
        <v>661025</v>
      </c>
      <c r="G77" s="140" t="s">
        <v>363</v>
      </c>
      <c r="H77" s="141"/>
      <c r="I77" s="139">
        <v>10344</v>
      </c>
      <c r="J77" s="139">
        <v>10503</v>
      </c>
      <c r="L77" s="56">
        <v>10801</v>
      </c>
      <c r="M77" s="56"/>
      <c r="N77" s="56">
        <v>12000</v>
      </c>
      <c r="O77" s="56"/>
      <c r="P77" s="56">
        <v>12000</v>
      </c>
      <c r="Q77" s="56"/>
      <c r="R77" s="56">
        <v>12000</v>
      </c>
      <c r="S77" s="56"/>
      <c r="T77" s="56">
        <v>0</v>
      </c>
      <c r="U77" s="56"/>
      <c r="V77" s="56">
        <v>12000</v>
      </c>
      <c r="W77" s="56"/>
      <c r="X77" s="56">
        <v>10845.53</v>
      </c>
      <c r="Y77" s="56"/>
      <c r="Z77" s="56">
        <v>12000</v>
      </c>
      <c r="AA77" s="56"/>
      <c r="AB77" s="56">
        <v>7500</v>
      </c>
      <c r="AC77" s="56"/>
      <c r="AD77" s="56"/>
      <c r="AE77" s="56"/>
      <c r="AF77" s="56">
        <f t="shared" si="11"/>
        <v>19500</v>
      </c>
      <c r="AG77" s="56">
        <v>0</v>
      </c>
      <c r="AH77" s="56">
        <v>0</v>
      </c>
      <c r="AI77" s="56"/>
      <c r="AJ77" s="56">
        <f t="shared" si="12"/>
        <v>19500</v>
      </c>
      <c r="AK77" s="85"/>
      <c r="AL77" s="56">
        <v>1800</v>
      </c>
      <c r="AM77" s="56"/>
      <c r="AN77" s="88">
        <v>22651.279999999999</v>
      </c>
      <c r="AO77" s="88">
        <v>0</v>
      </c>
      <c r="AP77" s="88">
        <v>20136.84</v>
      </c>
      <c r="AQ77" s="56"/>
      <c r="AR77" s="56">
        <v>0</v>
      </c>
      <c r="AS77" s="56"/>
      <c r="AT77" s="56">
        <v>0</v>
      </c>
      <c r="AU77" s="56"/>
      <c r="AV77" s="56">
        <f t="shared" si="13"/>
        <v>20136.84</v>
      </c>
      <c r="AW77" s="56"/>
      <c r="AX77" s="56">
        <v>0</v>
      </c>
      <c r="AY77" s="56"/>
      <c r="AZ77" s="88">
        <v>15450</v>
      </c>
      <c r="BA77" s="56">
        <v>17450</v>
      </c>
      <c r="BB77" s="217"/>
      <c r="BC77" s="56"/>
      <c r="BD77" s="84">
        <f t="shared" si="14"/>
        <v>-2514.4399999999987</v>
      </c>
      <c r="BE77" s="56"/>
      <c r="BF77" s="56"/>
      <c r="BG77" s="56"/>
      <c r="BH77" s="72"/>
    </row>
    <row r="78" spans="1:62" ht="20.100000000000001" customHeight="1" outlineLevel="1">
      <c r="A78" s="77" t="s">
        <v>43</v>
      </c>
      <c r="B78" s="77" t="s">
        <v>218</v>
      </c>
      <c r="C78" s="77" t="s">
        <v>1080</v>
      </c>
      <c r="D78" s="78" t="s">
        <v>46</v>
      </c>
      <c r="E78" s="78" t="str">
        <f t="shared" si="9"/>
        <v>000</v>
      </c>
      <c r="F78" s="3">
        <v>664211</v>
      </c>
      <c r="G78" s="140" t="s">
        <v>364</v>
      </c>
      <c r="H78" s="141"/>
      <c r="I78" s="139">
        <v>0</v>
      </c>
      <c r="J78" s="139">
        <v>0</v>
      </c>
      <c r="L78" s="56">
        <v>0</v>
      </c>
      <c r="M78" s="56"/>
      <c r="N78" s="56">
        <v>0</v>
      </c>
      <c r="O78" s="56"/>
      <c r="P78" s="56">
        <v>0</v>
      </c>
      <c r="Q78" s="56"/>
      <c r="R78" s="56">
        <v>0</v>
      </c>
      <c r="S78" s="56"/>
      <c r="T78" s="56">
        <v>0</v>
      </c>
      <c r="U78" s="56"/>
      <c r="V78" s="56">
        <v>0</v>
      </c>
      <c r="W78" s="56"/>
      <c r="X78" s="56">
        <v>0</v>
      </c>
      <c r="Y78" s="56"/>
      <c r="Z78" s="56">
        <v>0</v>
      </c>
      <c r="AA78" s="56"/>
      <c r="AB78" s="56"/>
      <c r="AC78" s="56"/>
      <c r="AD78" s="56"/>
      <c r="AE78" s="56"/>
      <c r="AF78" s="56">
        <f t="shared" si="11"/>
        <v>0</v>
      </c>
      <c r="AG78" s="56">
        <v>0</v>
      </c>
      <c r="AH78" s="56">
        <v>0</v>
      </c>
      <c r="AI78" s="56"/>
      <c r="AJ78" s="56">
        <f t="shared" si="12"/>
        <v>0</v>
      </c>
      <c r="AK78" s="85"/>
      <c r="AL78" s="56">
        <v>0</v>
      </c>
      <c r="AM78" s="56"/>
      <c r="AN78" s="88">
        <f>SUM(AI78:AM78)</f>
        <v>0</v>
      </c>
      <c r="AO78" s="88">
        <v>0</v>
      </c>
      <c r="AP78" s="88">
        <v>0</v>
      </c>
      <c r="AQ78" s="56"/>
      <c r="AR78" s="56">
        <v>0</v>
      </c>
      <c r="AS78" s="56"/>
      <c r="AT78" s="56">
        <v>0</v>
      </c>
      <c r="AU78" s="56"/>
      <c r="AV78" s="56">
        <f t="shared" si="13"/>
        <v>0</v>
      </c>
      <c r="AW78" s="56"/>
      <c r="AX78" s="56">
        <v>0</v>
      </c>
      <c r="AY78" s="56"/>
      <c r="AZ78" s="88">
        <v>0</v>
      </c>
      <c r="BA78" s="56">
        <v>0</v>
      </c>
      <c r="BB78" s="217"/>
      <c r="BC78" s="56"/>
      <c r="BD78" s="84">
        <f t="shared" si="14"/>
        <v>0</v>
      </c>
      <c r="BE78" s="56"/>
      <c r="BF78" s="56"/>
      <c r="BG78" s="56"/>
      <c r="BH78" s="72"/>
    </row>
    <row r="79" spans="1:62" ht="20.100000000000001" customHeight="1" outlineLevel="1">
      <c r="A79" s="77" t="s">
        <v>43</v>
      </c>
      <c r="B79" s="77" t="s">
        <v>218</v>
      </c>
      <c r="C79" s="77" t="s">
        <v>1080</v>
      </c>
      <c r="D79" s="78" t="s">
        <v>46</v>
      </c>
      <c r="E79" s="78" t="str">
        <f t="shared" si="9"/>
        <v>000</v>
      </c>
      <c r="F79" s="3">
        <v>673001</v>
      </c>
      <c r="G79" s="140" t="s">
        <v>365</v>
      </c>
      <c r="H79" s="141"/>
      <c r="I79" s="139">
        <v>1569</v>
      </c>
      <c r="J79" s="139">
        <v>7403</v>
      </c>
      <c r="L79" s="56">
        <v>1748</v>
      </c>
      <c r="M79" s="56"/>
      <c r="N79" s="56">
        <v>7500</v>
      </c>
      <c r="O79" s="56"/>
      <c r="P79" s="56">
        <v>12582</v>
      </c>
      <c r="Q79" s="56"/>
      <c r="R79" s="56">
        <v>12582</v>
      </c>
      <c r="S79" s="56"/>
      <c r="T79" s="56">
        <v>-4300</v>
      </c>
      <c r="U79" s="56"/>
      <c r="V79" s="56">
        <v>8282</v>
      </c>
      <c r="W79" s="56"/>
      <c r="X79" s="56">
        <v>7988.5</v>
      </c>
      <c r="Y79" s="56"/>
      <c r="Z79" s="56">
        <v>7500</v>
      </c>
      <c r="AA79" s="56"/>
      <c r="AB79" s="56">
        <v>-7500</v>
      </c>
      <c r="AC79" s="56"/>
      <c r="AD79" s="56"/>
      <c r="AE79" s="56"/>
      <c r="AF79" s="56">
        <f t="shared" si="11"/>
        <v>0</v>
      </c>
      <c r="AG79" s="56">
        <v>0</v>
      </c>
      <c r="AH79" s="56">
        <v>0</v>
      </c>
      <c r="AI79" s="56"/>
      <c r="AJ79" s="56">
        <f t="shared" si="12"/>
        <v>0</v>
      </c>
      <c r="AK79" s="85"/>
      <c r="AL79" s="56">
        <v>0</v>
      </c>
      <c r="AM79" s="56"/>
      <c r="AN79" s="88">
        <f>SUM(AI79:AM79)</f>
        <v>0</v>
      </c>
      <c r="AO79" s="88">
        <v>0</v>
      </c>
      <c r="AP79" s="88">
        <v>0</v>
      </c>
      <c r="AQ79" s="56"/>
      <c r="AR79" s="56">
        <v>0</v>
      </c>
      <c r="AS79" s="56"/>
      <c r="AT79" s="56">
        <v>0</v>
      </c>
      <c r="AU79" s="56"/>
      <c r="AV79" s="56">
        <f t="shared" si="13"/>
        <v>0</v>
      </c>
      <c r="AW79" s="56"/>
      <c r="AX79" s="56">
        <v>0</v>
      </c>
      <c r="AY79" s="56"/>
      <c r="AZ79" s="88">
        <v>0</v>
      </c>
      <c r="BA79" s="56">
        <v>0</v>
      </c>
      <c r="BB79" s="217"/>
      <c r="BC79" s="56"/>
      <c r="BD79" s="84">
        <f t="shared" si="14"/>
        <v>0</v>
      </c>
      <c r="BE79" s="56"/>
      <c r="BF79" s="56"/>
      <c r="BG79" s="56"/>
      <c r="BH79" s="72"/>
    </row>
    <row r="80" spans="1:62" ht="20.100000000000001" customHeight="1" outlineLevel="1">
      <c r="A80" s="77" t="s">
        <v>43</v>
      </c>
      <c r="B80" s="77" t="s">
        <v>218</v>
      </c>
      <c r="C80" s="77" t="s">
        <v>1080</v>
      </c>
      <c r="D80" s="78" t="s">
        <v>46</v>
      </c>
      <c r="E80" s="78" t="str">
        <f t="shared" si="9"/>
        <v>000</v>
      </c>
      <c r="F80" s="3">
        <v>673021</v>
      </c>
      <c r="G80" s="140" t="s">
        <v>366</v>
      </c>
      <c r="H80" s="141"/>
      <c r="I80" s="139">
        <v>0</v>
      </c>
      <c r="J80" s="139">
        <v>1125</v>
      </c>
      <c r="L80" s="56">
        <v>0</v>
      </c>
      <c r="M80" s="56"/>
      <c r="N80" s="56">
        <v>3000</v>
      </c>
      <c r="O80" s="56"/>
      <c r="P80" s="56">
        <v>5586</v>
      </c>
      <c r="Q80" s="56"/>
      <c r="R80" s="56">
        <v>5586</v>
      </c>
      <c r="S80" s="56"/>
      <c r="T80" s="56">
        <v>-1950</v>
      </c>
      <c r="U80" s="56"/>
      <c r="V80" s="56">
        <v>3636</v>
      </c>
      <c r="W80" s="56"/>
      <c r="X80" s="56">
        <v>3582.8</v>
      </c>
      <c r="Y80" s="56"/>
      <c r="Z80" s="56">
        <v>3000</v>
      </c>
      <c r="AA80" s="56"/>
      <c r="AB80" s="56">
        <v>-3000</v>
      </c>
      <c r="AC80" s="56"/>
      <c r="AD80" s="56"/>
      <c r="AE80" s="56"/>
      <c r="AF80" s="56">
        <f t="shared" si="11"/>
        <v>0</v>
      </c>
      <c r="AG80" s="56">
        <v>0</v>
      </c>
      <c r="AH80" s="56">
        <v>0</v>
      </c>
      <c r="AI80" s="56"/>
      <c r="AJ80" s="56">
        <f t="shared" si="12"/>
        <v>0</v>
      </c>
      <c r="AK80" s="85"/>
      <c r="AL80" s="56">
        <v>0</v>
      </c>
      <c r="AM80" s="56"/>
      <c r="AN80" s="88">
        <f>SUM(AI80:AM80)</f>
        <v>0</v>
      </c>
      <c r="AO80" s="88">
        <v>0</v>
      </c>
      <c r="AP80" s="88">
        <v>0</v>
      </c>
      <c r="AQ80" s="56"/>
      <c r="AR80" s="56">
        <v>0</v>
      </c>
      <c r="AS80" s="56"/>
      <c r="AT80" s="56">
        <v>0</v>
      </c>
      <c r="AU80" s="56"/>
      <c r="AV80" s="56">
        <f t="shared" si="13"/>
        <v>0</v>
      </c>
      <c r="AW80" s="56"/>
      <c r="AX80" s="56">
        <v>0</v>
      </c>
      <c r="AY80" s="56"/>
      <c r="AZ80" s="88">
        <v>0</v>
      </c>
      <c r="BA80" s="56">
        <v>0</v>
      </c>
      <c r="BB80" s="217"/>
      <c r="BC80" s="56"/>
      <c r="BD80" s="84">
        <f t="shared" si="14"/>
        <v>0</v>
      </c>
      <c r="BE80" s="56"/>
      <c r="BF80" s="56"/>
      <c r="BG80" s="56"/>
      <c r="BH80" s="72"/>
    </row>
    <row r="81" spans="1:62" ht="20.100000000000001" customHeight="1" outlineLevel="1">
      <c r="A81" s="77" t="s">
        <v>43</v>
      </c>
      <c r="B81" s="77" t="s">
        <v>225</v>
      </c>
      <c r="C81" s="77" t="s">
        <v>1080</v>
      </c>
      <c r="D81" s="78" t="s">
        <v>46</v>
      </c>
      <c r="E81" s="78" t="str">
        <f t="shared" si="9"/>
        <v>000</v>
      </c>
      <c r="F81" s="3">
        <v>615011</v>
      </c>
      <c r="G81" s="140" t="s">
        <v>367</v>
      </c>
      <c r="H81" s="141"/>
      <c r="I81" s="139">
        <v>0</v>
      </c>
      <c r="J81" s="139">
        <v>0</v>
      </c>
      <c r="L81" s="56">
        <v>42500</v>
      </c>
      <c r="M81" s="56"/>
      <c r="N81" s="56">
        <v>0</v>
      </c>
      <c r="O81" s="56"/>
      <c r="P81" s="56">
        <v>0</v>
      </c>
      <c r="Q81" s="56"/>
      <c r="R81" s="56">
        <v>0</v>
      </c>
      <c r="S81" s="56"/>
      <c r="T81" s="56">
        <v>0</v>
      </c>
      <c r="U81" s="56"/>
      <c r="V81" s="56">
        <v>0</v>
      </c>
      <c r="W81" s="56"/>
      <c r="X81" s="56">
        <f>12400+200</f>
        <v>12600</v>
      </c>
      <c r="Y81" s="56"/>
      <c r="Z81" s="56">
        <v>0</v>
      </c>
      <c r="AA81" s="56"/>
      <c r="AB81" s="56"/>
      <c r="AC81" s="56"/>
      <c r="AD81" s="56"/>
      <c r="AE81" s="56"/>
      <c r="AF81" s="56">
        <f t="shared" si="11"/>
        <v>0</v>
      </c>
      <c r="AG81" s="56">
        <v>0</v>
      </c>
      <c r="AH81" s="56">
        <v>0</v>
      </c>
      <c r="AI81" s="56"/>
      <c r="AJ81" s="56">
        <f t="shared" si="12"/>
        <v>0</v>
      </c>
      <c r="AK81" s="85"/>
      <c r="AL81" s="56">
        <v>0</v>
      </c>
      <c r="AM81" s="56"/>
      <c r="AN81" s="88">
        <f>SUM(AI81:AM81)</f>
        <v>0</v>
      </c>
      <c r="AO81" s="88">
        <v>0</v>
      </c>
      <c r="AP81" s="88">
        <v>0</v>
      </c>
      <c r="AQ81" s="56"/>
      <c r="AR81" s="56">
        <v>0</v>
      </c>
      <c r="AS81" s="56"/>
      <c r="AT81" s="56">
        <v>0</v>
      </c>
      <c r="AU81" s="56"/>
      <c r="AV81" s="56">
        <f t="shared" si="13"/>
        <v>0</v>
      </c>
      <c r="AW81" s="56"/>
      <c r="AX81" s="56">
        <v>0</v>
      </c>
      <c r="AY81" s="56"/>
      <c r="AZ81" s="88">
        <v>0</v>
      </c>
      <c r="BA81" s="56">
        <v>0</v>
      </c>
      <c r="BB81" s="217"/>
      <c r="BC81" s="56"/>
      <c r="BD81" s="84">
        <f t="shared" si="14"/>
        <v>0</v>
      </c>
      <c r="BE81" s="56"/>
      <c r="BF81" s="56"/>
      <c r="BG81" s="56"/>
      <c r="BH81" s="72">
        <v>1</v>
      </c>
    </row>
    <row r="82" spans="1:62" ht="20.100000000000001" customHeight="1" outlineLevel="1">
      <c r="A82" s="77" t="s">
        <v>43</v>
      </c>
      <c r="B82" s="77" t="s">
        <v>301</v>
      </c>
      <c r="C82" s="77" t="s">
        <v>1080</v>
      </c>
      <c r="D82" s="78" t="s">
        <v>46</v>
      </c>
      <c r="E82" s="78" t="str">
        <f t="shared" si="9"/>
        <v>000</v>
      </c>
      <c r="F82" s="3">
        <v>611214</v>
      </c>
      <c r="G82" s="140" t="s">
        <v>302</v>
      </c>
      <c r="H82" s="141"/>
      <c r="I82" s="139">
        <v>631303</v>
      </c>
      <c r="J82" s="13">
        <v>639256</v>
      </c>
      <c r="L82" s="56">
        <v>736433</v>
      </c>
      <c r="M82" s="56"/>
      <c r="N82" s="56">
        <v>805624</v>
      </c>
      <c r="O82" s="56"/>
      <c r="P82" s="56">
        <v>805624</v>
      </c>
      <c r="Q82" s="56"/>
      <c r="R82" s="56">
        <v>799829</v>
      </c>
      <c r="S82" s="56"/>
      <c r="T82" s="56">
        <v>0</v>
      </c>
      <c r="U82" s="56"/>
      <c r="V82" s="56">
        <v>799829</v>
      </c>
      <c r="W82" s="56"/>
      <c r="X82" s="56">
        <v>788850.37</v>
      </c>
      <c r="Y82" s="56"/>
      <c r="Z82" s="56">
        <v>792433</v>
      </c>
      <c r="AA82" s="56"/>
      <c r="AB82" s="56"/>
      <c r="AC82" s="56"/>
      <c r="AD82" s="56"/>
      <c r="AE82" s="56"/>
      <c r="AF82" s="56">
        <f t="shared" si="11"/>
        <v>792433</v>
      </c>
      <c r="AG82" s="56">
        <v>0</v>
      </c>
      <c r="AH82" s="56">
        <v>0</v>
      </c>
      <c r="AI82" s="56"/>
      <c r="AJ82" s="56">
        <f t="shared" si="12"/>
        <v>792433</v>
      </c>
      <c r="AK82" s="85"/>
      <c r="AL82" s="56">
        <v>0</v>
      </c>
      <c r="AM82" s="56"/>
      <c r="AN82" s="88">
        <v>794020.3</v>
      </c>
      <c r="AO82" s="88">
        <v>0</v>
      </c>
      <c r="AP82" s="88">
        <v>784847.07</v>
      </c>
      <c r="AQ82" s="56"/>
      <c r="AR82" s="56">
        <v>0</v>
      </c>
      <c r="AS82" s="56"/>
      <c r="AT82" s="56">
        <v>0</v>
      </c>
      <c r="AU82" s="56"/>
      <c r="AV82" s="56">
        <f t="shared" si="13"/>
        <v>784847.07</v>
      </c>
      <c r="AW82" s="56"/>
      <c r="AX82" s="106">
        <v>18435</v>
      </c>
      <c r="AY82" s="56"/>
      <c r="AZ82" s="88">
        <v>791541</v>
      </c>
      <c r="BA82" s="56">
        <v>791541</v>
      </c>
      <c r="BB82" s="217"/>
      <c r="BC82" s="56"/>
      <c r="BD82" s="84">
        <f t="shared" si="14"/>
        <v>-9173.2300000000978</v>
      </c>
      <c r="BE82" s="56"/>
      <c r="BF82" s="56"/>
      <c r="BG82" s="56"/>
      <c r="BH82" s="72">
        <v>1</v>
      </c>
      <c r="BJ82">
        <v>1</v>
      </c>
    </row>
    <row r="83" spans="1:62" ht="20.100000000000001" customHeight="1" outlineLevel="1">
      <c r="A83" s="77" t="s">
        <v>43</v>
      </c>
      <c r="B83" s="77" t="s">
        <v>368</v>
      </c>
      <c r="C83" s="77" t="s">
        <v>1080</v>
      </c>
      <c r="D83" s="78" t="s">
        <v>46</v>
      </c>
      <c r="E83" s="78" t="str">
        <f t="shared" si="9"/>
        <v>000</v>
      </c>
      <c r="F83" s="3">
        <v>661001</v>
      </c>
      <c r="G83" s="140" t="s">
        <v>369</v>
      </c>
      <c r="H83" s="141"/>
      <c r="I83" s="139">
        <v>8485</v>
      </c>
      <c r="J83" s="13">
        <v>8181</v>
      </c>
      <c r="L83" s="56">
        <v>9597</v>
      </c>
      <c r="M83" s="56"/>
      <c r="N83" s="56">
        <v>7000</v>
      </c>
      <c r="O83" s="56"/>
      <c r="P83" s="56">
        <v>7000</v>
      </c>
      <c r="Q83" s="56"/>
      <c r="R83" s="56">
        <v>7000</v>
      </c>
      <c r="S83" s="56"/>
      <c r="T83" s="56">
        <v>0</v>
      </c>
      <c r="U83" s="56"/>
      <c r="V83" s="56">
        <v>7000</v>
      </c>
      <c r="W83" s="56"/>
      <c r="X83" s="56">
        <v>8764.2800000000007</v>
      </c>
      <c r="Y83" s="56"/>
      <c r="Z83" s="56">
        <v>7000</v>
      </c>
      <c r="AA83" s="56"/>
      <c r="AB83" s="56"/>
      <c r="AC83" s="56"/>
      <c r="AD83" s="56"/>
      <c r="AE83" s="56"/>
      <c r="AF83" s="56">
        <f t="shared" si="11"/>
        <v>7000</v>
      </c>
      <c r="AG83" s="56">
        <v>0</v>
      </c>
      <c r="AH83" s="56">
        <v>0</v>
      </c>
      <c r="AI83" s="56"/>
      <c r="AJ83" s="56">
        <f t="shared" si="12"/>
        <v>7000</v>
      </c>
      <c r="AK83" s="85"/>
      <c r="AL83" s="56">
        <v>1000</v>
      </c>
      <c r="AM83" s="56"/>
      <c r="AN83" s="88">
        <v>7999.59</v>
      </c>
      <c r="AO83" s="88">
        <v>0</v>
      </c>
      <c r="AP83" s="88">
        <v>10200</v>
      </c>
      <c r="AQ83" s="56"/>
      <c r="AR83" s="56">
        <v>0</v>
      </c>
      <c r="AS83" s="56"/>
      <c r="AT83" s="56">
        <v>0</v>
      </c>
      <c r="AU83" s="56"/>
      <c r="AV83" s="56">
        <f t="shared" si="13"/>
        <v>10200</v>
      </c>
      <c r="AW83" s="56"/>
      <c r="AX83" s="56">
        <v>0</v>
      </c>
      <c r="AY83" s="56"/>
      <c r="AZ83" s="88">
        <v>8000</v>
      </c>
      <c r="BA83" s="56">
        <v>8000</v>
      </c>
      <c r="BB83" s="217"/>
      <c r="BC83" s="56"/>
      <c r="BD83" s="84">
        <f t="shared" si="14"/>
        <v>2200.41</v>
      </c>
      <c r="BE83" s="56"/>
      <c r="BF83" s="56"/>
      <c r="BG83" s="56"/>
      <c r="BH83" s="72"/>
    </row>
    <row r="84" spans="1:62" ht="20.100000000000001" customHeight="1" outlineLevel="1">
      <c r="A84" s="77" t="s">
        <v>43</v>
      </c>
      <c r="B84" s="77" t="s">
        <v>284</v>
      </c>
      <c r="C84" s="77" t="s">
        <v>1080</v>
      </c>
      <c r="D84" s="78" t="s">
        <v>46</v>
      </c>
      <c r="E84" s="78" t="str">
        <f t="shared" si="9"/>
        <v>000</v>
      </c>
      <c r="F84" s="3">
        <v>611115</v>
      </c>
      <c r="G84" s="140" t="s">
        <v>370</v>
      </c>
      <c r="H84" s="141"/>
      <c r="I84" s="139">
        <v>72283</v>
      </c>
      <c r="J84" s="13">
        <v>73310</v>
      </c>
      <c r="L84" s="56">
        <v>79304</v>
      </c>
      <c r="M84" s="56"/>
      <c r="N84" s="56">
        <v>87671</v>
      </c>
      <c r="O84" s="56"/>
      <c r="P84" s="56">
        <v>87671</v>
      </c>
      <c r="Q84" s="56"/>
      <c r="R84" s="56">
        <v>89371</v>
      </c>
      <c r="S84" s="56"/>
      <c r="T84" s="56">
        <v>0</v>
      </c>
      <c r="U84" s="56"/>
      <c r="V84" s="56">
        <v>89371</v>
      </c>
      <c r="W84" s="56"/>
      <c r="X84" s="56">
        <v>89371</v>
      </c>
      <c r="Y84" s="56"/>
      <c r="Z84" s="56">
        <v>89315</v>
      </c>
      <c r="AA84" s="56"/>
      <c r="AB84" s="56"/>
      <c r="AC84" s="56"/>
      <c r="AD84" s="56"/>
      <c r="AE84" s="56"/>
      <c r="AF84" s="56">
        <f t="shared" si="11"/>
        <v>89315</v>
      </c>
      <c r="AG84" s="56">
        <v>0</v>
      </c>
      <c r="AH84" s="56">
        <v>1250</v>
      </c>
      <c r="AI84" s="56"/>
      <c r="AJ84" s="56">
        <f t="shared" si="12"/>
        <v>90565</v>
      </c>
      <c r="AK84" s="85"/>
      <c r="AL84" s="56">
        <v>0</v>
      </c>
      <c r="AM84" s="56"/>
      <c r="AN84" s="88">
        <v>90565</v>
      </c>
      <c r="AO84" s="88">
        <v>0</v>
      </c>
      <c r="AP84" s="88">
        <v>89315</v>
      </c>
      <c r="AQ84" s="56"/>
      <c r="AR84" s="56">
        <v>0</v>
      </c>
      <c r="AS84" s="56"/>
      <c r="AT84" s="56">
        <v>0</v>
      </c>
      <c r="AU84" s="56"/>
      <c r="AV84" s="56">
        <f t="shared" si="13"/>
        <v>89315</v>
      </c>
      <c r="AW84" s="56"/>
      <c r="AX84" s="56">
        <v>0</v>
      </c>
      <c r="AY84" s="56"/>
      <c r="AZ84" s="88">
        <v>89315</v>
      </c>
      <c r="BA84" s="56">
        <v>89315</v>
      </c>
      <c r="BB84" s="217"/>
      <c r="BC84" s="56"/>
      <c r="BD84" s="84">
        <f t="shared" si="14"/>
        <v>-1250</v>
      </c>
      <c r="BE84" s="56"/>
      <c r="BF84" s="56"/>
      <c r="BG84" s="56"/>
      <c r="BH84" s="72">
        <v>1</v>
      </c>
      <c r="BJ84">
        <v>1</v>
      </c>
    </row>
    <row r="85" spans="1:62" ht="20.100000000000001" customHeight="1" outlineLevel="1">
      <c r="A85" s="77" t="s">
        <v>43</v>
      </c>
      <c r="B85" s="142" t="s">
        <v>284</v>
      </c>
      <c r="C85" s="77" t="s">
        <v>1080</v>
      </c>
      <c r="D85" s="78" t="s">
        <v>46</v>
      </c>
      <c r="E85" s="78" t="str">
        <f t="shared" si="9"/>
        <v>000</v>
      </c>
      <c r="F85" s="3">
        <v>611411</v>
      </c>
      <c r="G85" s="140" t="s">
        <v>371</v>
      </c>
      <c r="H85" s="141"/>
      <c r="I85" s="139">
        <v>26211</v>
      </c>
      <c r="J85" s="13">
        <v>25411</v>
      </c>
      <c r="L85" s="56">
        <v>28611</v>
      </c>
      <c r="M85" s="56"/>
      <c r="N85" s="56">
        <v>27161</v>
      </c>
      <c r="O85" s="56"/>
      <c r="P85" s="56">
        <v>27161</v>
      </c>
      <c r="Q85" s="56"/>
      <c r="R85" s="56">
        <v>29111</v>
      </c>
      <c r="S85" s="56"/>
      <c r="T85" s="56">
        <v>0</v>
      </c>
      <c r="U85" s="56"/>
      <c r="V85" s="56">
        <v>29111</v>
      </c>
      <c r="W85" s="56"/>
      <c r="X85" s="56">
        <v>29111</v>
      </c>
      <c r="Y85" s="56"/>
      <c r="Z85" s="56">
        <v>27411</v>
      </c>
      <c r="AA85" s="56"/>
      <c r="AB85" s="56"/>
      <c r="AC85" s="56"/>
      <c r="AD85" s="56"/>
      <c r="AE85" s="56"/>
      <c r="AF85" s="56">
        <f t="shared" si="11"/>
        <v>27411</v>
      </c>
      <c r="AG85" s="56">
        <v>0</v>
      </c>
      <c r="AH85" s="56">
        <v>2250</v>
      </c>
      <c r="AI85" s="56"/>
      <c r="AJ85" s="56">
        <f t="shared" si="12"/>
        <v>29661</v>
      </c>
      <c r="AK85" s="85"/>
      <c r="AL85" s="56">
        <v>0</v>
      </c>
      <c r="AM85" s="56"/>
      <c r="AN85" s="88">
        <f>SUM(AI85:AM85)</f>
        <v>29661</v>
      </c>
      <c r="AO85" s="88">
        <v>0</v>
      </c>
      <c r="AP85" s="88">
        <v>27411</v>
      </c>
      <c r="AQ85" s="56"/>
      <c r="AR85" s="56">
        <v>0</v>
      </c>
      <c r="AS85" s="56"/>
      <c r="AT85" s="56">
        <v>0</v>
      </c>
      <c r="AU85" s="56"/>
      <c r="AV85" s="56">
        <f t="shared" si="13"/>
        <v>27411</v>
      </c>
      <c r="AW85" s="56"/>
      <c r="AX85" s="56">
        <v>0</v>
      </c>
      <c r="AY85" s="56"/>
      <c r="AZ85" s="88">
        <v>27411</v>
      </c>
      <c r="BA85" s="56">
        <v>27411</v>
      </c>
      <c r="BB85" s="217"/>
      <c r="BC85" s="56"/>
      <c r="BD85" s="84">
        <f t="shared" si="14"/>
        <v>-2250</v>
      </c>
      <c r="BE85" s="56"/>
      <c r="BF85" s="56"/>
      <c r="BG85" s="56"/>
      <c r="BH85" s="72">
        <v>1</v>
      </c>
      <c r="BJ85">
        <v>1</v>
      </c>
    </row>
    <row r="86" spans="1:62" ht="20.100000000000001" customHeight="1" outlineLevel="1">
      <c r="A86" s="77" t="s">
        <v>43</v>
      </c>
      <c r="B86" s="77" t="s">
        <v>218</v>
      </c>
      <c r="C86" s="77" t="s">
        <v>1080</v>
      </c>
      <c r="D86" s="78" t="s">
        <v>46</v>
      </c>
      <c r="E86" s="78" t="str">
        <f t="shared" si="9"/>
        <v>000</v>
      </c>
      <c r="F86" s="3">
        <v>643012</v>
      </c>
      <c r="G86" s="140" t="s">
        <v>372</v>
      </c>
      <c r="H86" s="141"/>
      <c r="I86" s="139">
        <v>0</v>
      </c>
      <c r="J86" s="13">
        <v>0</v>
      </c>
      <c r="L86" s="56">
        <v>2911</v>
      </c>
      <c r="M86" s="56"/>
      <c r="N86" s="56">
        <v>2500</v>
      </c>
      <c r="O86" s="56"/>
      <c r="P86" s="56">
        <v>3000</v>
      </c>
      <c r="Q86" s="56"/>
      <c r="R86" s="56">
        <v>3000</v>
      </c>
      <c r="S86" s="56"/>
      <c r="T86" s="56">
        <v>0</v>
      </c>
      <c r="U86" s="56"/>
      <c r="V86" s="56">
        <v>3000</v>
      </c>
      <c r="W86" s="56"/>
      <c r="X86" s="56">
        <v>2883.44</v>
      </c>
      <c r="Y86" s="56"/>
      <c r="Z86" s="56">
        <v>3000</v>
      </c>
      <c r="AA86" s="56"/>
      <c r="AB86" s="56"/>
      <c r="AC86" s="56"/>
      <c r="AD86" s="56"/>
      <c r="AE86" s="56"/>
      <c r="AF86" s="56">
        <f t="shared" si="11"/>
        <v>3000</v>
      </c>
      <c r="AG86" s="56">
        <v>0</v>
      </c>
      <c r="AH86" s="56">
        <v>0</v>
      </c>
      <c r="AI86" s="56"/>
      <c r="AJ86" s="56">
        <f t="shared" si="12"/>
        <v>3000</v>
      </c>
      <c r="AK86" s="85"/>
      <c r="AL86" s="56">
        <v>0</v>
      </c>
      <c r="AM86" s="56"/>
      <c r="AN86" s="88">
        <v>3180.06</v>
      </c>
      <c r="AO86" s="88">
        <v>0</v>
      </c>
      <c r="AP86" s="88">
        <v>3390</v>
      </c>
      <c r="AQ86" s="56"/>
      <c r="AR86" s="56">
        <v>1000</v>
      </c>
      <c r="AS86" s="56"/>
      <c r="AT86" s="56">
        <v>0</v>
      </c>
      <c r="AU86" s="56"/>
      <c r="AV86" s="56">
        <f t="shared" si="13"/>
        <v>4390</v>
      </c>
      <c r="AW86" s="56"/>
      <c r="AX86" s="56">
        <v>0</v>
      </c>
      <c r="AY86" s="56"/>
      <c r="AZ86" s="88">
        <v>4000</v>
      </c>
      <c r="BA86" s="56">
        <v>4000</v>
      </c>
      <c r="BB86" s="217"/>
      <c r="BC86" s="56"/>
      <c r="BD86" s="84">
        <f t="shared" si="14"/>
        <v>209.94000000000005</v>
      </c>
      <c r="BE86" s="56"/>
      <c r="BF86" s="56"/>
      <c r="BG86" s="56"/>
      <c r="BH86" s="72"/>
    </row>
    <row r="87" spans="1:62" ht="20.100000000000001" customHeight="1" outlineLevel="1">
      <c r="A87" s="77" t="s">
        <v>43</v>
      </c>
      <c r="B87" s="77" t="s">
        <v>218</v>
      </c>
      <c r="C87" s="77" t="s">
        <v>1080</v>
      </c>
      <c r="D87" s="78" t="s">
        <v>46</v>
      </c>
      <c r="E87" s="78" t="str">
        <f t="shared" si="9"/>
        <v>000</v>
      </c>
      <c r="F87" s="3">
        <v>658213</v>
      </c>
      <c r="G87" s="140" t="s">
        <v>373</v>
      </c>
      <c r="H87" s="141"/>
      <c r="I87" s="139">
        <v>1919</v>
      </c>
      <c r="J87" s="13">
        <v>1614</v>
      </c>
      <c r="L87" s="56">
        <v>1285</v>
      </c>
      <c r="M87" s="56"/>
      <c r="N87" s="56">
        <v>2000</v>
      </c>
      <c r="O87" s="56"/>
      <c r="P87" s="56">
        <v>2000</v>
      </c>
      <c r="Q87" s="56"/>
      <c r="R87" s="56">
        <v>2000</v>
      </c>
      <c r="S87" s="56"/>
      <c r="T87" s="56">
        <v>0</v>
      </c>
      <c r="U87" s="56"/>
      <c r="V87" s="56">
        <v>2000</v>
      </c>
      <c r="W87" s="56"/>
      <c r="X87" s="56">
        <v>1305.32</v>
      </c>
      <c r="Y87" s="56"/>
      <c r="Z87" s="56">
        <v>2000</v>
      </c>
      <c r="AA87" s="56"/>
      <c r="AB87" s="56"/>
      <c r="AC87" s="56"/>
      <c r="AD87" s="56"/>
      <c r="AE87" s="56"/>
      <c r="AF87" s="56">
        <f t="shared" si="11"/>
        <v>2000</v>
      </c>
      <c r="AG87" s="56">
        <v>0</v>
      </c>
      <c r="AH87" s="56">
        <v>0</v>
      </c>
      <c r="AI87" s="56"/>
      <c r="AJ87" s="56">
        <f t="shared" si="12"/>
        <v>2000</v>
      </c>
      <c r="AK87" s="85"/>
      <c r="AL87" s="56">
        <v>0</v>
      </c>
      <c r="AM87" s="56"/>
      <c r="AN87" s="88">
        <v>2252.81</v>
      </c>
      <c r="AO87" s="88">
        <v>0</v>
      </c>
      <c r="AP87" s="88">
        <v>1787.85</v>
      </c>
      <c r="AQ87" s="56"/>
      <c r="AR87" s="56">
        <v>0</v>
      </c>
      <c r="AS87" s="56"/>
      <c r="AT87" s="56">
        <v>0</v>
      </c>
      <c r="AU87" s="56"/>
      <c r="AV87" s="56">
        <f t="shared" si="13"/>
        <v>1787.85</v>
      </c>
      <c r="AW87" s="56"/>
      <c r="AX87" s="56">
        <v>0</v>
      </c>
      <c r="AY87" s="56"/>
      <c r="AZ87" s="88">
        <v>2000</v>
      </c>
      <c r="BA87" s="56">
        <v>2000</v>
      </c>
      <c r="BB87" s="217"/>
      <c r="BC87" s="56"/>
      <c r="BD87" s="84">
        <f t="shared" si="14"/>
        <v>-464.96000000000004</v>
      </c>
      <c r="BE87" s="56"/>
      <c r="BF87" s="56"/>
      <c r="BG87" s="56"/>
      <c r="BH87" s="72"/>
    </row>
    <row r="88" spans="1:62" ht="20.100000000000001" customHeight="1" outlineLevel="1">
      <c r="A88" s="77" t="s">
        <v>43</v>
      </c>
      <c r="B88" s="77" t="s">
        <v>218</v>
      </c>
      <c r="C88" s="77" t="s">
        <v>1080</v>
      </c>
      <c r="D88" s="78" t="s">
        <v>46</v>
      </c>
      <c r="E88" s="78" t="str">
        <f t="shared" si="9"/>
        <v>000</v>
      </c>
      <c r="F88" s="3">
        <v>661101</v>
      </c>
      <c r="G88" s="140" t="s">
        <v>374</v>
      </c>
      <c r="H88" s="141"/>
      <c r="I88" s="139">
        <v>770</v>
      </c>
      <c r="J88" s="13">
        <v>984</v>
      </c>
      <c r="L88" s="56">
        <v>880</v>
      </c>
      <c r="M88" s="56"/>
      <c r="N88" s="56">
        <v>1000</v>
      </c>
      <c r="O88" s="56"/>
      <c r="P88" s="56">
        <v>1000</v>
      </c>
      <c r="Q88" s="56"/>
      <c r="R88" s="56">
        <v>1000</v>
      </c>
      <c r="S88" s="56"/>
      <c r="T88" s="56">
        <v>0</v>
      </c>
      <c r="U88" s="56"/>
      <c r="V88" s="56">
        <v>1000</v>
      </c>
      <c r="W88" s="56"/>
      <c r="X88" s="56">
        <v>694.89</v>
      </c>
      <c r="Y88" s="56"/>
      <c r="Z88" s="56">
        <v>1000</v>
      </c>
      <c r="AA88" s="56"/>
      <c r="AB88" s="56"/>
      <c r="AC88" s="56"/>
      <c r="AD88" s="56"/>
      <c r="AE88" s="56"/>
      <c r="AF88" s="56">
        <f t="shared" si="11"/>
        <v>1000</v>
      </c>
      <c r="AG88" s="56">
        <v>0</v>
      </c>
      <c r="AH88" s="56">
        <v>0</v>
      </c>
      <c r="AI88" s="56"/>
      <c r="AJ88" s="56">
        <f t="shared" si="12"/>
        <v>1000</v>
      </c>
      <c r="AK88" s="85"/>
      <c r="AL88" s="56">
        <v>0</v>
      </c>
      <c r="AM88" s="56"/>
      <c r="AN88" s="88">
        <v>917.95</v>
      </c>
      <c r="AO88" s="88">
        <v>0</v>
      </c>
      <c r="AP88" s="88">
        <v>827</v>
      </c>
      <c r="AQ88" s="56"/>
      <c r="AR88" s="56">
        <v>0</v>
      </c>
      <c r="AS88" s="56"/>
      <c r="AT88" s="56">
        <v>0</v>
      </c>
      <c r="AU88" s="56"/>
      <c r="AV88" s="56">
        <f t="shared" si="13"/>
        <v>827</v>
      </c>
      <c r="AW88" s="56"/>
      <c r="AX88" s="56">
        <v>0</v>
      </c>
      <c r="AY88" s="56"/>
      <c r="AZ88" s="88">
        <v>1000</v>
      </c>
      <c r="BA88" s="56">
        <v>1000</v>
      </c>
      <c r="BB88" s="217"/>
      <c r="BC88" s="56"/>
      <c r="BD88" s="84">
        <f t="shared" si="14"/>
        <v>-90.950000000000045</v>
      </c>
      <c r="BE88" s="56"/>
      <c r="BF88" s="56"/>
      <c r="BG88" s="56"/>
      <c r="BH88" s="72"/>
    </row>
    <row r="89" spans="1:62" ht="20.100000000000001" customHeight="1" outlineLevel="1">
      <c r="A89" s="77" t="s">
        <v>43</v>
      </c>
      <c r="B89" s="77" t="s">
        <v>237</v>
      </c>
      <c r="C89" s="77" t="s">
        <v>1080</v>
      </c>
      <c r="D89" s="78" t="s">
        <v>46</v>
      </c>
      <c r="E89" s="78" t="str">
        <f t="shared" si="9"/>
        <v>000</v>
      </c>
      <c r="F89" s="3">
        <v>611411</v>
      </c>
      <c r="G89" s="140" t="s">
        <v>303</v>
      </c>
      <c r="H89" s="141"/>
      <c r="I89" s="139">
        <v>554785</v>
      </c>
      <c r="J89" s="13">
        <v>547726</v>
      </c>
      <c r="L89" s="56">
        <v>666806</v>
      </c>
      <c r="M89" s="56"/>
      <c r="N89" s="56">
        <v>649805</v>
      </c>
      <c r="O89" s="56"/>
      <c r="P89" s="56">
        <v>649805</v>
      </c>
      <c r="Q89" s="56"/>
      <c r="R89" s="56">
        <v>734081</v>
      </c>
      <c r="S89" s="56"/>
      <c r="T89" s="56">
        <v>0</v>
      </c>
      <c r="U89" s="56"/>
      <c r="V89" s="56">
        <v>734081</v>
      </c>
      <c r="W89" s="56"/>
      <c r="X89" s="56">
        <v>704206.65</v>
      </c>
      <c r="Y89" s="56"/>
      <c r="Z89" s="56">
        <v>681031</v>
      </c>
      <c r="AA89" s="56"/>
      <c r="AB89" s="56"/>
      <c r="AC89" s="56"/>
      <c r="AD89" s="56"/>
      <c r="AE89" s="56"/>
      <c r="AF89" s="56">
        <f t="shared" si="11"/>
        <v>681031</v>
      </c>
      <c r="AG89" s="56">
        <v>0</v>
      </c>
      <c r="AH89" s="56">
        <v>78750</v>
      </c>
      <c r="AI89" s="56"/>
      <c r="AJ89" s="56">
        <f t="shared" si="12"/>
        <v>759781</v>
      </c>
      <c r="AK89" s="85"/>
      <c r="AL89" s="56">
        <v>0</v>
      </c>
      <c r="AM89" s="56"/>
      <c r="AN89" s="88">
        <v>736576.91</v>
      </c>
      <c r="AO89" s="88">
        <v>0</v>
      </c>
      <c r="AP89" s="88">
        <v>672875.97</v>
      </c>
      <c r="AQ89" s="56"/>
      <c r="AR89" s="56">
        <v>0</v>
      </c>
      <c r="AS89" s="56"/>
      <c r="AT89" s="56">
        <v>0</v>
      </c>
      <c r="AU89" s="56"/>
      <c r="AV89" s="56">
        <f t="shared" si="13"/>
        <v>672875.97</v>
      </c>
      <c r="AW89" s="56"/>
      <c r="AX89" s="56">
        <v>0</v>
      </c>
      <c r="AY89" s="56"/>
      <c r="AZ89" s="88">
        <v>688681</v>
      </c>
      <c r="BA89" s="56">
        <v>688681</v>
      </c>
      <c r="BB89" s="217"/>
      <c r="BC89" s="56"/>
      <c r="BD89" s="84">
        <f t="shared" si="14"/>
        <v>-63700.940000000061</v>
      </c>
      <c r="BE89" s="56"/>
      <c r="BF89" s="56"/>
      <c r="BG89" s="56"/>
      <c r="BH89" s="72">
        <v>1</v>
      </c>
      <c r="BJ89">
        <v>1</v>
      </c>
    </row>
    <row r="90" spans="1:62" ht="20.100000000000001" customHeight="1" outlineLevel="1">
      <c r="A90" s="77" t="s">
        <v>43</v>
      </c>
      <c r="B90" s="77" t="s">
        <v>237</v>
      </c>
      <c r="C90" s="77" t="s">
        <v>1080</v>
      </c>
      <c r="D90" s="78" t="s">
        <v>46</v>
      </c>
      <c r="E90" s="78" t="str">
        <f t="shared" si="9"/>
        <v>000</v>
      </c>
      <c r="F90" s="3">
        <v>632011</v>
      </c>
      <c r="G90" s="140" t="s">
        <v>375</v>
      </c>
      <c r="H90" s="141"/>
      <c r="I90" s="139">
        <v>0</v>
      </c>
      <c r="J90" s="13">
        <v>7422</v>
      </c>
      <c r="L90" s="56">
        <v>1619</v>
      </c>
      <c r="M90" s="56"/>
      <c r="N90" s="56">
        <v>6500</v>
      </c>
      <c r="O90" s="56"/>
      <c r="P90" s="56">
        <v>6500</v>
      </c>
      <c r="Q90" s="56"/>
      <c r="R90" s="56">
        <v>6500</v>
      </c>
      <c r="S90" s="56"/>
      <c r="T90" s="56">
        <v>0</v>
      </c>
      <c r="U90" s="56"/>
      <c r="V90" s="56">
        <v>6500</v>
      </c>
      <c r="W90" s="56"/>
      <c r="X90" s="56">
        <v>0</v>
      </c>
      <c r="Y90" s="56"/>
      <c r="Z90" s="56">
        <v>6500</v>
      </c>
      <c r="AA90" s="56"/>
      <c r="AB90" s="56"/>
      <c r="AC90" s="56"/>
      <c r="AD90" s="56"/>
      <c r="AE90" s="56"/>
      <c r="AF90" s="56">
        <f t="shared" si="11"/>
        <v>6500</v>
      </c>
      <c r="AG90" s="56">
        <v>0</v>
      </c>
      <c r="AH90" s="56">
        <v>0</v>
      </c>
      <c r="AI90" s="56"/>
      <c r="AJ90" s="56">
        <f t="shared" si="12"/>
        <v>6500</v>
      </c>
      <c r="AK90" s="85"/>
      <c r="AL90" s="89">
        <v>-6500</v>
      </c>
      <c r="AM90" s="56"/>
      <c r="AN90" s="88">
        <f>SUM(AI90:AM90)</f>
        <v>0</v>
      </c>
      <c r="AO90" s="88">
        <v>0</v>
      </c>
      <c r="AP90" s="88">
        <v>0</v>
      </c>
      <c r="AQ90" s="56"/>
      <c r="AR90" s="56">
        <v>0</v>
      </c>
      <c r="AS90" s="56"/>
      <c r="AT90" s="56">
        <v>0</v>
      </c>
      <c r="AU90" s="56"/>
      <c r="AV90" s="56">
        <f t="shared" si="13"/>
        <v>0</v>
      </c>
      <c r="AW90" s="56"/>
      <c r="AX90" s="56">
        <v>0</v>
      </c>
      <c r="AY90" s="56"/>
      <c r="AZ90" s="88">
        <v>0</v>
      </c>
      <c r="BA90" s="56">
        <v>0</v>
      </c>
      <c r="BB90" s="217"/>
      <c r="BC90" s="56"/>
      <c r="BD90" s="84">
        <f t="shared" si="14"/>
        <v>0</v>
      </c>
      <c r="BE90" s="56"/>
      <c r="BF90" s="56"/>
      <c r="BG90" s="56"/>
      <c r="BH90" s="72"/>
    </row>
    <row r="91" spans="1:62" ht="20.100000000000001" customHeight="1" outlineLevel="1">
      <c r="A91" s="77" t="s">
        <v>43</v>
      </c>
      <c r="B91" s="77" t="s">
        <v>237</v>
      </c>
      <c r="C91" s="77" t="s">
        <v>1080</v>
      </c>
      <c r="D91" s="78" t="s">
        <v>46</v>
      </c>
      <c r="E91" s="78" t="str">
        <f t="shared" si="9"/>
        <v>000</v>
      </c>
      <c r="F91" s="3">
        <v>681011</v>
      </c>
      <c r="G91" s="140" t="s">
        <v>305</v>
      </c>
      <c r="H91" s="141"/>
      <c r="I91" s="139">
        <v>6884</v>
      </c>
      <c r="J91" s="13">
        <v>0</v>
      </c>
      <c r="L91" s="56">
        <v>7575</v>
      </c>
      <c r="M91" s="56"/>
      <c r="N91" s="56">
        <v>8500</v>
      </c>
      <c r="O91" s="56"/>
      <c r="P91" s="56">
        <v>8500</v>
      </c>
      <c r="Q91" s="56"/>
      <c r="R91" s="56">
        <v>8500</v>
      </c>
      <c r="S91" s="56"/>
      <c r="T91" s="56">
        <v>0</v>
      </c>
      <c r="U91" s="56"/>
      <c r="V91" s="56">
        <v>8500</v>
      </c>
      <c r="W91" s="56"/>
      <c r="X91" s="56">
        <v>7925</v>
      </c>
      <c r="Y91" s="56"/>
      <c r="Z91" s="56">
        <v>8500</v>
      </c>
      <c r="AA91" s="56"/>
      <c r="AB91" s="56"/>
      <c r="AC91" s="56"/>
      <c r="AD91" s="56"/>
      <c r="AE91" s="56"/>
      <c r="AF91" s="56">
        <f t="shared" si="11"/>
        <v>8500</v>
      </c>
      <c r="AG91" s="56">
        <v>0</v>
      </c>
      <c r="AH91" s="56">
        <v>0</v>
      </c>
      <c r="AI91" s="56"/>
      <c r="AJ91" s="56">
        <f t="shared" si="12"/>
        <v>8500</v>
      </c>
      <c r="AK91" s="85"/>
      <c r="AL91" s="56">
        <v>-8500</v>
      </c>
      <c r="AM91" s="56"/>
      <c r="AN91" s="88">
        <f>SUM(AI91:AM91)</f>
        <v>0</v>
      </c>
      <c r="AO91" s="88">
        <v>0</v>
      </c>
      <c r="AP91" s="88">
        <v>0</v>
      </c>
      <c r="AQ91" s="56"/>
      <c r="AR91" s="56">
        <v>0</v>
      </c>
      <c r="AS91" s="56"/>
      <c r="AT91" s="56">
        <v>0</v>
      </c>
      <c r="AU91" s="56"/>
      <c r="AV91" s="56">
        <f t="shared" si="13"/>
        <v>0</v>
      </c>
      <c r="AW91" s="56"/>
      <c r="AX91" s="56">
        <v>0</v>
      </c>
      <c r="AY91" s="56"/>
      <c r="AZ91" s="88">
        <v>8500</v>
      </c>
      <c r="BA91" s="56">
        <v>8500</v>
      </c>
      <c r="BB91" s="217"/>
      <c r="BC91" s="56"/>
      <c r="BD91" s="84">
        <f t="shared" si="14"/>
        <v>0</v>
      </c>
      <c r="BE91" s="56"/>
      <c r="BF91" s="56"/>
      <c r="BG91" s="56"/>
      <c r="BH91" s="72"/>
    </row>
    <row r="92" spans="1:62" ht="20.100000000000001" customHeight="1" outlineLevel="1">
      <c r="A92" s="77" t="s">
        <v>43</v>
      </c>
      <c r="B92" s="77" t="s">
        <v>237</v>
      </c>
      <c r="C92" s="77" t="s">
        <v>1080</v>
      </c>
      <c r="D92" s="78" t="s">
        <v>46</v>
      </c>
      <c r="E92" s="78" t="str">
        <f t="shared" si="9"/>
        <v>000</v>
      </c>
      <c r="F92" s="3">
        <v>661001</v>
      </c>
      <c r="G92" s="140" t="s">
        <v>306</v>
      </c>
      <c r="H92" s="141"/>
      <c r="I92" s="139">
        <v>15690</v>
      </c>
      <c r="J92" s="13">
        <v>23479</v>
      </c>
      <c r="L92" s="56">
        <v>23975</v>
      </c>
      <c r="M92" s="56"/>
      <c r="N92" s="56">
        <v>34800</v>
      </c>
      <c r="O92" s="56"/>
      <c r="P92" s="56">
        <v>34800</v>
      </c>
      <c r="Q92" s="56"/>
      <c r="R92" s="56">
        <v>34800</v>
      </c>
      <c r="S92" s="56"/>
      <c r="T92" s="56">
        <v>0</v>
      </c>
      <c r="U92" s="56"/>
      <c r="V92" s="56">
        <v>34800</v>
      </c>
      <c r="W92" s="56"/>
      <c r="X92" s="56">
        <v>29588.400000000001</v>
      </c>
      <c r="Y92" s="56"/>
      <c r="Z92" s="56">
        <v>34800</v>
      </c>
      <c r="AA92" s="56"/>
      <c r="AB92" s="56"/>
      <c r="AC92" s="56"/>
      <c r="AD92" s="56">
        <v>1289</v>
      </c>
      <c r="AE92" s="56"/>
      <c r="AF92" s="56">
        <f t="shared" si="11"/>
        <v>36089</v>
      </c>
      <c r="AG92" s="56">
        <v>0</v>
      </c>
      <c r="AH92" s="56">
        <v>0</v>
      </c>
      <c r="AI92" s="56"/>
      <c r="AJ92" s="56">
        <f t="shared" si="12"/>
        <v>36089</v>
      </c>
      <c r="AK92" s="85"/>
      <c r="AL92" s="56">
        <v>0</v>
      </c>
      <c r="AM92" s="56"/>
      <c r="AN92" s="88">
        <v>25375.54</v>
      </c>
      <c r="AO92" s="88">
        <v>0</v>
      </c>
      <c r="AP92" s="88">
        <v>20058.7</v>
      </c>
      <c r="AQ92" s="56"/>
      <c r="AR92" s="56">
        <v>0</v>
      </c>
      <c r="AS92" s="56"/>
      <c r="AT92" s="56">
        <v>376.45</v>
      </c>
      <c r="AU92" s="56"/>
      <c r="AV92" s="56">
        <f>SUM(AP92:AU92)</f>
        <v>20435.150000000001</v>
      </c>
      <c r="AW92" s="56"/>
      <c r="AX92" s="56">
        <v>0</v>
      </c>
      <c r="AY92" s="56"/>
      <c r="AZ92" s="88">
        <v>36000</v>
      </c>
      <c r="BA92" s="56">
        <v>36000</v>
      </c>
      <c r="BB92" s="217"/>
      <c r="BC92" s="56"/>
      <c r="BD92" s="84">
        <f t="shared" si="14"/>
        <v>-5316.84</v>
      </c>
      <c r="BE92" s="56"/>
      <c r="BF92" s="56"/>
      <c r="BG92" s="56"/>
      <c r="BH92" s="72"/>
    </row>
    <row r="93" spans="1:62" ht="20.100000000000001" customHeight="1" outlineLevel="1">
      <c r="A93" s="77" t="s">
        <v>43</v>
      </c>
      <c r="B93" s="77" t="s">
        <v>307</v>
      </c>
      <c r="C93" s="77" t="s">
        <v>1080</v>
      </c>
      <c r="D93" s="78" t="s">
        <v>46</v>
      </c>
      <c r="E93" s="78" t="str">
        <f>+D93</f>
        <v>000</v>
      </c>
      <c r="F93" s="3">
        <v>611121</v>
      </c>
      <c r="G93" s="140" t="s">
        <v>308</v>
      </c>
      <c r="H93" s="141"/>
      <c r="I93" s="139">
        <v>815126</v>
      </c>
      <c r="J93" s="13">
        <v>838926</v>
      </c>
      <c r="L93" s="56">
        <v>879213</v>
      </c>
      <c r="M93" s="56"/>
      <c r="N93" s="56">
        <v>964775</v>
      </c>
      <c r="O93" s="56"/>
      <c r="P93" s="56">
        <v>964775</v>
      </c>
      <c r="Q93" s="56"/>
      <c r="R93" s="56">
        <v>997513</v>
      </c>
      <c r="S93" s="56"/>
      <c r="T93" s="56">
        <v>0</v>
      </c>
      <c r="U93" s="56"/>
      <c r="V93" s="56">
        <v>997513</v>
      </c>
      <c r="W93" s="56"/>
      <c r="X93" s="56">
        <v>979512.76</v>
      </c>
      <c r="Y93" s="56"/>
      <c r="Z93" s="56">
        <v>981611</v>
      </c>
      <c r="AA93" s="56"/>
      <c r="AB93" s="56"/>
      <c r="AC93" s="56"/>
      <c r="AD93" s="56"/>
      <c r="AE93" s="56"/>
      <c r="AF93" s="56">
        <f t="shared" si="11"/>
        <v>981611</v>
      </c>
      <c r="AG93" s="104">
        <v>77836</v>
      </c>
      <c r="AH93" s="56">
        <f>14*1250</f>
        <v>17500</v>
      </c>
      <c r="AI93" s="56"/>
      <c r="AJ93" s="56">
        <f t="shared" si="12"/>
        <v>1076947</v>
      </c>
      <c r="AK93" s="85"/>
      <c r="AL93" s="56">
        <v>0</v>
      </c>
      <c r="AM93" s="56"/>
      <c r="AN93" s="88">
        <v>1051387.3999999999</v>
      </c>
      <c r="AO93" s="88">
        <v>0</v>
      </c>
      <c r="AP93" s="88">
        <v>977560.8</v>
      </c>
      <c r="AQ93" s="56"/>
      <c r="AR93" s="56">
        <v>0</v>
      </c>
      <c r="AS93" s="56"/>
      <c r="AT93" s="56">
        <v>0</v>
      </c>
      <c r="AU93" s="56"/>
      <c r="AV93" s="56">
        <f>SUM(AP93:AU93)</f>
        <v>977560.8</v>
      </c>
      <c r="AW93" s="56"/>
      <c r="AX93" s="56">
        <v>0</v>
      </c>
      <c r="AY93" s="56"/>
      <c r="AZ93" s="88">
        <v>976648</v>
      </c>
      <c r="BA93" s="56">
        <v>986780</v>
      </c>
      <c r="BB93" s="217"/>
      <c r="BC93" s="56"/>
      <c r="BD93" s="84">
        <f t="shared" si="14"/>
        <v>-73826.59999999986</v>
      </c>
      <c r="BE93" s="56"/>
      <c r="BF93" s="56"/>
      <c r="BG93" s="56"/>
      <c r="BH93" s="72">
        <v>1</v>
      </c>
      <c r="BJ93">
        <v>1</v>
      </c>
    </row>
    <row r="94" spans="1:62" ht="20.100000000000001" customHeight="1" outlineLevel="1">
      <c r="A94" s="77" t="s">
        <v>43</v>
      </c>
      <c r="B94" s="77" t="s">
        <v>309</v>
      </c>
      <c r="C94" s="77" t="s">
        <v>1080</v>
      </c>
      <c r="D94" s="78" t="s">
        <v>46</v>
      </c>
      <c r="E94" s="78" t="str">
        <f>+D94</f>
        <v>000</v>
      </c>
      <c r="F94" s="3">
        <v>611123</v>
      </c>
      <c r="G94" s="140" t="s">
        <v>310</v>
      </c>
      <c r="H94" s="141"/>
      <c r="I94" s="139">
        <v>1165364</v>
      </c>
      <c r="J94" s="13">
        <v>1231062</v>
      </c>
      <c r="L94" s="56">
        <v>1288320</v>
      </c>
      <c r="M94" s="56"/>
      <c r="N94" s="56">
        <v>1417712</v>
      </c>
      <c r="O94" s="56"/>
      <c r="P94" s="56">
        <v>1417712</v>
      </c>
      <c r="Q94" s="56"/>
      <c r="R94" s="56">
        <v>1492188</v>
      </c>
      <c r="S94" s="56"/>
      <c r="T94" s="56">
        <v>0</v>
      </c>
      <c r="U94" s="56"/>
      <c r="V94" s="56">
        <v>1492188</v>
      </c>
      <c r="W94" s="56"/>
      <c r="X94" s="56">
        <v>1530836.23</v>
      </c>
      <c r="Y94" s="56"/>
      <c r="Z94" s="56">
        <v>1578379</v>
      </c>
      <c r="AA94" s="56"/>
      <c r="AB94" s="56"/>
      <c r="AC94" s="56"/>
      <c r="AD94" s="56"/>
      <c r="AE94" s="56"/>
      <c r="AF94" s="56">
        <f t="shared" si="11"/>
        <v>1578379</v>
      </c>
      <c r="AG94" s="104">
        <v>43447</v>
      </c>
      <c r="AH94" s="56">
        <f>20*1250</f>
        <v>25000</v>
      </c>
      <c r="AI94" s="56"/>
      <c r="AJ94" s="56">
        <f t="shared" si="12"/>
        <v>1646826</v>
      </c>
      <c r="AK94" s="85"/>
      <c r="AL94" s="56">
        <v>0</v>
      </c>
      <c r="AM94" s="56"/>
      <c r="AN94" s="88">
        <v>1627360.03</v>
      </c>
      <c r="AO94" s="88">
        <v>0</v>
      </c>
      <c r="AP94" s="88">
        <v>1659229</v>
      </c>
      <c r="AQ94" s="56"/>
      <c r="AR94" s="56">
        <v>0</v>
      </c>
      <c r="AS94" s="56"/>
      <c r="AT94" s="56">
        <v>0</v>
      </c>
      <c r="AU94" s="56"/>
      <c r="AV94" s="56">
        <f>SUM(AP94:AU94)</f>
        <v>1659229</v>
      </c>
      <c r="AW94" s="56"/>
      <c r="AX94" s="106">
        <v>-21638</v>
      </c>
      <c r="AY94" s="56"/>
      <c r="AZ94" s="88">
        <v>1698474</v>
      </c>
      <c r="BA94" s="56">
        <v>1714519</v>
      </c>
      <c r="BB94" s="217"/>
      <c r="BC94" s="56"/>
      <c r="BD94" s="84">
        <f t="shared" si="14"/>
        <v>31868.969999999972</v>
      </c>
      <c r="BE94" s="56"/>
      <c r="BF94" s="56"/>
      <c r="BG94" s="56"/>
      <c r="BH94" s="72">
        <v>1</v>
      </c>
      <c r="BJ94">
        <v>1</v>
      </c>
    </row>
    <row r="95" spans="1:62" ht="20.100000000000001" customHeight="1" outlineLevel="1">
      <c r="A95" s="77" t="s">
        <v>43</v>
      </c>
      <c r="B95" s="77" t="s">
        <v>91</v>
      </c>
      <c r="C95" s="77" t="s">
        <v>1080</v>
      </c>
      <c r="D95" s="78" t="s">
        <v>46</v>
      </c>
      <c r="E95" s="78" t="str">
        <f>+D95</f>
        <v>000</v>
      </c>
      <c r="F95" s="3">
        <v>673001</v>
      </c>
      <c r="G95" s="140" t="s">
        <v>376</v>
      </c>
      <c r="H95" s="141"/>
      <c r="I95" s="139">
        <v>0</v>
      </c>
      <c r="J95" s="13">
        <v>0</v>
      </c>
      <c r="L95" s="56">
        <v>0</v>
      </c>
      <c r="M95" s="56"/>
      <c r="N95" s="56">
        <v>0</v>
      </c>
      <c r="O95" s="56"/>
      <c r="P95" s="56">
        <v>0</v>
      </c>
      <c r="Q95" s="56"/>
      <c r="R95" s="56">
        <v>0</v>
      </c>
      <c r="S95" s="56"/>
      <c r="T95" s="56">
        <v>0</v>
      </c>
      <c r="U95" s="56"/>
      <c r="V95" s="56">
        <v>0</v>
      </c>
      <c r="W95" s="56"/>
      <c r="X95" s="56">
        <v>0</v>
      </c>
      <c r="Y95" s="56"/>
      <c r="Z95" s="56">
        <v>0</v>
      </c>
      <c r="AA95" s="56"/>
      <c r="AB95" s="56"/>
      <c r="AC95" s="56"/>
      <c r="AD95" s="56"/>
      <c r="AE95" s="56"/>
      <c r="AF95" s="56">
        <f t="shared" si="11"/>
        <v>0</v>
      </c>
      <c r="AG95" s="56">
        <v>0</v>
      </c>
      <c r="AH95" s="56">
        <v>0</v>
      </c>
      <c r="AI95" s="56"/>
      <c r="AJ95" s="56">
        <f t="shared" si="12"/>
        <v>0</v>
      </c>
      <c r="AK95" s="85"/>
      <c r="AL95" s="56">
        <v>0</v>
      </c>
      <c r="AM95" s="56"/>
      <c r="AN95" s="88">
        <f>SUM(AI95:AM95)</f>
        <v>0</v>
      </c>
      <c r="AO95" s="88">
        <v>0</v>
      </c>
      <c r="AP95" s="88">
        <v>0</v>
      </c>
      <c r="AQ95" s="56"/>
      <c r="AR95" s="56">
        <v>0</v>
      </c>
      <c r="AS95" s="56"/>
      <c r="AT95" s="56">
        <v>0</v>
      </c>
      <c r="AU95" s="56"/>
      <c r="AV95" s="56">
        <f>SUM(AP95:AU95)</f>
        <v>0</v>
      </c>
      <c r="AW95" s="56"/>
      <c r="AX95" s="56">
        <v>0</v>
      </c>
      <c r="AY95" s="56"/>
      <c r="AZ95" s="88">
        <v>0</v>
      </c>
      <c r="BA95" s="56">
        <v>0</v>
      </c>
      <c r="BB95" s="217"/>
      <c r="BC95" s="56"/>
      <c r="BD95" s="84">
        <f t="shared" si="14"/>
        <v>0</v>
      </c>
      <c r="BE95" s="56"/>
      <c r="BF95" s="56"/>
      <c r="BG95" s="56"/>
      <c r="BH95" s="72"/>
    </row>
    <row r="96" spans="1:62">
      <c r="B96" s="77"/>
      <c r="C96" s="77"/>
      <c r="D96" s="90"/>
      <c r="E96" s="90"/>
      <c r="F96" s="3"/>
      <c r="G96" s="110" t="s">
        <v>377</v>
      </c>
      <c r="H96" s="81"/>
      <c r="I96" s="92">
        <v>20909960</v>
      </c>
      <c r="J96" s="93">
        <v>21393023</v>
      </c>
      <c r="L96" s="125">
        <v>24037932</v>
      </c>
      <c r="M96" s="126"/>
      <c r="N96" s="125">
        <v>25672921</v>
      </c>
      <c r="O96" s="126"/>
      <c r="P96" s="125">
        <v>25717854</v>
      </c>
      <c r="Q96" s="126"/>
      <c r="R96" s="125">
        <v>27705646</v>
      </c>
      <c r="S96" s="95"/>
      <c r="T96" s="94">
        <v>0</v>
      </c>
      <c r="U96" s="126"/>
      <c r="V96" s="125">
        <v>27705646</v>
      </c>
      <c r="W96" s="126"/>
      <c r="X96" s="125">
        <f>SUBTOTAL(9,X26:X95)</f>
        <v>27490419.740000013</v>
      </c>
      <c r="Y96" s="126"/>
      <c r="Z96" s="125">
        <f>SUBTOTAL(9,Z26:Z95)</f>
        <v>27650226.329999998</v>
      </c>
      <c r="AA96" s="126"/>
      <c r="AB96" s="125">
        <f>SUBTOTAL(9,AB26:AB95)</f>
        <v>0</v>
      </c>
      <c r="AC96" s="126"/>
      <c r="AD96" s="125">
        <f>SUBTOTAL(9,AD26:AD95)</f>
        <v>2540</v>
      </c>
      <c r="AE96" s="126"/>
      <c r="AF96" s="125">
        <f>SUBTOTAL(9,AF26:AF95)</f>
        <v>27652766.329999998</v>
      </c>
      <c r="AG96" s="125">
        <f>SUBTOTAL(9,AG26:AG95)</f>
        <v>1417337</v>
      </c>
      <c r="AH96" s="125">
        <f>SUBTOTAL(9,AH26:AH95)</f>
        <v>808267</v>
      </c>
      <c r="AI96" s="126"/>
      <c r="AJ96" s="125">
        <f>SUBTOTAL(9,AJ26:AJ95)</f>
        <v>29878370.329999998</v>
      </c>
      <c r="AK96" s="96"/>
      <c r="AL96" s="125">
        <f>SUBTOTAL(9,AL26:AL95)</f>
        <v>-5631</v>
      </c>
      <c r="AM96" s="126"/>
      <c r="AN96" s="127">
        <f>SUBTOTAL(9,AN26:AN95)</f>
        <v>29660653.73</v>
      </c>
      <c r="AO96" s="127">
        <f>SUBTOTAL(9,AO26:AO95)</f>
        <v>0</v>
      </c>
      <c r="AP96" s="127">
        <f>SUBTOTAL(9,AP26:AP95)</f>
        <v>28457762.5</v>
      </c>
      <c r="AQ96" s="126"/>
      <c r="AR96" s="125">
        <f>SUBTOTAL(9,AR26:AR95)</f>
        <v>1000</v>
      </c>
      <c r="AS96" s="126"/>
      <c r="AT96" s="125">
        <f>SUBTOTAL(9,AT26:AT95)</f>
        <v>765.45</v>
      </c>
      <c r="AU96" s="126"/>
      <c r="AV96" s="125">
        <f>SUBTOTAL(9,AV26:AV95)</f>
        <v>28290888.620000001</v>
      </c>
      <c r="AW96" s="126"/>
      <c r="AX96" s="125">
        <f>SUBTOTAL(9,AX26:AX95)</f>
        <v>402145</v>
      </c>
      <c r="AY96" s="126"/>
      <c r="AZ96" s="125">
        <f>SUBTOTAL(9,AZ26:AZ95)</f>
        <v>26968950</v>
      </c>
      <c r="BA96" s="125">
        <f>SUBTOTAL(9,BA26:BA95)</f>
        <v>27892102</v>
      </c>
      <c r="BB96" s="217"/>
      <c r="BC96" s="56"/>
      <c r="BD96" s="98">
        <f t="shared" si="14"/>
        <v>-1202891.2300000004</v>
      </c>
      <c r="BE96" s="126"/>
      <c r="BF96" s="126"/>
      <c r="BG96" s="126"/>
    </row>
    <row r="97" spans="1:61">
      <c r="A97" s="74"/>
      <c r="B97" s="74"/>
      <c r="C97" s="74"/>
      <c r="D97" s="3"/>
      <c r="E97" s="3"/>
      <c r="F97" s="3"/>
      <c r="G97" s="188"/>
      <c r="AK97" s="210"/>
      <c r="BI97" s="211"/>
    </row>
    <row r="98" spans="1:61">
      <c r="AK98" s="212"/>
    </row>
    <row r="99" spans="1:61">
      <c r="AK99" s="212"/>
    </row>
    <row r="100" spans="1:61">
      <c r="L100" s="168"/>
      <c r="M100" s="168"/>
      <c r="N100" s="168"/>
      <c r="O100" s="168"/>
      <c r="P100" s="168"/>
      <c r="Q100" s="168"/>
      <c r="S100" s="168"/>
      <c r="T100" s="168"/>
      <c r="U100" s="168"/>
      <c r="W100" s="168"/>
      <c r="X100" s="168"/>
      <c r="Y100" s="168"/>
      <c r="AA100" s="168"/>
      <c r="AC100" s="168"/>
      <c r="AE100" s="168"/>
      <c r="AI100" s="168"/>
      <c r="AK100" s="210"/>
      <c r="AM100" s="168"/>
      <c r="AQ100" s="168"/>
      <c r="AS100" s="168"/>
      <c r="AU100" s="168"/>
    </row>
    <row r="101" spans="1:61">
      <c r="L101" s="168"/>
      <c r="M101" s="168"/>
      <c r="N101" s="168"/>
      <c r="O101" s="168"/>
      <c r="P101" s="168"/>
      <c r="Q101" s="168"/>
      <c r="S101" s="168"/>
      <c r="T101" s="168"/>
      <c r="U101" s="168"/>
      <c r="W101" s="168"/>
      <c r="X101" s="168"/>
      <c r="Y101" s="168"/>
      <c r="AA101" s="168"/>
      <c r="AC101" s="168"/>
      <c r="AE101" s="168"/>
      <c r="AI101" s="168"/>
      <c r="AK101" s="210"/>
      <c r="AM101" s="168"/>
      <c r="AQ101" s="168"/>
      <c r="AS101" s="168"/>
      <c r="AU101" s="168"/>
    </row>
    <row r="102" spans="1:61">
      <c r="AK102" s="212"/>
    </row>
    <row r="137" spans="18:63">
      <c r="R137" s="7">
        <v>420044982</v>
      </c>
      <c r="BI137" s="211"/>
      <c r="BJ137" s="7"/>
      <c r="BK137" s="7"/>
    </row>
    <row r="138" spans="18:63">
      <c r="BI138" s="211"/>
      <c r="BJ138" s="7"/>
    </row>
  </sheetData>
  <autoFilter ref="A9:BH96"/>
  <mergeCells count="8">
    <mergeCell ref="A6:F6"/>
    <mergeCell ref="A7:F7"/>
    <mergeCell ref="AB5:AD5"/>
    <mergeCell ref="A8:E8"/>
    <mergeCell ref="AG2:AH2"/>
    <mergeCell ref="AG3:AH3"/>
    <mergeCell ref="AG4:AH4"/>
    <mergeCell ref="AB4:AD4"/>
  </mergeCells>
  <phoneticPr fontId="3" type="noConversion"/>
  <conditionalFormatting sqref="F1:F1048576">
    <cfRule type="cellIs" dxfId="30" priority="1" stopIfTrue="1" operator="between">
      <formula>610000</formula>
      <formula>619999</formula>
    </cfRule>
  </conditionalFormatting>
  <pageMargins left="0.54" right="0.25" top="0.24" bottom="0.49" header="0.25" footer="0"/>
  <pageSetup scale="76" fitToHeight="0" orientation="landscape" r:id="rId1"/>
  <headerFooter alignWithMargins="0">
    <oddFooter>&amp;C&amp;8Detail of Expenditures Budget By Department, Page &amp;P of &amp;N</oddFooter>
  </headerFooter>
  <legacyDrawing r:id="rId2"/>
</worksheet>
</file>

<file path=xl/worksheets/sheet8.xml><?xml version="1.0" encoding="utf-8"?>
<worksheet xmlns="http://schemas.openxmlformats.org/spreadsheetml/2006/main" xmlns:r="http://schemas.openxmlformats.org/officeDocument/2006/relationships">
  <sheetPr codeName="Sheet11" enableFormatConditionsCalculation="0">
    <tabColor indexed="17"/>
    <pageSetUpPr fitToPage="1"/>
  </sheetPr>
  <dimension ref="A1:BJ132"/>
  <sheetViews>
    <sheetView zoomScale="87" zoomScaleNormal="90" workbookViewId="0">
      <pane xSplit="8" ySplit="9" topLeftCell="AN10" activePane="bottomRight" state="frozen"/>
      <selection activeCell="A28" sqref="A28"/>
      <selection pane="topRight" activeCell="A28" sqref="A28"/>
      <selection pane="bottomLeft" activeCell="A28" sqref="A28"/>
      <selection pane="bottomRight"/>
    </sheetView>
  </sheetViews>
  <sheetFormatPr defaultRowHeight="12.75" outlineLevelRow="1" outlineLevelCol="1"/>
  <cols>
    <col min="1" max="1" width="7" style="39" customWidth="1" outlineLevel="1"/>
    <col min="2" max="2" width="6.140625" style="39" customWidth="1" outlineLevel="1"/>
    <col min="3" max="3" width="3.7109375" style="39" customWidth="1" outlineLevel="1"/>
    <col min="4" max="5" width="4.85546875" style="168" customWidth="1" outlineLevel="1"/>
    <col min="6" max="6" width="8.7109375" style="40" customWidth="1" outlineLevel="1"/>
    <col min="7" max="7" width="28.5703125" style="4" customWidth="1"/>
    <col min="8" max="8" width="16.5703125" style="4" hidden="1" customWidth="1"/>
    <col min="9" max="10" width="15.140625" style="4" hidden="1" customWidth="1" collapsed="1"/>
    <col min="11" max="11" width="39.5703125" style="4" hidden="1" customWidth="1"/>
    <col min="12" max="12" width="15.140625" style="7" bestFit="1" customWidth="1" collapsed="1"/>
    <col min="13" max="13" width="31.7109375" style="7" hidden="1" customWidth="1"/>
    <col min="14" max="14" width="35.5703125" style="7" hidden="1" customWidth="1" collapsed="1"/>
    <col min="15" max="15" width="0.140625" style="7" customWidth="1"/>
    <col min="16" max="16" width="25.28515625" style="7" hidden="1" customWidth="1" outlineLevel="1" collapsed="1"/>
    <col min="17" max="17" width="23.42578125" style="7" hidden="1" customWidth="1" outlineLevel="1"/>
    <col min="18" max="18" width="20.5703125" style="7" hidden="1" customWidth="1" outlineLevel="1" collapsed="1"/>
    <col min="19" max="19" width="18" style="7" hidden="1" customWidth="1" outlineLevel="1"/>
    <col min="20" max="20" width="19.5703125" style="7" hidden="1" customWidth="1" outlineLevel="1"/>
    <col min="21" max="21" width="18.42578125" style="7" hidden="1" customWidth="1" outlineLevel="1"/>
    <col min="22" max="22" width="13.140625" style="7" hidden="1" customWidth="1"/>
    <col min="23" max="23" width="14.140625" style="7" hidden="1" customWidth="1"/>
    <col min="24" max="24" width="14.5703125" style="7" customWidth="1" collapsed="1"/>
    <col min="25" max="25" width="0.85546875" style="7" hidden="1" customWidth="1"/>
    <col min="26" max="26" width="16.140625" style="7" hidden="1" customWidth="1"/>
    <col min="27" max="27" width="0.140625" style="7" hidden="1" customWidth="1"/>
    <col min="28" max="28" width="16.140625" style="7" hidden="1" customWidth="1" outlineLevel="1"/>
    <col min="29" max="29" width="0.42578125" style="7" hidden="1" customWidth="1" outlineLevel="1"/>
    <col min="30" max="30" width="17.85546875" style="7" hidden="1" customWidth="1" outlineLevel="1"/>
    <col min="31" max="31" width="0.42578125" style="7" hidden="1" customWidth="1" outlineLevel="1"/>
    <col min="32" max="32" width="16.140625" style="7" hidden="1" customWidth="1" collapsed="1"/>
    <col min="33" max="33" width="16" style="7" hidden="1" customWidth="1" outlineLevel="1"/>
    <col min="34" max="34" width="17" style="7" hidden="1" customWidth="1" outlineLevel="1"/>
    <col min="35" max="35" width="10.5703125" style="7" hidden="1" customWidth="1" outlineLevel="1"/>
    <col min="36" max="36" width="16.140625" style="7" hidden="1" customWidth="1" collapsed="1"/>
    <col min="37" max="37" width="0.7109375" style="7" hidden="1" customWidth="1"/>
    <col min="38" max="38" width="16.140625" style="7" hidden="1" customWidth="1" outlineLevel="1"/>
    <col min="39" max="39" width="4.140625" style="7" hidden="1" customWidth="1" outlineLevel="1"/>
    <col min="40" max="40" width="16.140625" style="17" customWidth="1" collapsed="1"/>
    <col min="41" max="41" width="16.140625" style="17" hidden="1" customWidth="1" collapsed="1"/>
    <col min="42" max="42" width="16.140625" style="17" customWidth="1" collapsed="1"/>
    <col min="43" max="43" width="0.7109375" style="7" hidden="1" customWidth="1" outlineLevel="1"/>
    <col min="44" max="44" width="22.140625" style="7" hidden="1" customWidth="1" outlineLevel="1"/>
    <col min="45" max="45" width="0.42578125" style="7" hidden="1" customWidth="1" outlineLevel="1"/>
    <col min="46" max="46" width="17.85546875" style="7" hidden="1" customWidth="1" outlineLevel="1"/>
    <col min="47" max="47" width="0.42578125" style="7" hidden="1" customWidth="1" outlineLevel="1"/>
    <col min="48" max="48" width="18" style="7" hidden="1" customWidth="1" collapsed="1"/>
    <col min="49" max="49" width="0.5703125" style="7" hidden="1" customWidth="1"/>
    <col min="50" max="50" width="18" style="7" hidden="1" customWidth="1"/>
    <col min="51" max="51" width="0.5703125" style="7" customWidth="1"/>
    <col min="52" max="52" width="16.140625" style="17" customWidth="1" collapsed="1"/>
    <col min="53" max="53" width="15.7109375" style="7" bestFit="1" customWidth="1"/>
    <col min="54" max="54" width="15.140625" style="7" customWidth="1"/>
    <col min="55" max="55" width="23.140625" style="7" customWidth="1"/>
    <col min="56" max="56" width="19.85546875" style="7" bestFit="1" customWidth="1"/>
    <col min="57" max="59" width="12.42578125" style="7" customWidth="1"/>
    <col min="60" max="60" width="3.85546875" style="76" customWidth="1"/>
    <col min="61" max="61" width="14.5703125" style="12" bestFit="1" customWidth="1"/>
  </cols>
  <sheetData>
    <row r="1" spans="1:62" ht="15">
      <c r="A1" s="1" t="s">
        <v>0</v>
      </c>
      <c r="B1" s="2"/>
      <c r="C1" s="2"/>
      <c r="D1" s="1"/>
      <c r="E1" s="1"/>
      <c r="F1" s="3"/>
      <c r="H1" s="5"/>
      <c r="I1" s="6"/>
      <c r="T1" s="8"/>
      <c r="Z1" s="9"/>
      <c r="AB1" s="9"/>
      <c r="AD1" s="9"/>
      <c r="AF1" s="9"/>
      <c r="AH1" s="10" t="e">
        <f>+#REF!</f>
        <v>#REF!</v>
      </c>
      <c r="AJ1" s="9"/>
      <c r="AK1" s="9"/>
      <c r="AN1" s="9"/>
      <c r="AO1" s="9"/>
      <c r="AP1" s="9"/>
      <c r="AR1" s="9"/>
      <c r="AT1" s="9"/>
      <c r="AV1" s="9"/>
      <c r="AW1" s="9"/>
      <c r="AX1" s="9"/>
      <c r="AY1" s="9"/>
      <c r="AZ1" s="9"/>
      <c r="BA1" s="9"/>
      <c r="BB1" s="9"/>
      <c r="BC1" s="9"/>
      <c r="BD1" s="9"/>
      <c r="BE1" s="9"/>
      <c r="BF1" s="9"/>
      <c r="BG1" s="9"/>
      <c r="BH1" s="11"/>
    </row>
    <row r="2" spans="1:62" ht="15">
      <c r="A2" s="1" t="s">
        <v>1053</v>
      </c>
      <c r="B2" s="2"/>
      <c r="C2" s="2"/>
      <c r="D2" s="1"/>
      <c r="E2" s="1"/>
      <c r="F2" s="3"/>
      <c r="H2" s="5"/>
      <c r="I2" s="13"/>
      <c r="J2" s="14"/>
      <c r="K2" s="14"/>
      <c r="L2" s="15"/>
      <c r="M2" s="15"/>
      <c r="N2" s="15"/>
      <c r="O2" s="15"/>
      <c r="P2" s="15"/>
      <c r="R2" s="15"/>
      <c r="T2" s="8"/>
      <c r="V2" s="15"/>
      <c r="X2" s="15"/>
      <c r="Z2" s="15"/>
      <c r="AB2" s="15"/>
      <c r="AD2" s="15"/>
      <c r="AF2" s="15"/>
      <c r="AG2" s="238" t="s">
        <v>1</v>
      </c>
      <c r="AH2" s="238"/>
      <c r="AI2" s="17"/>
      <c r="AJ2" s="18"/>
      <c r="AK2" s="15"/>
      <c r="AL2" s="10" t="e">
        <f>+#REF!</f>
        <v>#REF!</v>
      </c>
      <c r="AN2" s="18"/>
      <c r="AO2" s="18"/>
      <c r="AP2" s="18"/>
      <c r="AR2" s="15"/>
      <c r="AT2" s="15"/>
      <c r="AV2" s="15"/>
      <c r="AW2" s="15"/>
      <c r="AX2" s="15"/>
      <c r="AY2" s="15"/>
      <c r="AZ2" s="18"/>
      <c r="BA2" s="15"/>
      <c r="BB2" s="15"/>
      <c r="BC2" s="15"/>
      <c r="BD2" s="15"/>
      <c r="BE2" s="15"/>
      <c r="BF2" s="15"/>
      <c r="BG2" s="15"/>
      <c r="BH2" s="19"/>
    </row>
    <row r="3" spans="1:62">
      <c r="A3" s="20" t="str">
        <f>IF(G7=1,"DETAIL OF EXPENDITURES BUDGET BY DEPARTMENT WITH COMPARATIVE AMOUNTS", "SUMMARY OF EXPENDITURES BUDGET BY DEPARTMENT WITH COMPARATIVE AMOUNTS")</f>
        <v>DETAIL OF EXPENDITURES BUDGET BY DEPARTMENT WITH COMPARATIVE AMOUNTS</v>
      </c>
      <c r="B3" s="21"/>
      <c r="C3" s="21"/>
      <c r="D3" s="22"/>
      <c r="E3" s="22"/>
      <c r="F3" s="3"/>
      <c r="H3" s="5"/>
      <c r="I3" s="23"/>
      <c r="J3" s="15"/>
      <c r="L3" s="15"/>
      <c r="M3" s="10"/>
      <c r="N3" s="10"/>
      <c r="O3" s="10"/>
      <c r="P3" s="24"/>
      <c r="R3" s="24"/>
      <c r="V3" s="24"/>
      <c r="W3" s="24"/>
      <c r="X3" s="15"/>
      <c r="Y3" s="24"/>
      <c r="AA3" s="24"/>
      <c r="AB3" s="24" t="e">
        <f>+#REF!</f>
        <v>#REF!</v>
      </c>
      <c r="AC3" s="24"/>
      <c r="AD3" s="24" t="e">
        <f>+#REF!</f>
        <v>#REF!</v>
      </c>
      <c r="AE3" s="24"/>
      <c r="AF3" s="10" t="e">
        <f>+#REF!</f>
        <v>#REF!</v>
      </c>
      <c r="AG3" s="239" t="s">
        <v>2</v>
      </c>
      <c r="AH3" s="239"/>
      <c r="AI3" s="25"/>
      <c r="AJ3" s="25" t="e">
        <f>+#REF!</f>
        <v>#REF!</v>
      </c>
      <c r="AK3" s="24"/>
      <c r="AL3" s="16" t="s">
        <v>1</v>
      </c>
      <c r="AM3" s="25"/>
      <c r="AN3" s="25"/>
      <c r="AO3" s="25"/>
      <c r="AP3" s="25"/>
      <c r="AQ3" s="24"/>
      <c r="AR3" s="24" t="e">
        <f>+#REF!</f>
        <v>#REF!</v>
      </c>
      <c r="AS3" s="24"/>
      <c r="AT3" s="24" t="e">
        <f>+#REF!</f>
        <v>#REF!</v>
      </c>
      <c r="AU3" s="24"/>
      <c r="AV3" s="24" t="e">
        <f>+#REF!</f>
        <v>#REF!</v>
      </c>
      <c r="AW3" s="24"/>
      <c r="AX3" s="24" t="e">
        <f>+#REF!</f>
        <v>#REF!</v>
      </c>
      <c r="AY3" s="24"/>
      <c r="AZ3" s="25"/>
      <c r="BA3" s="24"/>
      <c r="BB3" s="24"/>
      <c r="BC3" s="24"/>
      <c r="BD3" s="26"/>
      <c r="BE3" s="26"/>
      <c r="BF3" s="26"/>
      <c r="BG3" s="26"/>
      <c r="BH3" s="27"/>
    </row>
    <row r="4" spans="1:62" ht="15">
      <c r="A4" s="28" t="s">
        <v>1070</v>
      </c>
      <c r="B4" s="29"/>
      <c r="C4" s="29"/>
      <c r="D4" s="28"/>
      <c r="E4" s="28"/>
      <c r="F4" s="3"/>
      <c r="H4" s="30"/>
      <c r="I4" s="31" t="e">
        <f>+#REF!</f>
        <v>#REF!</v>
      </c>
      <c r="J4" s="31" t="e">
        <f>+#REF!</f>
        <v>#REF!</v>
      </c>
      <c r="L4" s="31"/>
      <c r="M4" s="32"/>
      <c r="N4" s="33"/>
      <c r="O4" s="32"/>
      <c r="P4" s="33"/>
      <c r="R4" s="33"/>
      <c r="T4" s="33"/>
      <c r="X4" s="31"/>
      <c r="Z4" s="10"/>
      <c r="AB4" s="241"/>
      <c r="AC4" s="241"/>
      <c r="AD4" s="241"/>
      <c r="AE4" s="35"/>
      <c r="AF4" s="34"/>
      <c r="AG4" s="240"/>
      <c r="AH4" s="240"/>
      <c r="AI4" s="17"/>
      <c r="AJ4" s="16"/>
      <c r="AK4" s="24"/>
      <c r="AL4" s="16"/>
      <c r="AM4" s="17"/>
      <c r="AN4" s="31"/>
      <c r="AO4" s="31"/>
      <c r="AP4" s="31"/>
      <c r="AR4" s="34" t="s">
        <v>5</v>
      </c>
      <c r="AU4" s="35"/>
      <c r="AV4" s="34"/>
      <c r="AW4" s="34"/>
      <c r="AX4" s="34" t="s">
        <v>5</v>
      </c>
      <c r="AY4" s="34"/>
      <c r="AZ4" s="31"/>
      <c r="BA4" s="34"/>
      <c r="BB4" s="34"/>
      <c r="BC4" s="34"/>
      <c r="BD4" s="37"/>
      <c r="BE4" s="37"/>
      <c r="BF4" s="37"/>
      <c r="BG4" s="37"/>
      <c r="BH4" s="38"/>
    </row>
    <row r="5" spans="1:62" ht="15">
      <c r="B5" s="29"/>
      <c r="C5" s="29"/>
      <c r="D5" s="28"/>
      <c r="E5" s="28"/>
      <c r="G5" s="28"/>
      <c r="H5" s="5"/>
      <c r="I5" s="41" t="s">
        <v>6</v>
      </c>
      <c r="J5" s="42" t="s">
        <v>7</v>
      </c>
      <c r="L5" s="16" t="s">
        <v>8</v>
      </c>
      <c r="M5" s="16"/>
      <c r="N5" s="16" t="s">
        <v>9</v>
      </c>
      <c r="O5" s="16"/>
      <c r="P5" s="16" t="s">
        <v>9</v>
      </c>
      <c r="Q5" s="17"/>
      <c r="R5" s="43"/>
      <c r="S5" s="17"/>
      <c r="T5" s="16"/>
      <c r="U5" s="17"/>
      <c r="V5" s="16" t="s">
        <v>9</v>
      </c>
      <c r="X5" s="16" t="s">
        <v>9</v>
      </c>
      <c r="Z5" s="34" t="s">
        <v>1</v>
      </c>
      <c r="AB5" s="243" t="s">
        <v>10</v>
      </c>
      <c r="AC5" s="243"/>
      <c r="AD5" s="243"/>
      <c r="AE5" s="35"/>
      <c r="AF5" s="34" t="s">
        <v>1</v>
      </c>
      <c r="AG5" s="17"/>
      <c r="AH5" s="16" t="s">
        <v>11</v>
      </c>
      <c r="AI5" s="17"/>
      <c r="AJ5" s="16" t="s">
        <v>1</v>
      </c>
      <c r="AK5" s="24"/>
      <c r="AL5" s="43" t="s">
        <v>12</v>
      </c>
      <c r="AM5" s="17"/>
      <c r="AN5" s="16" t="s">
        <v>1</v>
      </c>
      <c r="AO5" s="45" t="s">
        <v>1</v>
      </c>
      <c r="AP5" s="16" t="s">
        <v>5</v>
      </c>
      <c r="AQ5" s="47"/>
      <c r="AR5" s="48" t="s">
        <v>10</v>
      </c>
      <c r="AS5" s="47"/>
      <c r="AT5" s="47"/>
      <c r="AU5" s="47"/>
      <c r="AV5" s="46" t="s">
        <v>5</v>
      </c>
      <c r="AW5" s="34"/>
      <c r="AX5" s="49" t="s">
        <v>3</v>
      </c>
      <c r="AY5" s="34"/>
      <c r="AZ5" s="46" t="s">
        <v>1054</v>
      </c>
      <c r="BA5" s="46" t="s">
        <v>1054</v>
      </c>
      <c r="BB5" s="34" t="s">
        <v>1069</v>
      </c>
      <c r="BC5" s="34"/>
      <c r="BD5" s="50" t="s">
        <v>13</v>
      </c>
      <c r="BE5" s="37"/>
      <c r="BF5" s="37"/>
      <c r="BG5" s="37"/>
      <c r="BH5" s="51"/>
    </row>
    <row r="6" spans="1:62">
      <c r="A6" s="242"/>
      <c r="B6" s="242"/>
      <c r="C6" s="242"/>
      <c r="D6" s="242"/>
      <c r="E6" s="242"/>
      <c r="F6" s="242"/>
      <c r="G6" s="22"/>
      <c r="H6" s="5"/>
      <c r="I6" s="52" t="s">
        <v>14</v>
      </c>
      <c r="J6" s="52" t="s">
        <v>14</v>
      </c>
      <c r="L6" s="43" t="s">
        <v>14</v>
      </c>
      <c r="M6" s="43"/>
      <c r="N6" s="43" t="s">
        <v>15</v>
      </c>
      <c r="O6" s="43"/>
      <c r="P6" s="43" t="s">
        <v>4</v>
      </c>
      <c r="Q6" s="17"/>
      <c r="R6" s="43" t="s">
        <v>4</v>
      </c>
      <c r="S6" s="43"/>
      <c r="T6" s="43" t="s">
        <v>16</v>
      </c>
      <c r="U6" s="43"/>
      <c r="V6" s="43" t="s">
        <v>4</v>
      </c>
      <c r="W6" s="43"/>
      <c r="X6" s="43" t="s">
        <v>14</v>
      </c>
      <c r="Y6" s="43"/>
      <c r="Z6" s="34" t="s">
        <v>17</v>
      </c>
      <c r="AA6" s="43"/>
      <c r="AB6" s="53" t="s">
        <v>16</v>
      </c>
      <c r="AC6" s="53"/>
      <c r="AD6" s="34"/>
      <c r="AE6" s="53"/>
      <c r="AF6" s="34" t="s">
        <v>17</v>
      </c>
      <c r="AG6" s="43" t="s">
        <v>16</v>
      </c>
      <c r="AH6" s="16" t="s">
        <v>18</v>
      </c>
      <c r="AI6" s="43"/>
      <c r="AJ6" s="16" t="s">
        <v>19</v>
      </c>
      <c r="AK6" s="24"/>
      <c r="AL6" s="43" t="s">
        <v>16</v>
      </c>
      <c r="AM6" s="43"/>
      <c r="AN6" s="43" t="s">
        <v>14</v>
      </c>
      <c r="AO6" s="45" t="s">
        <v>20</v>
      </c>
      <c r="AP6" s="43" t="s">
        <v>14</v>
      </c>
      <c r="AQ6" s="54"/>
      <c r="AR6" s="54" t="s">
        <v>16</v>
      </c>
      <c r="AS6" s="54"/>
      <c r="AT6" s="46"/>
      <c r="AU6" s="54"/>
      <c r="AV6" s="46" t="s">
        <v>19</v>
      </c>
      <c r="AW6" s="34"/>
      <c r="AX6" s="55" t="s">
        <v>16</v>
      </c>
      <c r="AY6" s="34"/>
      <c r="AZ6" s="46" t="s">
        <v>17</v>
      </c>
      <c r="BA6" s="46" t="s">
        <v>17</v>
      </c>
      <c r="BB6" s="34" t="s">
        <v>19</v>
      </c>
      <c r="BC6" s="56"/>
      <c r="BD6" s="50" t="s">
        <v>21</v>
      </c>
      <c r="BE6" s="37"/>
      <c r="BF6" s="37"/>
      <c r="BG6" s="37"/>
      <c r="BH6" s="57"/>
    </row>
    <row r="7" spans="1:62" ht="15">
      <c r="A7" s="237"/>
      <c r="B7" s="237"/>
      <c r="C7" s="237"/>
      <c r="D7" s="237"/>
      <c r="E7" s="237"/>
      <c r="F7" s="237"/>
      <c r="G7" s="59">
        <v>1</v>
      </c>
      <c r="H7" s="60"/>
      <c r="I7" s="52" t="s">
        <v>22</v>
      </c>
      <c r="J7" s="52" t="s">
        <v>22</v>
      </c>
      <c r="L7" s="43" t="s">
        <v>22</v>
      </c>
      <c r="M7" s="43"/>
      <c r="N7" s="43" t="s">
        <v>23</v>
      </c>
      <c r="O7" s="43"/>
      <c r="P7" s="43" t="s">
        <v>24</v>
      </c>
      <c r="Q7" s="43"/>
      <c r="R7" s="43" t="s">
        <v>24</v>
      </c>
      <c r="S7" s="43"/>
      <c r="T7" s="43" t="s">
        <v>25</v>
      </c>
      <c r="U7" s="43"/>
      <c r="V7" s="43" t="s">
        <v>24</v>
      </c>
      <c r="W7" s="43"/>
      <c r="X7" s="43" t="s">
        <v>22</v>
      </c>
      <c r="Y7" s="43"/>
      <c r="Z7" s="53" t="s">
        <v>15</v>
      </c>
      <c r="AA7" s="43"/>
      <c r="AB7" s="53" t="s">
        <v>26</v>
      </c>
      <c r="AC7" s="53"/>
      <c r="AD7" s="53"/>
      <c r="AE7" s="53"/>
      <c r="AF7" s="53" t="s">
        <v>4</v>
      </c>
      <c r="AG7" s="43" t="s">
        <v>26</v>
      </c>
      <c r="AH7" s="43" t="s">
        <v>27</v>
      </c>
      <c r="AI7" s="43"/>
      <c r="AJ7" s="43" t="s">
        <v>4</v>
      </c>
      <c r="AK7" s="24"/>
      <c r="AL7" s="43" t="s">
        <v>26</v>
      </c>
      <c r="AM7" s="43"/>
      <c r="AN7" s="43" t="s">
        <v>22</v>
      </c>
      <c r="AO7" s="61" t="s">
        <v>22</v>
      </c>
      <c r="AP7" s="43" t="s">
        <v>22</v>
      </c>
      <c r="AQ7" s="54"/>
      <c r="AR7" s="54" t="s">
        <v>26</v>
      </c>
      <c r="AS7" s="54"/>
      <c r="AT7" s="54"/>
      <c r="AU7" s="54"/>
      <c r="AV7" s="54" t="s">
        <v>4</v>
      </c>
      <c r="AW7" s="53"/>
      <c r="AX7" s="55" t="s">
        <v>26</v>
      </c>
      <c r="AY7" s="53"/>
      <c r="AZ7" s="54" t="s">
        <v>15</v>
      </c>
      <c r="BA7" s="54" t="s">
        <v>4</v>
      </c>
      <c r="BB7" s="34" t="s">
        <v>15</v>
      </c>
      <c r="BC7" s="56"/>
      <c r="BD7" s="50" t="s">
        <v>28</v>
      </c>
      <c r="BE7" s="62"/>
      <c r="BF7" s="62"/>
      <c r="BG7" s="62"/>
      <c r="BH7" s="57"/>
      <c r="BI7" s="63"/>
    </row>
    <row r="8" spans="1:62" ht="15">
      <c r="A8" s="237" t="s">
        <v>29</v>
      </c>
      <c r="B8" s="237"/>
      <c r="C8" s="237"/>
      <c r="D8" s="237"/>
      <c r="E8" s="237"/>
      <c r="F8" s="64" t="s">
        <v>30</v>
      </c>
      <c r="G8" s="64" t="s">
        <v>31</v>
      </c>
      <c r="H8" s="60"/>
      <c r="I8" s="65" t="s">
        <v>32</v>
      </c>
      <c r="J8" s="65" t="s">
        <v>32</v>
      </c>
      <c r="L8" s="66" t="s">
        <v>32</v>
      </c>
      <c r="M8" s="36"/>
      <c r="N8" s="36" t="s">
        <v>2</v>
      </c>
      <c r="O8" s="36"/>
      <c r="P8" s="36" t="s">
        <v>33</v>
      </c>
      <c r="Q8" s="36"/>
      <c r="R8" s="36" t="s">
        <v>34</v>
      </c>
      <c r="S8" s="36"/>
      <c r="T8" s="36" t="s">
        <v>35</v>
      </c>
      <c r="U8" s="36"/>
      <c r="V8" s="36" t="s">
        <v>36</v>
      </c>
      <c r="W8" s="36"/>
      <c r="X8" s="66" t="s">
        <v>32</v>
      </c>
      <c r="Y8" s="36"/>
      <c r="Z8" s="44" t="s">
        <v>24</v>
      </c>
      <c r="AA8" s="36"/>
      <c r="AB8" s="44" t="s">
        <v>35</v>
      </c>
      <c r="AC8" s="44"/>
      <c r="AD8" s="44" t="s">
        <v>37</v>
      </c>
      <c r="AE8" s="44"/>
      <c r="AF8" s="44" t="s">
        <v>38</v>
      </c>
      <c r="AG8" s="36" t="s">
        <v>35</v>
      </c>
      <c r="AH8" s="36" t="s">
        <v>39</v>
      </c>
      <c r="AI8" s="36"/>
      <c r="AJ8" s="36" t="s">
        <v>40</v>
      </c>
      <c r="AK8" s="24"/>
      <c r="AL8" s="36" t="s">
        <v>35</v>
      </c>
      <c r="AM8" s="36"/>
      <c r="AN8" s="36" t="s">
        <v>32</v>
      </c>
      <c r="AO8" s="67" t="s">
        <v>32</v>
      </c>
      <c r="AP8" s="36" t="s">
        <v>32</v>
      </c>
      <c r="AQ8" s="48"/>
      <c r="AR8" s="48" t="s">
        <v>35</v>
      </c>
      <c r="AS8" s="48"/>
      <c r="AT8" s="48" t="s">
        <v>37</v>
      </c>
      <c r="AU8" s="48"/>
      <c r="AV8" s="48" t="s">
        <v>38</v>
      </c>
      <c r="AW8" s="44"/>
      <c r="AX8" s="49" t="s">
        <v>35</v>
      </c>
      <c r="AY8" s="44"/>
      <c r="AZ8" s="48" t="s">
        <v>2</v>
      </c>
      <c r="BA8" s="48" t="s">
        <v>40</v>
      </c>
      <c r="BB8" s="44" t="s">
        <v>2</v>
      </c>
      <c r="BC8" s="56"/>
      <c r="BD8" s="50" t="s">
        <v>41</v>
      </c>
      <c r="BE8" s="68"/>
      <c r="BF8" s="68"/>
      <c r="BG8" s="68"/>
      <c r="BH8" s="69"/>
    </row>
    <row r="9" spans="1:62" ht="15">
      <c r="A9" s="58"/>
      <c r="B9" s="58"/>
      <c r="C9" s="58"/>
      <c r="D9" s="64"/>
      <c r="E9" s="64"/>
      <c r="F9" s="64"/>
      <c r="G9" s="70"/>
      <c r="H9" s="60"/>
      <c r="J9" s="71"/>
      <c r="AK9" s="24"/>
      <c r="BB9" s="34"/>
      <c r="BC9" s="56"/>
      <c r="BH9" s="72">
        <v>2</v>
      </c>
    </row>
    <row r="10" spans="1:62" ht="15" outlineLevel="1">
      <c r="A10" s="145" t="s">
        <v>432</v>
      </c>
      <c r="B10" s="77"/>
      <c r="C10" s="77"/>
      <c r="D10" s="90"/>
      <c r="E10" s="90"/>
      <c r="F10" s="3"/>
      <c r="H10" s="87"/>
      <c r="L10" s="44"/>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5"/>
      <c r="AL10" s="83"/>
      <c r="AM10" s="83"/>
      <c r="AN10" s="100"/>
      <c r="AO10" s="100"/>
      <c r="AP10" s="100"/>
      <c r="AQ10" s="83"/>
      <c r="AR10" s="83"/>
      <c r="AS10" s="83"/>
      <c r="AT10" s="83"/>
      <c r="AU10" s="83"/>
      <c r="AV10" s="83"/>
      <c r="AW10" s="83"/>
      <c r="AX10" s="83"/>
      <c r="AY10" s="83"/>
      <c r="AZ10" s="100"/>
      <c r="BA10" s="83"/>
      <c r="BB10" s="83"/>
      <c r="BC10" s="56"/>
      <c r="BD10" s="83"/>
      <c r="BE10" s="83"/>
      <c r="BF10" s="83"/>
      <c r="BG10" s="83"/>
      <c r="BH10" s="19"/>
    </row>
    <row r="11" spans="1:62" ht="20.100000000000001" customHeight="1" outlineLevel="1">
      <c r="A11" s="77" t="s">
        <v>43</v>
      </c>
      <c r="B11" s="77" t="s">
        <v>211</v>
      </c>
      <c r="C11" s="77" t="s">
        <v>1082</v>
      </c>
      <c r="D11" s="78" t="s">
        <v>46</v>
      </c>
      <c r="E11" s="78" t="str">
        <f>+D11</f>
        <v>000</v>
      </c>
      <c r="F11" s="79">
        <v>611211</v>
      </c>
      <c r="G11" s="102" t="s">
        <v>254</v>
      </c>
      <c r="H11" s="87"/>
      <c r="I11" s="82">
        <v>241957</v>
      </c>
      <c r="J11" s="82">
        <v>204667</v>
      </c>
      <c r="L11" s="83">
        <v>272267</v>
      </c>
      <c r="M11" s="83"/>
      <c r="N11" s="83">
        <v>277823</v>
      </c>
      <c r="O11" s="83"/>
      <c r="P11" s="83">
        <v>277823</v>
      </c>
      <c r="Q11" s="83"/>
      <c r="R11" s="83">
        <v>198677</v>
      </c>
      <c r="S11" s="83"/>
      <c r="T11" s="83">
        <v>0</v>
      </c>
      <c r="U11" s="83"/>
      <c r="V11" s="83">
        <v>198677</v>
      </c>
      <c r="W11" s="83"/>
      <c r="X11" s="83">
        <v>219102.19</v>
      </c>
      <c r="Y11" s="83"/>
      <c r="Z11" s="83">
        <v>199741</v>
      </c>
      <c r="AA11" s="83"/>
      <c r="AB11" s="83">
        <v>0</v>
      </c>
      <c r="AC11" s="83"/>
      <c r="AD11" s="83">
        <v>0</v>
      </c>
      <c r="AE11" s="83"/>
      <c r="AF11" s="84">
        <f t="shared" ref="AF11:AF22" si="0">SUM(Z11:AE11)</f>
        <v>199741</v>
      </c>
      <c r="AG11" s="103">
        <v>50831</v>
      </c>
      <c r="AH11" s="83">
        <v>6250</v>
      </c>
      <c r="AI11" s="83"/>
      <c r="AJ11" s="84">
        <f t="shared" ref="AJ11:AJ22" si="1">SUM(AE11:AI11)</f>
        <v>256822</v>
      </c>
      <c r="AK11" s="85"/>
      <c r="AL11" s="83">
        <v>0</v>
      </c>
      <c r="AM11" s="83"/>
      <c r="AN11" s="86">
        <v>238889.34</v>
      </c>
      <c r="AO11" s="86">
        <v>0</v>
      </c>
      <c r="AP11" s="86">
        <v>294669.89</v>
      </c>
      <c r="AQ11" s="83"/>
      <c r="AR11" s="83">
        <v>0</v>
      </c>
      <c r="AS11" s="83"/>
      <c r="AT11" s="83">
        <v>0</v>
      </c>
      <c r="AU11" s="83"/>
      <c r="AV11" s="84">
        <f t="shared" ref="AV11:AV22" si="2">SUM(AP11:AU11)</f>
        <v>294669.89</v>
      </c>
      <c r="AW11" s="84"/>
      <c r="AX11" s="128">
        <v>61897</v>
      </c>
      <c r="AY11" s="84"/>
      <c r="AZ11" s="86">
        <v>295000</v>
      </c>
      <c r="BA11" s="84">
        <v>236198</v>
      </c>
      <c r="BB11" s="214"/>
      <c r="BC11" s="56"/>
      <c r="BD11" s="84">
        <f t="shared" ref="BD11:BD22" si="3">+AP11-AN11</f>
        <v>55780.550000000017</v>
      </c>
      <c r="BE11" s="84"/>
      <c r="BF11" s="84"/>
      <c r="BG11" s="84"/>
      <c r="BH11" s="72">
        <v>1</v>
      </c>
      <c r="BJ11">
        <v>1</v>
      </c>
    </row>
    <row r="12" spans="1:62" ht="20.100000000000001" customHeight="1" outlineLevel="1">
      <c r="A12" s="77" t="s">
        <v>43</v>
      </c>
      <c r="B12" s="77" t="s">
        <v>43</v>
      </c>
      <c r="C12" s="77" t="str">
        <f>+C11</f>
        <v>AH·</v>
      </c>
      <c r="D12" s="78" t="s">
        <v>46</v>
      </c>
      <c r="E12" s="78" t="str">
        <f t="shared" ref="E12:E75" si="4">+D12</f>
        <v>000</v>
      </c>
      <c r="F12" s="3">
        <v>611211</v>
      </c>
      <c r="G12" s="102" t="s">
        <v>255</v>
      </c>
      <c r="H12" s="87"/>
      <c r="I12" s="13">
        <v>1104743</v>
      </c>
      <c r="J12" s="13">
        <v>1125255</v>
      </c>
      <c r="L12" s="56">
        <v>1191786</v>
      </c>
      <c r="M12" s="56"/>
      <c r="N12" s="56">
        <v>1242186</v>
      </c>
      <c r="O12" s="56"/>
      <c r="P12" s="56">
        <v>1242186</v>
      </c>
      <c r="Q12" s="56"/>
      <c r="R12" s="56">
        <v>1404028</v>
      </c>
      <c r="S12" s="56"/>
      <c r="T12" s="56">
        <v>0</v>
      </c>
      <c r="U12" s="56"/>
      <c r="V12" s="56">
        <v>1404028</v>
      </c>
      <c r="W12" s="56"/>
      <c r="X12" s="56">
        <v>1415672.46</v>
      </c>
      <c r="Y12" s="56"/>
      <c r="Z12" s="56">
        <v>1391408</v>
      </c>
      <c r="AA12" s="56"/>
      <c r="AB12" s="56">
        <v>0</v>
      </c>
      <c r="AC12" s="56"/>
      <c r="AD12" s="56">
        <v>0</v>
      </c>
      <c r="AE12" s="56"/>
      <c r="AF12" s="56">
        <f t="shared" si="0"/>
        <v>1391408</v>
      </c>
      <c r="AG12" s="104">
        <v>-37170</v>
      </c>
      <c r="AH12" s="56">
        <v>36250</v>
      </c>
      <c r="AI12" s="56"/>
      <c r="AJ12" s="56">
        <f t="shared" si="1"/>
        <v>1390488</v>
      </c>
      <c r="AK12" s="85"/>
      <c r="AL12" s="56">
        <v>0</v>
      </c>
      <c r="AM12" s="56"/>
      <c r="AN12" s="88">
        <v>1373512.2</v>
      </c>
      <c r="AO12" s="88">
        <v>0</v>
      </c>
      <c r="AP12" s="88">
        <v>1171860.96</v>
      </c>
      <c r="AQ12" s="56"/>
      <c r="AR12" s="56">
        <v>0</v>
      </c>
      <c r="AS12" s="56"/>
      <c r="AT12" s="56">
        <v>0</v>
      </c>
      <c r="AU12" s="56"/>
      <c r="AV12" s="56">
        <f t="shared" si="2"/>
        <v>1171860.96</v>
      </c>
      <c r="AW12" s="56"/>
      <c r="AX12" s="106">
        <v>-96580</v>
      </c>
      <c r="AY12" s="56"/>
      <c r="AZ12" s="88">
        <v>1245000</v>
      </c>
      <c r="BA12" s="56">
        <v>1085000</v>
      </c>
      <c r="BB12" s="214"/>
      <c r="BC12" s="56"/>
      <c r="BD12" s="84">
        <f t="shared" si="3"/>
        <v>-201651.24</v>
      </c>
      <c r="BE12" s="56"/>
      <c r="BF12" s="56"/>
      <c r="BG12" s="56"/>
      <c r="BH12" s="72">
        <v>1</v>
      </c>
      <c r="BJ12">
        <v>1</v>
      </c>
    </row>
    <row r="13" spans="1:62" ht="20.100000000000001" customHeight="1" outlineLevel="1">
      <c r="A13" s="77" t="s">
        <v>43</v>
      </c>
      <c r="B13" s="77" t="s">
        <v>43</v>
      </c>
      <c r="C13" s="77" t="str">
        <f t="shared" ref="C13:C76" si="5">+C12</f>
        <v>AH·</v>
      </c>
      <c r="D13" s="78" t="s">
        <v>46</v>
      </c>
      <c r="E13" s="78" t="str">
        <f t="shared" si="4"/>
        <v>000</v>
      </c>
      <c r="F13" s="3">
        <v>611511</v>
      </c>
      <c r="G13" s="102" t="s">
        <v>256</v>
      </c>
      <c r="H13" s="87"/>
      <c r="I13" s="13">
        <v>30663</v>
      </c>
      <c r="J13" s="13">
        <v>22051</v>
      </c>
      <c r="L13" s="56">
        <v>14854</v>
      </c>
      <c r="M13" s="56"/>
      <c r="N13" s="56">
        <v>14248</v>
      </c>
      <c r="O13" s="56"/>
      <c r="P13" s="56">
        <v>14248</v>
      </c>
      <c r="Q13" s="56"/>
      <c r="R13" s="56">
        <v>16198</v>
      </c>
      <c r="S13" s="56"/>
      <c r="T13" s="56">
        <v>0</v>
      </c>
      <c r="U13" s="56"/>
      <c r="V13" s="56">
        <v>16198</v>
      </c>
      <c r="W13" s="56"/>
      <c r="X13" s="56">
        <v>16198</v>
      </c>
      <c r="Y13" s="56"/>
      <c r="Z13" s="56">
        <v>14621</v>
      </c>
      <c r="AA13" s="56"/>
      <c r="AB13" s="56">
        <v>0</v>
      </c>
      <c r="AC13" s="56"/>
      <c r="AD13" s="56">
        <v>0</v>
      </c>
      <c r="AE13" s="56"/>
      <c r="AF13" s="56">
        <f t="shared" si="0"/>
        <v>14621</v>
      </c>
      <c r="AG13" s="104">
        <v>38000</v>
      </c>
      <c r="AH13" s="56">
        <v>4500</v>
      </c>
      <c r="AI13" s="56"/>
      <c r="AJ13" s="56">
        <f t="shared" si="1"/>
        <v>57121</v>
      </c>
      <c r="AK13" s="85"/>
      <c r="AL13" s="56">
        <v>0</v>
      </c>
      <c r="AM13" s="56"/>
      <c r="AN13" s="88">
        <v>53649.49</v>
      </c>
      <c r="AO13" s="88">
        <v>0</v>
      </c>
      <c r="AP13" s="88">
        <v>68561.41</v>
      </c>
      <c r="AQ13" s="56"/>
      <c r="AR13" s="56">
        <v>0</v>
      </c>
      <c r="AS13" s="56"/>
      <c r="AT13" s="56">
        <v>0</v>
      </c>
      <c r="AU13" s="56"/>
      <c r="AV13" s="56">
        <f t="shared" si="2"/>
        <v>68561.41</v>
      </c>
      <c r="AW13" s="56"/>
      <c r="AX13" s="106">
        <v>6438</v>
      </c>
      <c r="AY13" s="56"/>
      <c r="AZ13" s="88">
        <v>61438</v>
      </c>
      <c r="BA13" s="56">
        <v>52167</v>
      </c>
      <c r="BB13" s="214"/>
      <c r="BC13" s="56"/>
      <c r="BD13" s="84">
        <f t="shared" si="3"/>
        <v>14911.920000000006</v>
      </c>
      <c r="BE13" s="56"/>
      <c r="BF13" s="56"/>
      <c r="BG13" s="56"/>
      <c r="BH13" s="72">
        <v>1</v>
      </c>
      <c r="BJ13">
        <v>1</v>
      </c>
    </row>
    <row r="14" spans="1:62" ht="20.100000000000001" customHeight="1" outlineLevel="1">
      <c r="A14" s="77" t="s">
        <v>43</v>
      </c>
      <c r="B14" s="77" t="s">
        <v>433</v>
      </c>
      <c r="C14" s="77" t="str">
        <f t="shared" si="5"/>
        <v>AH·</v>
      </c>
      <c r="D14" s="78" t="s">
        <v>46</v>
      </c>
      <c r="E14" s="78" t="str">
        <f t="shared" si="4"/>
        <v>000</v>
      </c>
      <c r="F14" s="3">
        <v>611211</v>
      </c>
      <c r="G14" s="102" t="s">
        <v>434</v>
      </c>
      <c r="H14" s="87"/>
      <c r="I14" s="13">
        <v>16984633</v>
      </c>
      <c r="J14" s="13">
        <v>17145303</v>
      </c>
      <c r="L14" s="56">
        <v>19003696</v>
      </c>
      <c r="M14" s="56"/>
      <c r="N14" s="56">
        <v>19810287</v>
      </c>
      <c r="O14" s="56"/>
      <c r="P14" s="56">
        <v>19810287</v>
      </c>
      <c r="Q14" s="56"/>
      <c r="R14" s="56">
        <v>21112279</v>
      </c>
      <c r="S14" s="56"/>
      <c r="T14" s="56">
        <v>0</v>
      </c>
      <c r="U14" s="56"/>
      <c r="V14" s="56">
        <v>21112279</v>
      </c>
      <c r="W14" s="56"/>
      <c r="X14" s="56">
        <v>21061126.539999999</v>
      </c>
      <c r="Y14" s="56"/>
      <c r="Z14" s="56">
        <v>20964417</v>
      </c>
      <c r="AA14" s="56"/>
      <c r="AB14" s="56">
        <v>0</v>
      </c>
      <c r="AC14" s="56"/>
      <c r="AD14" s="56">
        <v>0</v>
      </c>
      <c r="AE14" s="56"/>
      <c r="AF14" s="56">
        <f t="shared" si="0"/>
        <v>20964417</v>
      </c>
      <c r="AG14" s="104">
        <v>1164094.1000000001</v>
      </c>
      <c r="AH14" s="56">
        <v>600000</v>
      </c>
      <c r="AI14" s="56"/>
      <c r="AJ14" s="56">
        <f t="shared" si="1"/>
        <v>22728511.100000001</v>
      </c>
      <c r="AK14" s="85"/>
      <c r="AL14" s="56">
        <v>0</v>
      </c>
      <c r="AM14" s="56"/>
      <c r="AN14" s="88">
        <v>23179807.539999999</v>
      </c>
      <c r="AO14" s="88">
        <v>0</v>
      </c>
      <c r="AP14" s="88">
        <v>22480023.829999998</v>
      </c>
      <c r="AQ14" s="56"/>
      <c r="AR14" s="56">
        <v>0</v>
      </c>
      <c r="AS14" s="56"/>
      <c r="AT14" s="56">
        <v>0</v>
      </c>
      <c r="AU14" s="56"/>
      <c r="AV14" s="56">
        <f t="shared" si="2"/>
        <v>22480023.829999998</v>
      </c>
      <c r="AW14" s="56"/>
      <c r="AX14" s="106">
        <v>865489</v>
      </c>
      <c r="AY14" s="56"/>
      <c r="AZ14" s="88">
        <v>20655770</v>
      </c>
      <c r="BA14" s="56">
        <v>21474414</v>
      </c>
      <c r="BB14" s="214"/>
      <c r="BC14" s="56"/>
      <c r="BD14" s="84">
        <f t="shared" si="3"/>
        <v>-699783.71000000089</v>
      </c>
      <c r="BE14" s="56"/>
      <c r="BF14" s="56"/>
      <c r="BG14" s="56"/>
      <c r="BH14" s="72">
        <v>1</v>
      </c>
      <c r="BJ14">
        <v>1</v>
      </c>
    </row>
    <row r="15" spans="1:62" ht="20.100000000000001" customHeight="1" outlineLevel="1">
      <c r="A15" s="77" t="s">
        <v>43</v>
      </c>
      <c r="B15" s="77" t="s">
        <v>433</v>
      </c>
      <c r="C15" s="77" t="str">
        <f t="shared" si="5"/>
        <v>AH·</v>
      </c>
      <c r="D15" s="78" t="s">
        <v>46</v>
      </c>
      <c r="E15" s="78" t="str">
        <f t="shared" si="4"/>
        <v>000</v>
      </c>
      <c r="F15" s="3">
        <v>611212</v>
      </c>
      <c r="G15" s="102" t="s">
        <v>317</v>
      </c>
      <c r="H15" s="87"/>
      <c r="I15" s="13">
        <v>9512</v>
      </c>
      <c r="J15" s="13">
        <v>8284</v>
      </c>
      <c r="L15" s="56">
        <v>10855</v>
      </c>
      <c r="M15" s="56"/>
      <c r="N15" s="56">
        <v>15600</v>
      </c>
      <c r="O15" s="56"/>
      <c r="P15" s="56">
        <v>15600</v>
      </c>
      <c r="Q15" s="56"/>
      <c r="R15" s="56">
        <v>15600</v>
      </c>
      <c r="S15" s="56"/>
      <c r="T15" s="56">
        <v>0</v>
      </c>
      <c r="U15" s="56"/>
      <c r="V15" s="56">
        <v>15600</v>
      </c>
      <c r="W15" s="56"/>
      <c r="X15" s="56">
        <v>10805</v>
      </c>
      <c r="Y15" s="56"/>
      <c r="Z15" s="56">
        <v>15600</v>
      </c>
      <c r="AA15" s="56"/>
      <c r="AB15" s="56">
        <v>0</v>
      </c>
      <c r="AC15" s="56"/>
      <c r="AD15" s="56">
        <v>0</v>
      </c>
      <c r="AE15" s="56"/>
      <c r="AF15" s="56">
        <f t="shared" si="0"/>
        <v>15600</v>
      </c>
      <c r="AG15" s="56">
        <v>0</v>
      </c>
      <c r="AH15" s="56">
        <v>0</v>
      </c>
      <c r="AI15" s="56"/>
      <c r="AJ15" s="56">
        <f t="shared" si="1"/>
        <v>15600</v>
      </c>
      <c r="AK15" s="85"/>
      <c r="AL15" s="56">
        <v>0</v>
      </c>
      <c r="AM15" s="56"/>
      <c r="AN15" s="88">
        <v>9466.5</v>
      </c>
      <c r="AO15" s="88">
        <v>0</v>
      </c>
      <c r="AP15" s="88">
        <v>10306.25</v>
      </c>
      <c r="AQ15" s="56"/>
      <c r="AR15" s="56">
        <v>0</v>
      </c>
      <c r="AS15" s="56"/>
      <c r="AT15" s="56">
        <v>0</v>
      </c>
      <c r="AU15" s="56"/>
      <c r="AV15" s="56">
        <f t="shared" si="2"/>
        <v>10306.25</v>
      </c>
      <c r="AW15" s="56"/>
      <c r="AX15" s="56">
        <v>0</v>
      </c>
      <c r="AY15" s="56"/>
      <c r="AZ15" s="88">
        <v>15600</v>
      </c>
      <c r="BA15" s="56">
        <v>15600</v>
      </c>
      <c r="BB15" s="214"/>
      <c r="BC15" s="56"/>
      <c r="BD15" s="84">
        <f t="shared" si="3"/>
        <v>839.75</v>
      </c>
      <c r="BE15" s="56"/>
      <c r="BF15" s="56"/>
      <c r="BG15" s="56"/>
      <c r="BH15" s="72">
        <v>1</v>
      </c>
      <c r="BJ15">
        <v>1</v>
      </c>
    </row>
    <row r="16" spans="1:62" ht="20.100000000000001" customHeight="1" outlineLevel="1">
      <c r="A16" s="77" t="s">
        <v>43</v>
      </c>
      <c r="B16" s="77" t="s">
        <v>433</v>
      </c>
      <c r="C16" s="77" t="str">
        <f t="shared" si="5"/>
        <v>AH·</v>
      </c>
      <c r="D16" s="78" t="s">
        <v>46</v>
      </c>
      <c r="E16" s="78" t="str">
        <f t="shared" si="4"/>
        <v>000</v>
      </c>
      <c r="F16" s="3">
        <v>611213</v>
      </c>
      <c r="G16" s="102" t="s">
        <v>318</v>
      </c>
      <c r="H16" s="87"/>
      <c r="I16" s="13">
        <v>7660</v>
      </c>
      <c r="J16" s="13">
        <v>5347</v>
      </c>
      <c r="L16" s="56">
        <v>9194</v>
      </c>
      <c r="M16" s="56"/>
      <c r="N16" s="56">
        <v>24000</v>
      </c>
      <c r="O16" s="56"/>
      <c r="P16" s="56">
        <v>24000</v>
      </c>
      <c r="Q16" s="56"/>
      <c r="R16" s="56">
        <v>24000</v>
      </c>
      <c r="S16" s="56"/>
      <c r="T16" s="56">
        <v>0</v>
      </c>
      <c r="U16" s="56"/>
      <c r="V16" s="56">
        <v>24000</v>
      </c>
      <c r="W16" s="56"/>
      <c r="X16" s="56">
        <v>10300</v>
      </c>
      <c r="Y16" s="56"/>
      <c r="Z16" s="56">
        <v>24000</v>
      </c>
      <c r="AA16" s="56"/>
      <c r="AB16" s="56">
        <v>0</v>
      </c>
      <c r="AC16" s="56"/>
      <c r="AD16" s="56">
        <v>0</v>
      </c>
      <c r="AE16" s="56"/>
      <c r="AF16" s="56">
        <f t="shared" si="0"/>
        <v>24000</v>
      </c>
      <c r="AG16" s="56">
        <v>0</v>
      </c>
      <c r="AH16" s="56">
        <v>0</v>
      </c>
      <c r="AI16" s="56"/>
      <c r="AJ16" s="56">
        <f t="shared" si="1"/>
        <v>24000</v>
      </c>
      <c r="AK16" s="85"/>
      <c r="AL16" s="56">
        <v>-10000</v>
      </c>
      <c r="AM16" s="56"/>
      <c r="AN16" s="88">
        <v>18975</v>
      </c>
      <c r="AO16" s="88">
        <v>0</v>
      </c>
      <c r="AP16" s="88">
        <v>5350</v>
      </c>
      <c r="AQ16" s="56"/>
      <c r="AR16" s="56">
        <v>0</v>
      </c>
      <c r="AS16" s="56"/>
      <c r="AT16" s="56">
        <v>0</v>
      </c>
      <c r="AU16" s="56"/>
      <c r="AV16" s="56">
        <f t="shared" si="2"/>
        <v>5350</v>
      </c>
      <c r="AW16" s="56"/>
      <c r="AX16" s="56">
        <v>0</v>
      </c>
      <c r="AY16" s="56"/>
      <c r="AZ16" s="88">
        <v>14000</v>
      </c>
      <c r="BA16" s="56">
        <v>14000</v>
      </c>
      <c r="BB16" s="214"/>
      <c r="BC16" s="56"/>
      <c r="BD16" s="84">
        <f t="shared" si="3"/>
        <v>-13625</v>
      </c>
      <c r="BE16" s="56"/>
      <c r="BF16" s="56"/>
      <c r="BG16" s="56"/>
      <c r="BH16" s="72">
        <v>1</v>
      </c>
      <c r="BJ16">
        <v>1</v>
      </c>
    </row>
    <row r="17" spans="1:62" ht="20.100000000000001" customHeight="1" outlineLevel="1">
      <c r="A17" s="77" t="s">
        <v>43</v>
      </c>
      <c r="B17" s="77" t="s">
        <v>433</v>
      </c>
      <c r="C17" s="77" t="str">
        <f t="shared" si="5"/>
        <v>AH·</v>
      </c>
      <c r="D17" s="78" t="s">
        <v>46</v>
      </c>
      <c r="E17" s="78" t="str">
        <f t="shared" si="4"/>
        <v>000</v>
      </c>
      <c r="F17" s="3">
        <v>611215</v>
      </c>
      <c r="G17" s="102" t="s">
        <v>435</v>
      </c>
      <c r="H17" s="87"/>
      <c r="I17" s="13">
        <v>0</v>
      </c>
      <c r="J17" s="13">
        <v>0</v>
      </c>
      <c r="L17" s="56">
        <v>0</v>
      </c>
      <c r="M17" s="56"/>
      <c r="N17" s="56">
        <v>5000</v>
      </c>
      <c r="O17" s="56"/>
      <c r="P17" s="56">
        <v>5000</v>
      </c>
      <c r="Q17" s="56"/>
      <c r="R17" s="56">
        <v>5000</v>
      </c>
      <c r="S17" s="56"/>
      <c r="T17" s="56">
        <v>0</v>
      </c>
      <c r="U17" s="56"/>
      <c r="V17" s="56">
        <v>5000</v>
      </c>
      <c r="W17" s="56"/>
      <c r="X17" s="56">
        <v>0</v>
      </c>
      <c r="Y17" s="56"/>
      <c r="Z17" s="56">
        <v>5000</v>
      </c>
      <c r="AA17" s="56"/>
      <c r="AB17" s="56">
        <v>0</v>
      </c>
      <c r="AC17" s="56"/>
      <c r="AD17" s="56">
        <v>0</v>
      </c>
      <c r="AE17" s="56"/>
      <c r="AF17" s="56">
        <f t="shared" si="0"/>
        <v>5000</v>
      </c>
      <c r="AG17" s="56">
        <v>0</v>
      </c>
      <c r="AH17" s="56">
        <v>0</v>
      </c>
      <c r="AI17" s="56"/>
      <c r="AJ17" s="56">
        <f t="shared" si="1"/>
        <v>5000</v>
      </c>
      <c r="AK17" s="85"/>
      <c r="AL17" s="56">
        <v>0</v>
      </c>
      <c r="AM17" s="56"/>
      <c r="AN17" s="88">
        <v>0</v>
      </c>
      <c r="AO17" s="88">
        <v>0</v>
      </c>
      <c r="AP17" s="88">
        <v>0</v>
      </c>
      <c r="AQ17" s="56"/>
      <c r="AR17" s="56">
        <v>0</v>
      </c>
      <c r="AS17" s="56"/>
      <c r="AT17" s="56">
        <v>0</v>
      </c>
      <c r="AU17" s="56"/>
      <c r="AV17" s="56">
        <f t="shared" si="2"/>
        <v>0</v>
      </c>
      <c r="AW17" s="56"/>
      <c r="AX17" s="56">
        <v>0</v>
      </c>
      <c r="AY17" s="56"/>
      <c r="AZ17" s="88">
        <v>0</v>
      </c>
      <c r="BA17" s="56">
        <v>0</v>
      </c>
      <c r="BB17" s="214"/>
      <c r="BC17" s="56"/>
      <c r="BD17" s="84">
        <f t="shared" si="3"/>
        <v>0</v>
      </c>
      <c r="BE17" s="56"/>
      <c r="BF17" s="56"/>
      <c r="BG17" s="56"/>
      <c r="BH17" s="72">
        <v>1</v>
      </c>
      <c r="BJ17">
        <v>1</v>
      </c>
    </row>
    <row r="18" spans="1:62" ht="20.100000000000001" customHeight="1" outlineLevel="1">
      <c r="A18" s="77" t="s">
        <v>43</v>
      </c>
      <c r="B18" s="77" t="s">
        <v>433</v>
      </c>
      <c r="C18" s="77" t="str">
        <f t="shared" si="5"/>
        <v>AH·</v>
      </c>
      <c r="D18" s="78" t="s">
        <v>46</v>
      </c>
      <c r="E18" s="78" t="str">
        <f t="shared" si="4"/>
        <v>000</v>
      </c>
      <c r="F18" s="3">
        <v>611216</v>
      </c>
      <c r="G18" s="102" t="s">
        <v>436</v>
      </c>
      <c r="H18" s="87"/>
      <c r="I18" s="13">
        <v>4830</v>
      </c>
      <c r="J18" s="13">
        <v>3460</v>
      </c>
      <c r="L18" s="56">
        <v>3796</v>
      </c>
      <c r="M18" s="56"/>
      <c r="N18" s="56">
        <v>5400</v>
      </c>
      <c r="O18" s="56"/>
      <c r="P18" s="56">
        <v>5400</v>
      </c>
      <c r="Q18" s="56"/>
      <c r="R18" s="56">
        <v>5400</v>
      </c>
      <c r="S18" s="56"/>
      <c r="T18" s="56">
        <v>0</v>
      </c>
      <c r="U18" s="56"/>
      <c r="V18" s="56">
        <v>5400</v>
      </c>
      <c r="W18" s="56"/>
      <c r="X18" s="56">
        <v>3519.42</v>
      </c>
      <c r="Y18" s="56"/>
      <c r="Z18" s="56">
        <v>5400</v>
      </c>
      <c r="AA18" s="56"/>
      <c r="AB18" s="56">
        <v>0</v>
      </c>
      <c r="AC18" s="56"/>
      <c r="AD18" s="56">
        <v>0</v>
      </c>
      <c r="AE18" s="56"/>
      <c r="AF18" s="56">
        <f t="shared" si="0"/>
        <v>5400</v>
      </c>
      <c r="AG18" s="56">
        <v>0</v>
      </c>
      <c r="AH18" s="56">
        <v>0</v>
      </c>
      <c r="AI18" s="56"/>
      <c r="AJ18" s="56">
        <f t="shared" si="1"/>
        <v>5400</v>
      </c>
      <c r="AK18" s="85"/>
      <c r="AL18" s="56">
        <v>0</v>
      </c>
      <c r="AM18" s="56"/>
      <c r="AN18" s="88">
        <v>4925.99</v>
      </c>
      <c r="AO18" s="88">
        <v>0</v>
      </c>
      <c r="AP18" s="88">
        <v>4050</v>
      </c>
      <c r="AQ18" s="56"/>
      <c r="AR18" s="56">
        <v>0</v>
      </c>
      <c r="AS18" s="56"/>
      <c r="AT18" s="56">
        <v>0</v>
      </c>
      <c r="AU18" s="56"/>
      <c r="AV18" s="56">
        <f t="shared" si="2"/>
        <v>4050</v>
      </c>
      <c r="AW18" s="56"/>
      <c r="AX18" s="56">
        <v>0</v>
      </c>
      <c r="AY18" s="56"/>
      <c r="AZ18" s="88">
        <v>5400</v>
      </c>
      <c r="BA18" s="56">
        <v>5400</v>
      </c>
      <c r="BB18" s="214"/>
      <c r="BC18" s="56"/>
      <c r="BD18" s="84">
        <f t="shared" si="3"/>
        <v>-875.98999999999978</v>
      </c>
      <c r="BE18" s="56"/>
      <c r="BF18" s="56"/>
      <c r="BG18" s="56"/>
      <c r="BH18" s="72">
        <v>1</v>
      </c>
      <c r="BJ18">
        <v>1</v>
      </c>
    </row>
    <row r="19" spans="1:62" ht="20.100000000000001" customHeight="1" outlineLevel="1">
      <c r="A19" s="77" t="s">
        <v>43</v>
      </c>
      <c r="B19" s="77" t="s">
        <v>433</v>
      </c>
      <c r="C19" s="77" t="str">
        <f t="shared" si="5"/>
        <v>AH·</v>
      </c>
      <c r="D19" s="78" t="s">
        <v>46</v>
      </c>
      <c r="E19" s="78" t="str">
        <f t="shared" si="4"/>
        <v>000</v>
      </c>
      <c r="F19" s="3">
        <v>611217</v>
      </c>
      <c r="G19" s="102" t="s">
        <v>437</v>
      </c>
      <c r="H19" s="87"/>
      <c r="I19" s="13">
        <v>4000</v>
      </c>
      <c r="J19" s="13">
        <v>4000</v>
      </c>
      <c r="L19" s="56">
        <v>4000</v>
      </c>
      <c r="M19" s="56"/>
      <c r="N19" s="56">
        <v>4000</v>
      </c>
      <c r="O19" s="56"/>
      <c r="P19" s="56">
        <v>4000</v>
      </c>
      <c r="Q19" s="56"/>
      <c r="R19" s="56">
        <v>4000</v>
      </c>
      <c r="S19" s="56"/>
      <c r="T19" s="56">
        <v>0</v>
      </c>
      <c r="U19" s="56"/>
      <c r="V19" s="56">
        <v>4000</v>
      </c>
      <c r="W19" s="56"/>
      <c r="X19" s="56">
        <v>4000</v>
      </c>
      <c r="Y19" s="56"/>
      <c r="Z19" s="56">
        <v>4000</v>
      </c>
      <c r="AA19" s="56"/>
      <c r="AB19" s="56">
        <v>0</v>
      </c>
      <c r="AC19" s="56"/>
      <c r="AD19" s="56">
        <v>0</v>
      </c>
      <c r="AE19" s="56"/>
      <c r="AF19" s="56">
        <f t="shared" si="0"/>
        <v>4000</v>
      </c>
      <c r="AG19" s="56">
        <v>0</v>
      </c>
      <c r="AH19" s="56">
        <v>0</v>
      </c>
      <c r="AI19" s="56"/>
      <c r="AJ19" s="56">
        <f t="shared" si="1"/>
        <v>4000</v>
      </c>
      <c r="AK19" s="85"/>
      <c r="AL19" s="56">
        <v>0</v>
      </c>
      <c r="AM19" s="56"/>
      <c r="AN19" s="88">
        <f>SUM(AI19:AM19)</f>
        <v>4000</v>
      </c>
      <c r="AO19" s="88">
        <v>0</v>
      </c>
      <c r="AP19" s="88">
        <v>4000</v>
      </c>
      <c r="AQ19" s="56"/>
      <c r="AR19" s="56">
        <v>0</v>
      </c>
      <c r="AS19" s="56"/>
      <c r="AT19" s="56">
        <v>0</v>
      </c>
      <c r="AU19" s="56"/>
      <c r="AV19" s="56">
        <f t="shared" si="2"/>
        <v>4000</v>
      </c>
      <c r="AW19" s="56"/>
      <c r="AX19" s="56">
        <v>0</v>
      </c>
      <c r="AY19" s="56"/>
      <c r="AZ19" s="88">
        <v>4000</v>
      </c>
      <c r="BA19" s="56">
        <v>4000</v>
      </c>
      <c r="BB19" s="214"/>
      <c r="BC19" s="56"/>
      <c r="BD19" s="84">
        <f t="shared" si="3"/>
        <v>0</v>
      </c>
      <c r="BE19" s="56"/>
      <c r="BF19" s="56"/>
      <c r="BG19" s="56"/>
      <c r="BH19" s="72">
        <v>1</v>
      </c>
      <c r="BJ19">
        <v>1</v>
      </c>
    </row>
    <row r="20" spans="1:62" ht="20.100000000000001" customHeight="1" outlineLevel="1">
      <c r="A20" s="77" t="s">
        <v>43</v>
      </c>
      <c r="B20" s="77" t="s">
        <v>433</v>
      </c>
      <c r="C20" s="77" t="str">
        <f t="shared" si="5"/>
        <v>AH·</v>
      </c>
      <c r="D20" s="78" t="s">
        <v>46</v>
      </c>
      <c r="E20" s="78" t="str">
        <f t="shared" si="4"/>
        <v>000</v>
      </c>
      <c r="F20" s="3">
        <v>611511</v>
      </c>
      <c r="G20" s="102" t="s">
        <v>256</v>
      </c>
      <c r="H20" s="87"/>
      <c r="I20" s="13">
        <v>108598</v>
      </c>
      <c r="J20" s="13">
        <v>92498</v>
      </c>
      <c r="L20" s="56">
        <v>79215</v>
      </c>
      <c r="M20" s="56"/>
      <c r="N20" s="56">
        <v>78901</v>
      </c>
      <c r="O20" s="56"/>
      <c r="P20" s="56">
        <v>78901</v>
      </c>
      <c r="Q20" s="56"/>
      <c r="R20" s="56">
        <v>51991</v>
      </c>
      <c r="S20" s="56"/>
      <c r="T20" s="56">
        <v>0</v>
      </c>
      <c r="U20" s="56"/>
      <c r="V20" s="56">
        <v>51991</v>
      </c>
      <c r="W20" s="56"/>
      <c r="X20" s="56">
        <v>51947.07</v>
      </c>
      <c r="Y20" s="56"/>
      <c r="Z20" s="56">
        <v>48923</v>
      </c>
      <c r="AA20" s="56"/>
      <c r="AB20" s="56">
        <v>0</v>
      </c>
      <c r="AC20" s="56"/>
      <c r="AD20" s="56">
        <v>0</v>
      </c>
      <c r="AE20" s="56"/>
      <c r="AF20" s="56">
        <f t="shared" si="0"/>
        <v>48923</v>
      </c>
      <c r="AG20" s="56">
        <v>0</v>
      </c>
      <c r="AH20" s="56">
        <v>6750</v>
      </c>
      <c r="AI20" s="56"/>
      <c r="AJ20" s="56">
        <f t="shared" si="1"/>
        <v>55673</v>
      </c>
      <c r="AK20" s="85"/>
      <c r="AL20" s="56">
        <v>0</v>
      </c>
      <c r="AM20" s="56"/>
      <c r="AN20" s="88">
        <v>55283.55</v>
      </c>
      <c r="AO20" s="88">
        <v>0</v>
      </c>
      <c r="AP20" s="88">
        <v>136989.72</v>
      </c>
      <c r="AQ20" s="56"/>
      <c r="AR20" s="56">
        <v>0</v>
      </c>
      <c r="AS20" s="56"/>
      <c r="AT20" s="56">
        <v>0</v>
      </c>
      <c r="AU20" s="56"/>
      <c r="AV20" s="56">
        <f t="shared" si="2"/>
        <v>136989.72</v>
      </c>
      <c r="AW20" s="56"/>
      <c r="AX20" s="56">
        <v>0</v>
      </c>
      <c r="AY20" s="56"/>
      <c r="AZ20" s="88">
        <v>49049</v>
      </c>
      <c r="BA20" s="56">
        <v>111645</v>
      </c>
      <c r="BB20" s="214"/>
      <c r="BC20" s="56"/>
      <c r="BD20" s="84">
        <f t="shared" si="3"/>
        <v>81706.17</v>
      </c>
      <c r="BE20" s="56"/>
      <c r="BF20" s="56"/>
      <c r="BG20" s="56"/>
      <c r="BH20" s="72">
        <v>1</v>
      </c>
      <c r="BJ20">
        <v>1</v>
      </c>
    </row>
    <row r="21" spans="1:62" ht="20.100000000000001" customHeight="1" outlineLevel="1">
      <c r="A21" s="77" t="s">
        <v>43</v>
      </c>
      <c r="B21" s="77" t="s">
        <v>433</v>
      </c>
      <c r="C21" s="77" t="str">
        <f t="shared" si="5"/>
        <v>AH·</v>
      </c>
      <c r="D21" s="78" t="s">
        <v>46</v>
      </c>
      <c r="E21" s="78" t="str">
        <f t="shared" si="4"/>
        <v>000</v>
      </c>
      <c r="F21" s="3">
        <v>632016</v>
      </c>
      <c r="G21" s="102" t="s">
        <v>438</v>
      </c>
      <c r="H21" s="87"/>
      <c r="I21" s="13">
        <v>0</v>
      </c>
      <c r="J21" s="13">
        <v>0</v>
      </c>
      <c r="L21" s="56">
        <v>8215</v>
      </c>
      <c r="M21" s="56"/>
      <c r="N21" s="56">
        <v>0</v>
      </c>
      <c r="O21" s="56"/>
      <c r="P21" s="56">
        <v>0</v>
      </c>
      <c r="Q21" s="56"/>
      <c r="R21" s="56">
        <v>0</v>
      </c>
      <c r="S21" s="56"/>
      <c r="T21" s="56">
        <v>0</v>
      </c>
      <c r="U21" s="56"/>
      <c r="V21" s="56">
        <v>0</v>
      </c>
      <c r="W21" s="56"/>
      <c r="X21" s="56">
        <v>1500</v>
      </c>
      <c r="Y21" s="56"/>
      <c r="Z21" s="56">
        <v>0</v>
      </c>
      <c r="AA21" s="56"/>
      <c r="AB21" s="56">
        <v>0</v>
      </c>
      <c r="AC21" s="56"/>
      <c r="AD21" s="56">
        <v>0</v>
      </c>
      <c r="AE21" s="56"/>
      <c r="AF21" s="56">
        <f t="shared" si="0"/>
        <v>0</v>
      </c>
      <c r="AG21" s="56">
        <v>0</v>
      </c>
      <c r="AH21" s="56">
        <v>0</v>
      </c>
      <c r="AI21" s="56"/>
      <c r="AJ21" s="56">
        <f t="shared" si="1"/>
        <v>0</v>
      </c>
      <c r="AK21" s="85"/>
      <c r="AL21" s="56">
        <v>0</v>
      </c>
      <c r="AM21" s="56"/>
      <c r="AN21" s="88">
        <v>760</v>
      </c>
      <c r="AO21" s="88">
        <v>0</v>
      </c>
      <c r="AP21" s="88">
        <v>0</v>
      </c>
      <c r="AQ21" s="56"/>
      <c r="AR21" s="56">
        <v>0</v>
      </c>
      <c r="AS21" s="56"/>
      <c r="AT21" s="56">
        <v>0</v>
      </c>
      <c r="AU21" s="56"/>
      <c r="AV21" s="56">
        <f t="shared" si="2"/>
        <v>0</v>
      </c>
      <c r="AW21" s="56"/>
      <c r="AX21" s="56">
        <v>0</v>
      </c>
      <c r="AY21" s="56"/>
      <c r="AZ21" s="88">
        <v>0</v>
      </c>
      <c r="BA21" s="56">
        <v>0</v>
      </c>
      <c r="BB21" s="214"/>
      <c r="BC21" s="56"/>
      <c r="BD21" s="84">
        <f t="shared" si="3"/>
        <v>-760</v>
      </c>
      <c r="BE21" s="56"/>
      <c r="BF21" s="56"/>
      <c r="BG21" s="56"/>
      <c r="BH21" s="72"/>
    </row>
    <row r="22" spans="1:62" ht="20.100000000000001" customHeight="1" outlineLevel="1">
      <c r="A22" s="77" t="s">
        <v>43</v>
      </c>
      <c r="B22" s="77" t="s">
        <v>433</v>
      </c>
      <c r="C22" s="77" t="str">
        <f t="shared" si="5"/>
        <v>AH·</v>
      </c>
      <c r="D22" s="78" t="s">
        <v>46</v>
      </c>
      <c r="E22" s="78" t="str">
        <f t="shared" si="4"/>
        <v>000</v>
      </c>
      <c r="F22" s="3">
        <v>644212</v>
      </c>
      <c r="G22" s="102" t="s">
        <v>439</v>
      </c>
      <c r="H22" s="87"/>
      <c r="I22" s="13">
        <v>0</v>
      </c>
      <c r="J22" s="13">
        <v>7150</v>
      </c>
      <c r="L22" s="56">
        <v>8450</v>
      </c>
      <c r="M22" s="56"/>
      <c r="N22" s="56">
        <v>8650</v>
      </c>
      <c r="O22" s="56"/>
      <c r="P22" s="56">
        <v>8650</v>
      </c>
      <c r="Q22" s="56"/>
      <c r="R22" s="56">
        <v>8650</v>
      </c>
      <c r="S22" s="56"/>
      <c r="T22" s="56">
        <v>0</v>
      </c>
      <c r="U22" s="56"/>
      <c r="V22" s="56">
        <v>8650</v>
      </c>
      <c r="W22" s="56"/>
      <c r="X22" s="56">
        <v>8650</v>
      </c>
      <c r="Y22" s="56"/>
      <c r="Z22" s="56">
        <v>9500</v>
      </c>
      <c r="AA22" s="56"/>
      <c r="AB22" s="56">
        <v>0</v>
      </c>
      <c r="AC22" s="56"/>
      <c r="AD22" s="56">
        <v>0</v>
      </c>
      <c r="AE22" s="56"/>
      <c r="AF22" s="56">
        <f t="shared" si="0"/>
        <v>9500</v>
      </c>
      <c r="AG22" s="56">
        <v>0</v>
      </c>
      <c r="AH22" s="56">
        <v>0</v>
      </c>
      <c r="AI22" s="56"/>
      <c r="AJ22" s="56">
        <f t="shared" si="1"/>
        <v>9500</v>
      </c>
      <c r="AK22" s="85"/>
      <c r="AL22" s="56">
        <v>0</v>
      </c>
      <c r="AM22" s="56"/>
      <c r="AN22" s="88">
        <v>9500</v>
      </c>
      <c r="AO22" s="88">
        <v>0</v>
      </c>
      <c r="AP22" s="88">
        <v>9478.27</v>
      </c>
      <c r="AQ22" s="56"/>
      <c r="AR22" s="56">
        <v>0</v>
      </c>
      <c r="AS22" s="56"/>
      <c r="AT22" s="56">
        <v>0</v>
      </c>
      <c r="AU22" s="56"/>
      <c r="AV22" s="56">
        <f t="shared" si="2"/>
        <v>9478.27</v>
      </c>
      <c r="AW22" s="56"/>
      <c r="AX22" s="56">
        <v>0</v>
      </c>
      <c r="AY22" s="56"/>
      <c r="AZ22" s="88">
        <v>9500</v>
      </c>
      <c r="BA22" s="56">
        <v>12205</v>
      </c>
      <c r="BB22" s="214"/>
      <c r="BC22" s="56"/>
      <c r="BD22" s="84">
        <f t="shared" si="3"/>
        <v>-21.729999999999563</v>
      </c>
      <c r="BE22" s="56"/>
      <c r="BF22" s="56"/>
      <c r="BG22" s="56"/>
      <c r="BH22" s="72"/>
    </row>
    <row r="23" spans="1:62" ht="20.100000000000001" customHeight="1" outlineLevel="1">
      <c r="A23" s="77" t="s">
        <v>43</v>
      </c>
      <c r="B23" s="77" t="s">
        <v>203</v>
      </c>
      <c r="C23" s="77" t="str">
        <f t="shared" si="5"/>
        <v>AH·</v>
      </c>
      <c r="D23" s="78" t="s">
        <v>46</v>
      </c>
      <c r="E23" s="78" t="str">
        <f t="shared" si="4"/>
        <v>000</v>
      </c>
      <c r="F23" s="3">
        <v>633941</v>
      </c>
      <c r="G23" s="102" t="s">
        <v>257</v>
      </c>
      <c r="H23" s="87"/>
      <c r="I23" s="13">
        <v>1458</v>
      </c>
      <c r="J23" s="13">
        <v>1500</v>
      </c>
      <c r="L23" s="56">
        <v>500</v>
      </c>
      <c r="M23" s="56"/>
      <c r="N23" s="56">
        <v>1500</v>
      </c>
      <c r="O23" s="56"/>
      <c r="P23" s="56">
        <v>1500</v>
      </c>
      <c r="Q23" s="56"/>
      <c r="R23" s="56">
        <v>1500</v>
      </c>
      <c r="S23" s="56"/>
      <c r="T23" s="56">
        <v>0</v>
      </c>
      <c r="U23" s="56"/>
      <c r="V23" s="56">
        <v>1500</v>
      </c>
      <c r="W23" s="56"/>
      <c r="X23" s="56">
        <v>1500</v>
      </c>
      <c r="Y23" s="56"/>
      <c r="Z23" s="56">
        <v>1500</v>
      </c>
      <c r="AA23" s="56"/>
      <c r="AB23" s="56">
        <v>0</v>
      </c>
      <c r="AC23" s="56"/>
      <c r="AD23" s="56">
        <v>0</v>
      </c>
      <c r="AE23" s="56"/>
      <c r="AF23" s="56">
        <f t="shared" ref="AF23:AF54" si="6">SUM(Z23:AE23)</f>
        <v>1500</v>
      </c>
      <c r="AG23" s="56">
        <v>0</v>
      </c>
      <c r="AH23" s="56">
        <v>0</v>
      </c>
      <c r="AI23" s="56"/>
      <c r="AJ23" s="56">
        <f t="shared" ref="AJ23:AJ68" si="7">SUM(AE23:AI23)</f>
        <v>1500</v>
      </c>
      <c r="AK23" s="85"/>
      <c r="AL23" s="56">
        <v>0</v>
      </c>
      <c r="AM23" s="56"/>
      <c r="AN23" s="88">
        <v>1500</v>
      </c>
      <c r="AO23" s="88">
        <v>0</v>
      </c>
      <c r="AP23" s="88">
        <v>1491</v>
      </c>
      <c r="AQ23" s="56"/>
      <c r="AR23" s="56">
        <v>0</v>
      </c>
      <c r="AS23" s="56"/>
      <c r="AT23" s="56">
        <v>0</v>
      </c>
      <c r="AU23" s="56"/>
      <c r="AV23" s="56">
        <f t="shared" ref="AV23:AV68" si="8">SUM(AP23:AU23)</f>
        <v>1491</v>
      </c>
      <c r="AW23" s="56"/>
      <c r="AX23" s="56">
        <v>0</v>
      </c>
      <c r="AY23" s="56"/>
      <c r="AZ23" s="88">
        <v>1500</v>
      </c>
      <c r="BA23" s="56">
        <v>1500</v>
      </c>
      <c r="BB23" s="214"/>
      <c r="BC23" s="56"/>
      <c r="BD23" s="84">
        <f t="shared" ref="BD23:BD68" si="9">+AP23-AN23</f>
        <v>-9</v>
      </c>
      <c r="BE23" s="56"/>
      <c r="BF23" s="56"/>
      <c r="BG23" s="56"/>
      <c r="BH23" s="72"/>
    </row>
    <row r="24" spans="1:62" ht="20.100000000000001" customHeight="1" outlineLevel="1">
      <c r="A24" s="77" t="s">
        <v>43</v>
      </c>
      <c r="B24" s="77" t="s">
        <v>203</v>
      </c>
      <c r="C24" s="77" t="str">
        <f t="shared" si="5"/>
        <v>AH·</v>
      </c>
      <c r="D24" s="78" t="s">
        <v>46</v>
      </c>
      <c r="E24" s="78" t="str">
        <f t="shared" si="4"/>
        <v>000</v>
      </c>
      <c r="F24" s="3">
        <v>633943</v>
      </c>
      <c r="G24" s="102" t="s">
        <v>440</v>
      </c>
      <c r="H24" s="87"/>
      <c r="I24" s="13">
        <v>492</v>
      </c>
      <c r="J24" s="13">
        <v>0</v>
      </c>
      <c r="L24" s="56">
        <v>600</v>
      </c>
      <c r="M24" s="56"/>
      <c r="N24" s="56">
        <v>3000</v>
      </c>
      <c r="O24" s="56"/>
      <c r="P24" s="56">
        <v>3000</v>
      </c>
      <c r="Q24" s="56"/>
      <c r="R24" s="56">
        <v>3000</v>
      </c>
      <c r="S24" s="56"/>
      <c r="T24" s="56">
        <v>0</v>
      </c>
      <c r="U24" s="56"/>
      <c r="V24" s="56">
        <v>3000</v>
      </c>
      <c r="W24" s="56"/>
      <c r="X24" s="56">
        <v>300</v>
      </c>
      <c r="Y24" s="56"/>
      <c r="Z24" s="56">
        <v>3000</v>
      </c>
      <c r="AA24" s="56"/>
      <c r="AB24" s="56">
        <v>0</v>
      </c>
      <c r="AC24" s="56"/>
      <c r="AD24" s="56">
        <v>0</v>
      </c>
      <c r="AE24" s="56"/>
      <c r="AF24" s="56">
        <f t="shared" si="6"/>
        <v>3000</v>
      </c>
      <c r="AG24" s="56">
        <v>0</v>
      </c>
      <c r="AH24" s="56">
        <v>0</v>
      </c>
      <c r="AI24" s="56"/>
      <c r="AJ24" s="56">
        <f t="shared" si="7"/>
        <v>3000</v>
      </c>
      <c r="AK24" s="85"/>
      <c r="AL24" s="56">
        <v>-844</v>
      </c>
      <c r="AM24" s="56"/>
      <c r="AN24" s="88">
        <v>1856</v>
      </c>
      <c r="AO24" s="88">
        <v>0</v>
      </c>
      <c r="AP24" s="88">
        <v>125821.33</v>
      </c>
      <c r="AQ24" s="56"/>
      <c r="AR24" s="56">
        <v>0</v>
      </c>
      <c r="AS24" s="56"/>
      <c r="AT24" s="56">
        <v>0</v>
      </c>
      <c r="AU24" s="56"/>
      <c r="AV24" s="56">
        <f t="shared" si="8"/>
        <v>125821.33</v>
      </c>
      <c r="AW24" s="56"/>
      <c r="AX24" s="56">
        <v>1875</v>
      </c>
      <c r="AY24" s="56"/>
      <c r="AZ24" s="88">
        <v>3000</v>
      </c>
      <c r="BA24" s="56">
        <v>24719</v>
      </c>
      <c r="BB24" s="214"/>
      <c r="BC24" s="56"/>
      <c r="BD24" s="84">
        <f t="shared" si="9"/>
        <v>123965.33</v>
      </c>
      <c r="BE24" s="56"/>
      <c r="BF24" s="56"/>
      <c r="BG24" s="56"/>
      <c r="BH24" s="72"/>
    </row>
    <row r="25" spans="1:62" ht="20.100000000000001" customHeight="1" outlineLevel="1">
      <c r="A25" s="77" t="s">
        <v>43</v>
      </c>
      <c r="B25" s="77" t="s">
        <v>203</v>
      </c>
      <c r="C25" s="77" t="str">
        <f t="shared" si="5"/>
        <v>AH·</v>
      </c>
      <c r="D25" s="78" t="s">
        <v>46</v>
      </c>
      <c r="E25" s="78" t="str">
        <f t="shared" si="4"/>
        <v>000</v>
      </c>
      <c r="F25" s="3">
        <v>634041</v>
      </c>
      <c r="G25" s="102" t="s">
        <v>441</v>
      </c>
      <c r="H25" s="87"/>
      <c r="I25" s="13">
        <v>92748</v>
      </c>
      <c r="J25" s="13">
        <v>82308</v>
      </c>
      <c r="L25" s="56">
        <v>108451</v>
      </c>
      <c r="M25" s="56"/>
      <c r="N25" s="56">
        <v>109000</v>
      </c>
      <c r="O25" s="56"/>
      <c r="P25" s="56">
        <v>111821</v>
      </c>
      <c r="Q25" s="56"/>
      <c r="R25" s="56">
        <v>111821</v>
      </c>
      <c r="S25" s="56"/>
      <c r="T25" s="56">
        <v>0</v>
      </c>
      <c r="U25" s="56"/>
      <c r="V25" s="56">
        <v>111821</v>
      </c>
      <c r="W25" s="56"/>
      <c r="X25" s="56">
        <v>106694.6</v>
      </c>
      <c r="Y25" s="56"/>
      <c r="Z25" s="56">
        <v>115000</v>
      </c>
      <c r="AA25" s="56"/>
      <c r="AB25" s="56">
        <v>0</v>
      </c>
      <c r="AC25" s="56"/>
      <c r="AD25" s="56">
        <v>0</v>
      </c>
      <c r="AE25" s="56"/>
      <c r="AF25" s="56">
        <f t="shared" si="6"/>
        <v>115000</v>
      </c>
      <c r="AG25" s="56">
        <v>0</v>
      </c>
      <c r="AH25" s="56">
        <v>0</v>
      </c>
      <c r="AI25" s="56"/>
      <c r="AJ25" s="56">
        <f t="shared" si="7"/>
        <v>115000</v>
      </c>
      <c r="AK25" s="85"/>
      <c r="AL25" s="56">
        <v>0</v>
      </c>
      <c r="AM25" s="56"/>
      <c r="AN25" s="88">
        <v>102713.1</v>
      </c>
      <c r="AO25" s="88">
        <v>0</v>
      </c>
      <c r="AP25" s="88">
        <v>92735.55</v>
      </c>
      <c r="AQ25" s="56"/>
      <c r="AR25" s="56">
        <v>0</v>
      </c>
      <c r="AS25" s="56"/>
      <c r="AT25" s="56">
        <v>0</v>
      </c>
      <c r="AU25" s="56"/>
      <c r="AV25" s="56">
        <f t="shared" si="8"/>
        <v>92735.55</v>
      </c>
      <c r="AW25" s="56"/>
      <c r="AX25" s="56">
        <v>0</v>
      </c>
      <c r="AY25" s="56"/>
      <c r="AZ25" s="88">
        <v>100000</v>
      </c>
      <c r="BA25" s="56">
        <v>100000</v>
      </c>
      <c r="BB25" s="214"/>
      <c r="BC25" s="56"/>
      <c r="BD25" s="84">
        <f t="shared" si="9"/>
        <v>-9977.5500000000029</v>
      </c>
      <c r="BE25" s="56"/>
      <c r="BF25" s="56"/>
      <c r="BG25" s="56"/>
      <c r="BH25" s="72"/>
    </row>
    <row r="26" spans="1:62" ht="20.100000000000001" customHeight="1" outlineLevel="1">
      <c r="A26" s="77" t="s">
        <v>43</v>
      </c>
      <c r="B26" s="77" t="s">
        <v>203</v>
      </c>
      <c r="C26" s="77" t="str">
        <f t="shared" si="5"/>
        <v>AH·</v>
      </c>
      <c r="D26" s="78" t="s">
        <v>46</v>
      </c>
      <c r="E26" s="78" t="str">
        <f t="shared" si="4"/>
        <v>000</v>
      </c>
      <c r="F26" s="3">
        <v>634042</v>
      </c>
      <c r="G26" s="102" t="s">
        <v>442</v>
      </c>
      <c r="H26" s="87"/>
      <c r="I26" s="13">
        <v>70</v>
      </c>
      <c r="J26" s="13">
        <v>0</v>
      </c>
      <c r="L26" s="56"/>
      <c r="M26" s="56"/>
      <c r="N26" s="56">
        <v>4320</v>
      </c>
      <c r="O26" s="56"/>
      <c r="P26" s="56">
        <v>4320</v>
      </c>
      <c r="Q26" s="56"/>
      <c r="R26" s="56">
        <v>4320</v>
      </c>
      <c r="S26" s="56"/>
      <c r="T26" s="56">
        <v>0</v>
      </c>
      <c r="U26" s="56"/>
      <c r="V26" s="56">
        <v>4320</v>
      </c>
      <c r="W26" s="56"/>
      <c r="X26" s="56">
        <v>0</v>
      </c>
      <c r="Y26" s="56"/>
      <c r="Z26" s="56">
        <v>4320</v>
      </c>
      <c r="AA26" s="56"/>
      <c r="AB26" s="56">
        <v>0</v>
      </c>
      <c r="AC26" s="56"/>
      <c r="AD26" s="56">
        <v>0</v>
      </c>
      <c r="AE26" s="56"/>
      <c r="AF26" s="56">
        <f t="shared" si="6"/>
        <v>4320</v>
      </c>
      <c r="AG26" s="56">
        <v>0</v>
      </c>
      <c r="AH26" s="56">
        <v>0</v>
      </c>
      <c r="AI26" s="56"/>
      <c r="AJ26" s="56">
        <f t="shared" si="7"/>
        <v>4320</v>
      </c>
      <c r="AK26" s="85"/>
      <c r="AL26" s="56">
        <v>-4320</v>
      </c>
      <c r="AM26" s="56"/>
      <c r="AN26" s="88">
        <f>SUM(AI26:AM26)</f>
        <v>0</v>
      </c>
      <c r="AO26" s="88">
        <v>0</v>
      </c>
      <c r="AP26" s="88">
        <v>0</v>
      </c>
      <c r="AQ26" s="56"/>
      <c r="AR26" s="56">
        <v>0</v>
      </c>
      <c r="AS26" s="56"/>
      <c r="AT26" s="56">
        <v>0</v>
      </c>
      <c r="AU26" s="56"/>
      <c r="AV26" s="56">
        <f t="shared" si="8"/>
        <v>0</v>
      </c>
      <c r="AW26" s="56"/>
      <c r="AX26" s="56">
        <v>0</v>
      </c>
      <c r="AY26" s="56"/>
      <c r="AZ26" s="88">
        <v>4320</v>
      </c>
      <c r="BA26" s="56">
        <v>0</v>
      </c>
      <c r="BB26" s="214"/>
      <c r="BC26" s="56"/>
      <c r="BD26" s="84">
        <f t="shared" si="9"/>
        <v>0</v>
      </c>
      <c r="BE26" s="56"/>
      <c r="BF26" s="56"/>
      <c r="BG26" s="56"/>
      <c r="BH26" s="72"/>
    </row>
    <row r="27" spans="1:62" ht="20.100000000000001" customHeight="1" outlineLevel="1">
      <c r="A27" s="77" t="s">
        <v>43</v>
      </c>
      <c r="B27" s="77" t="s">
        <v>203</v>
      </c>
      <c r="C27" s="77" t="str">
        <f t="shared" si="5"/>
        <v>AH·</v>
      </c>
      <c r="D27" s="78" t="s">
        <v>46</v>
      </c>
      <c r="E27" s="78" t="str">
        <f t="shared" si="4"/>
        <v>000</v>
      </c>
      <c r="F27" s="3">
        <v>634043</v>
      </c>
      <c r="G27" s="102" t="s">
        <v>443</v>
      </c>
      <c r="H27" s="87"/>
      <c r="I27" s="13">
        <v>5250</v>
      </c>
      <c r="J27" s="13">
        <v>14397</v>
      </c>
      <c r="L27" s="56">
        <v>100</v>
      </c>
      <c r="M27" s="56"/>
      <c r="N27" s="56">
        <v>17000</v>
      </c>
      <c r="O27" s="56"/>
      <c r="P27" s="56">
        <v>17000</v>
      </c>
      <c r="Q27" s="56"/>
      <c r="R27" s="56">
        <v>17000</v>
      </c>
      <c r="S27" s="56"/>
      <c r="T27" s="56">
        <v>0</v>
      </c>
      <c r="U27" s="56"/>
      <c r="V27" s="56">
        <v>17000</v>
      </c>
      <c r="W27" s="56"/>
      <c r="X27" s="56">
        <v>0</v>
      </c>
      <c r="Y27" s="56"/>
      <c r="Z27" s="56">
        <v>17000</v>
      </c>
      <c r="AA27" s="56"/>
      <c r="AB27" s="56">
        <v>0</v>
      </c>
      <c r="AC27" s="56"/>
      <c r="AD27" s="56">
        <v>0</v>
      </c>
      <c r="AE27" s="56"/>
      <c r="AF27" s="56">
        <f t="shared" si="6"/>
        <v>17000</v>
      </c>
      <c r="AG27" s="56">
        <v>0</v>
      </c>
      <c r="AH27" s="56">
        <v>0</v>
      </c>
      <c r="AI27" s="56"/>
      <c r="AJ27" s="56">
        <f t="shared" si="7"/>
        <v>17000</v>
      </c>
      <c r="AK27" s="85"/>
      <c r="AL27" s="56">
        <v>-17000</v>
      </c>
      <c r="AM27" s="56"/>
      <c r="AN27" s="88">
        <f>SUM(AI27:AM27)</f>
        <v>0</v>
      </c>
      <c r="AO27" s="88">
        <v>0</v>
      </c>
      <c r="AP27" s="88">
        <v>0</v>
      </c>
      <c r="AQ27" s="56"/>
      <c r="AR27" s="56">
        <v>0</v>
      </c>
      <c r="AS27" s="56"/>
      <c r="AT27" s="56">
        <v>0</v>
      </c>
      <c r="AU27" s="56"/>
      <c r="AV27" s="56">
        <f t="shared" si="8"/>
        <v>0</v>
      </c>
      <c r="AW27" s="56"/>
      <c r="AX27" s="56">
        <v>0</v>
      </c>
      <c r="AY27" s="56"/>
      <c r="AZ27" s="88">
        <v>10000</v>
      </c>
      <c r="BA27" s="56">
        <v>0</v>
      </c>
      <c r="BB27" s="214"/>
      <c r="BC27" s="56"/>
      <c r="BD27" s="84">
        <f t="shared" si="9"/>
        <v>0</v>
      </c>
      <c r="BE27" s="56"/>
      <c r="BF27" s="56"/>
      <c r="BG27" s="56"/>
      <c r="BH27" s="72"/>
    </row>
    <row r="28" spans="1:62" ht="20.100000000000001" customHeight="1" outlineLevel="1">
      <c r="A28" s="77" t="s">
        <v>43</v>
      </c>
      <c r="B28" s="77" t="s">
        <v>203</v>
      </c>
      <c r="C28" s="77" t="str">
        <f t="shared" si="5"/>
        <v>AH·</v>
      </c>
      <c r="D28" s="78" t="s">
        <v>46</v>
      </c>
      <c r="E28" s="78" t="str">
        <f t="shared" si="4"/>
        <v>000</v>
      </c>
      <c r="F28" s="3">
        <v>634044</v>
      </c>
      <c r="G28" s="102" t="s">
        <v>444</v>
      </c>
      <c r="H28" s="87"/>
      <c r="I28" s="13">
        <v>3406</v>
      </c>
      <c r="J28" s="13">
        <v>2377</v>
      </c>
      <c r="L28" s="56">
        <v>4324</v>
      </c>
      <c r="M28" s="56"/>
      <c r="N28" s="56">
        <v>11000</v>
      </c>
      <c r="O28" s="56"/>
      <c r="P28" s="56">
        <v>13000</v>
      </c>
      <c r="Q28" s="56"/>
      <c r="R28" s="56">
        <v>13000</v>
      </c>
      <c r="S28" s="56"/>
      <c r="T28" s="56">
        <v>0</v>
      </c>
      <c r="U28" s="56"/>
      <c r="V28" s="56">
        <v>13000</v>
      </c>
      <c r="W28" s="56"/>
      <c r="X28" s="56">
        <v>4022.04</v>
      </c>
      <c r="Y28" s="56"/>
      <c r="Z28" s="56">
        <v>15000</v>
      </c>
      <c r="AA28" s="56"/>
      <c r="AB28" s="56">
        <v>0</v>
      </c>
      <c r="AC28" s="56"/>
      <c r="AD28" s="56">
        <v>0</v>
      </c>
      <c r="AE28" s="56"/>
      <c r="AF28" s="56">
        <f t="shared" si="6"/>
        <v>15000</v>
      </c>
      <c r="AG28" s="56">
        <v>0</v>
      </c>
      <c r="AH28" s="56">
        <v>0</v>
      </c>
      <c r="AI28" s="56"/>
      <c r="AJ28" s="56">
        <f t="shared" si="7"/>
        <v>15000</v>
      </c>
      <c r="AK28" s="85"/>
      <c r="AL28" s="56">
        <v>0</v>
      </c>
      <c r="AM28" s="56"/>
      <c r="AN28" s="88">
        <v>5826.94</v>
      </c>
      <c r="AO28" s="88">
        <v>0</v>
      </c>
      <c r="AP28" s="88">
        <v>5804.48</v>
      </c>
      <c r="AQ28" s="56"/>
      <c r="AR28" s="56">
        <v>0</v>
      </c>
      <c r="AS28" s="56"/>
      <c r="AT28" s="56">
        <v>0</v>
      </c>
      <c r="AU28" s="56"/>
      <c r="AV28" s="56">
        <f t="shared" si="8"/>
        <v>5804.48</v>
      </c>
      <c r="AW28" s="56"/>
      <c r="AX28" s="56">
        <v>0</v>
      </c>
      <c r="AY28" s="56"/>
      <c r="AZ28" s="88">
        <v>8000</v>
      </c>
      <c r="BA28" s="56">
        <v>8000</v>
      </c>
      <c r="BB28" s="214"/>
      <c r="BC28" s="56"/>
      <c r="BD28" s="84">
        <f t="shared" si="9"/>
        <v>-22.460000000000036</v>
      </c>
      <c r="BE28" s="56"/>
      <c r="BF28" s="56"/>
      <c r="BG28" s="56"/>
      <c r="BH28" s="72"/>
    </row>
    <row r="29" spans="1:62" ht="20.100000000000001" customHeight="1" outlineLevel="1">
      <c r="A29" s="77" t="s">
        <v>43</v>
      </c>
      <c r="B29" s="77" t="s">
        <v>203</v>
      </c>
      <c r="C29" s="77" t="str">
        <f t="shared" si="5"/>
        <v>AH·</v>
      </c>
      <c r="D29" s="78" t="s">
        <v>46</v>
      </c>
      <c r="E29" s="78" t="str">
        <f t="shared" si="4"/>
        <v>000</v>
      </c>
      <c r="F29" s="3">
        <v>658211</v>
      </c>
      <c r="G29" s="102" t="s">
        <v>445</v>
      </c>
      <c r="H29" s="87"/>
      <c r="I29" s="13">
        <v>4802</v>
      </c>
      <c r="J29" s="13">
        <v>5756</v>
      </c>
      <c r="L29" s="56">
        <v>3848</v>
      </c>
      <c r="M29" s="56"/>
      <c r="N29" s="56">
        <v>8900</v>
      </c>
      <c r="O29" s="56"/>
      <c r="P29" s="56">
        <v>8900</v>
      </c>
      <c r="Q29" s="56"/>
      <c r="R29" s="56">
        <v>8900</v>
      </c>
      <c r="S29" s="56"/>
      <c r="T29" s="56">
        <v>0</v>
      </c>
      <c r="U29" s="56"/>
      <c r="V29" s="56">
        <v>8900</v>
      </c>
      <c r="W29" s="56"/>
      <c r="X29" s="56">
        <v>3719.86</v>
      </c>
      <c r="Y29" s="56"/>
      <c r="Z29" s="56">
        <v>8900</v>
      </c>
      <c r="AA29" s="56"/>
      <c r="AB29" s="56">
        <v>0</v>
      </c>
      <c r="AC29" s="56"/>
      <c r="AD29" s="56">
        <v>0</v>
      </c>
      <c r="AE29" s="56"/>
      <c r="AF29" s="56">
        <f t="shared" si="6"/>
        <v>8900</v>
      </c>
      <c r="AG29" s="56">
        <v>0</v>
      </c>
      <c r="AH29" s="56">
        <v>0</v>
      </c>
      <c r="AI29" s="56"/>
      <c r="AJ29" s="56">
        <f t="shared" si="7"/>
        <v>8900</v>
      </c>
      <c r="AK29" s="85"/>
      <c r="AL29" s="56">
        <v>-2000</v>
      </c>
      <c r="AM29" s="56"/>
      <c r="AN29" s="88">
        <v>1354.4</v>
      </c>
      <c r="AO29" s="88">
        <v>0</v>
      </c>
      <c r="AP29" s="88">
        <v>817.57</v>
      </c>
      <c r="AQ29" s="56"/>
      <c r="AR29" s="56">
        <v>0</v>
      </c>
      <c r="AS29" s="56"/>
      <c r="AT29" s="56">
        <v>0</v>
      </c>
      <c r="AU29" s="56"/>
      <c r="AV29" s="56">
        <f t="shared" si="8"/>
        <v>817.57</v>
      </c>
      <c r="AW29" s="56"/>
      <c r="AX29" s="56">
        <v>0</v>
      </c>
      <c r="AY29" s="56"/>
      <c r="AZ29" s="88">
        <v>8900</v>
      </c>
      <c r="BA29" s="56">
        <v>8900</v>
      </c>
      <c r="BB29" s="214"/>
      <c r="BC29" s="56"/>
      <c r="BD29" s="84">
        <f t="shared" si="9"/>
        <v>-536.83000000000004</v>
      </c>
      <c r="BE29" s="56"/>
      <c r="BF29" s="56"/>
      <c r="BG29" s="56"/>
      <c r="BH29" s="72"/>
    </row>
    <row r="30" spans="1:62" ht="20.100000000000001" customHeight="1" outlineLevel="1">
      <c r="A30" s="77" t="s">
        <v>43</v>
      </c>
      <c r="B30" s="77" t="s">
        <v>203</v>
      </c>
      <c r="C30" s="77" t="str">
        <f t="shared" si="5"/>
        <v>AH·</v>
      </c>
      <c r="D30" s="78" t="s">
        <v>46</v>
      </c>
      <c r="E30" s="78" t="str">
        <f t="shared" si="4"/>
        <v>000</v>
      </c>
      <c r="F30" s="3">
        <v>658212</v>
      </c>
      <c r="G30" s="102" t="s">
        <v>446</v>
      </c>
      <c r="H30" s="87"/>
      <c r="I30" s="13">
        <v>3299</v>
      </c>
      <c r="J30" s="13">
        <v>6264</v>
      </c>
      <c r="L30" s="56">
        <v>7683</v>
      </c>
      <c r="M30" s="56"/>
      <c r="N30" s="56">
        <v>25000</v>
      </c>
      <c r="O30" s="56"/>
      <c r="P30" s="56">
        <v>25000</v>
      </c>
      <c r="Q30" s="56"/>
      <c r="R30" s="56">
        <v>25000</v>
      </c>
      <c r="S30" s="56"/>
      <c r="T30" s="56">
        <v>0</v>
      </c>
      <c r="U30" s="56"/>
      <c r="V30" s="56">
        <v>25000</v>
      </c>
      <c r="W30" s="56"/>
      <c r="X30" s="56">
        <v>13288.31</v>
      </c>
      <c r="Y30" s="56"/>
      <c r="Z30" s="56">
        <v>25000</v>
      </c>
      <c r="AA30" s="56"/>
      <c r="AB30" s="56"/>
      <c r="AC30" s="56"/>
      <c r="AD30" s="56">
        <v>0</v>
      </c>
      <c r="AE30" s="56"/>
      <c r="AF30" s="56">
        <f t="shared" si="6"/>
        <v>25000</v>
      </c>
      <c r="AG30" s="56">
        <v>0</v>
      </c>
      <c r="AH30" s="56">
        <v>0</v>
      </c>
      <c r="AI30" s="56"/>
      <c r="AJ30" s="56">
        <f t="shared" si="7"/>
        <v>25000</v>
      </c>
      <c r="AK30" s="85"/>
      <c r="AL30" s="56">
        <v>0</v>
      </c>
      <c r="AM30" s="56"/>
      <c r="AN30" s="88">
        <v>32938.61</v>
      </c>
      <c r="AO30" s="88">
        <v>0</v>
      </c>
      <c r="AP30" s="88">
        <v>3309.14</v>
      </c>
      <c r="AQ30" s="56"/>
      <c r="AR30" s="56">
        <v>0</v>
      </c>
      <c r="AS30" s="56"/>
      <c r="AT30" s="56">
        <v>0</v>
      </c>
      <c r="AU30" s="56"/>
      <c r="AV30" s="56">
        <f t="shared" si="8"/>
        <v>3309.14</v>
      </c>
      <c r="AW30" s="56"/>
      <c r="AX30" s="56">
        <v>0</v>
      </c>
      <c r="AY30" s="56"/>
      <c r="AZ30" s="88">
        <v>12500</v>
      </c>
      <c r="BA30" s="56">
        <v>10000</v>
      </c>
      <c r="BB30" s="214"/>
      <c r="BC30" s="56"/>
      <c r="BD30" s="84">
        <f t="shared" si="9"/>
        <v>-29629.47</v>
      </c>
      <c r="BE30" s="56"/>
      <c r="BF30" s="56"/>
      <c r="BG30" s="56"/>
      <c r="BH30" s="72"/>
    </row>
    <row r="31" spans="1:62" ht="20.100000000000001" customHeight="1" outlineLevel="1">
      <c r="A31" s="77" t="s">
        <v>43</v>
      </c>
      <c r="B31" s="77" t="s">
        <v>203</v>
      </c>
      <c r="C31" s="77" t="str">
        <f t="shared" si="5"/>
        <v>AH·</v>
      </c>
      <c r="D31" s="78" t="s">
        <v>46</v>
      </c>
      <c r="E31" s="78" t="str">
        <f t="shared" si="4"/>
        <v>000</v>
      </c>
      <c r="F31" s="3">
        <v>658221</v>
      </c>
      <c r="G31" s="102" t="s">
        <v>447</v>
      </c>
      <c r="H31" s="87"/>
      <c r="I31" s="13">
        <v>8264</v>
      </c>
      <c r="J31" s="13">
        <v>6501</v>
      </c>
      <c r="L31" s="56">
        <v>6907</v>
      </c>
      <c r="M31" s="56"/>
      <c r="N31" s="56">
        <v>8000</v>
      </c>
      <c r="O31" s="56"/>
      <c r="P31" s="56">
        <v>8000</v>
      </c>
      <c r="Q31" s="56"/>
      <c r="R31" s="56">
        <v>8000</v>
      </c>
      <c r="S31" s="56"/>
      <c r="T31" s="56">
        <v>0</v>
      </c>
      <c r="U31" s="56"/>
      <c r="V31" s="56">
        <v>8000</v>
      </c>
      <c r="W31" s="56"/>
      <c r="X31" s="56">
        <v>5154.12</v>
      </c>
      <c r="Y31" s="56"/>
      <c r="Z31" s="56">
        <v>8000</v>
      </c>
      <c r="AA31" s="56"/>
      <c r="AB31" s="56">
        <v>0</v>
      </c>
      <c r="AC31" s="56"/>
      <c r="AD31" s="56">
        <v>0</v>
      </c>
      <c r="AE31" s="56"/>
      <c r="AF31" s="56">
        <f t="shared" si="6"/>
        <v>8000</v>
      </c>
      <c r="AG31" s="56">
        <v>0</v>
      </c>
      <c r="AH31" s="56">
        <v>0</v>
      </c>
      <c r="AI31" s="56"/>
      <c r="AJ31" s="56">
        <f t="shared" si="7"/>
        <v>8000</v>
      </c>
      <c r="AK31" s="85"/>
      <c r="AL31" s="56">
        <v>0</v>
      </c>
      <c r="AM31" s="56"/>
      <c r="AN31" s="88">
        <v>6344.57</v>
      </c>
      <c r="AO31" s="88">
        <v>0</v>
      </c>
      <c r="AP31" s="88">
        <v>4662.8500000000004</v>
      </c>
      <c r="AQ31" s="56"/>
      <c r="AR31" s="56">
        <v>0</v>
      </c>
      <c r="AS31" s="56"/>
      <c r="AT31" s="56">
        <v>0</v>
      </c>
      <c r="AU31" s="56"/>
      <c r="AV31" s="56">
        <f t="shared" si="8"/>
        <v>4662.8500000000004</v>
      </c>
      <c r="AW31" s="56"/>
      <c r="AX31" s="56">
        <v>0</v>
      </c>
      <c r="AY31" s="56"/>
      <c r="AZ31" s="88">
        <v>8000</v>
      </c>
      <c r="BA31" s="56">
        <v>8000</v>
      </c>
      <c r="BB31" s="214"/>
      <c r="BC31" s="56"/>
      <c r="BD31" s="84">
        <f t="shared" si="9"/>
        <v>-1681.7199999999993</v>
      </c>
      <c r="BE31" s="56"/>
      <c r="BF31" s="56"/>
      <c r="BG31" s="56"/>
      <c r="BH31" s="72"/>
    </row>
    <row r="32" spans="1:62" ht="20.100000000000001" customHeight="1" outlineLevel="1">
      <c r="A32" s="77" t="s">
        <v>43</v>
      </c>
      <c r="B32" s="77" t="s">
        <v>203</v>
      </c>
      <c r="C32" s="77" t="str">
        <f t="shared" si="5"/>
        <v>AH·</v>
      </c>
      <c r="D32" s="78" t="s">
        <v>46</v>
      </c>
      <c r="E32" s="78" t="str">
        <f t="shared" si="4"/>
        <v>000</v>
      </c>
      <c r="F32" s="3">
        <v>658223</v>
      </c>
      <c r="G32" s="102" t="s">
        <v>259</v>
      </c>
      <c r="H32" s="87"/>
      <c r="I32" s="13">
        <v>2364</v>
      </c>
      <c r="J32" s="13">
        <v>2918</v>
      </c>
      <c r="L32" s="56">
        <v>6292</v>
      </c>
      <c r="M32" s="56"/>
      <c r="N32" s="56">
        <v>6000</v>
      </c>
      <c r="O32" s="56"/>
      <c r="P32" s="56">
        <v>6000</v>
      </c>
      <c r="Q32" s="56"/>
      <c r="R32" s="56">
        <v>6000</v>
      </c>
      <c r="S32" s="56"/>
      <c r="T32" s="56">
        <v>0</v>
      </c>
      <c r="U32" s="56"/>
      <c r="V32" s="56">
        <v>6000</v>
      </c>
      <c r="W32" s="56"/>
      <c r="X32" s="56">
        <v>1206.3699999999999</v>
      </c>
      <c r="Y32" s="56"/>
      <c r="Z32" s="56">
        <v>6000</v>
      </c>
      <c r="AA32" s="56"/>
      <c r="AB32" s="56">
        <v>0</v>
      </c>
      <c r="AC32" s="56"/>
      <c r="AD32" s="56">
        <v>0</v>
      </c>
      <c r="AE32" s="56"/>
      <c r="AF32" s="56">
        <f t="shared" si="6"/>
        <v>6000</v>
      </c>
      <c r="AG32" s="56">
        <v>0</v>
      </c>
      <c r="AH32" s="56">
        <v>0</v>
      </c>
      <c r="AI32" s="56"/>
      <c r="AJ32" s="56">
        <f t="shared" si="7"/>
        <v>6000</v>
      </c>
      <c r="AK32" s="85"/>
      <c r="AL32" s="56">
        <v>0</v>
      </c>
      <c r="AM32" s="56"/>
      <c r="AN32" s="88">
        <v>2622.98</v>
      </c>
      <c r="AO32" s="88">
        <v>0</v>
      </c>
      <c r="AP32" s="88">
        <v>11398.52</v>
      </c>
      <c r="AQ32" s="56"/>
      <c r="AR32" s="56">
        <v>0</v>
      </c>
      <c r="AS32" s="56"/>
      <c r="AT32" s="56">
        <v>0</v>
      </c>
      <c r="AU32" s="56"/>
      <c r="AV32" s="56">
        <f t="shared" si="8"/>
        <v>11398.52</v>
      </c>
      <c r="AW32" s="56"/>
      <c r="AX32" s="56">
        <v>0</v>
      </c>
      <c r="AY32" s="56"/>
      <c r="AZ32" s="88">
        <v>6000</v>
      </c>
      <c r="BA32" s="56">
        <v>6000</v>
      </c>
      <c r="BB32" s="214"/>
      <c r="BC32" s="56"/>
      <c r="BD32" s="84">
        <f t="shared" si="9"/>
        <v>8775.5400000000009</v>
      </c>
      <c r="BE32" s="56"/>
      <c r="BF32" s="56"/>
      <c r="BG32" s="56"/>
      <c r="BH32" s="72"/>
    </row>
    <row r="33" spans="1:60" ht="20.100000000000001" customHeight="1" outlineLevel="1">
      <c r="A33" s="77" t="s">
        <v>43</v>
      </c>
      <c r="B33" s="77" t="s">
        <v>203</v>
      </c>
      <c r="C33" s="77" t="str">
        <f t="shared" si="5"/>
        <v>AH·</v>
      </c>
      <c r="D33" s="78" t="s">
        <v>46</v>
      </c>
      <c r="E33" s="78" t="str">
        <f t="shared" si="4"/>
        <v>000</v>
      </c>
      <c r="F33" s="3">
        <v>661006</v>
      </c>
      <c r="G33" s="102" t="s">
        <v>448</v>
      </c>
      <c r="H33" s="87"/>
      <c r="I33" s="13">
        <v>11630</v>
      </c>
      <c r="J33" s="13">
        <v>14757</v>
      </c>
      <c r="L33" s="56">
        <v>20517</v>
      </c>
      <c r="M33" s="56"/>
      <c r="N33" s="56">
        <v>95000</v>
      </c>
      <c r="O33" s="56"/>
      <c r="P33" s="56">
        <v>101651</v>
      </c>
      <c r="Q33" s="56"/>
      <c r="R33" s="56">
        <v>101651</v>
      </c>
      <c r="S33" s="56"/>
      <c r="T33" s="56">
        <v>0</v>
      </c>
      <c r="U33" s="56"/>
      <c r="V33" s="56">
        <v>101651</v>
      </c>
      <c r="W33" s="56"/>
      <c r="X33" s="56">
        <v>62761.11</v>
      </c>
      <c r="Y33" s="56"/>
      <c r="Z33" s="56">
        <v>95000</v>
      </c>
      <c r="AA33" s="56"/>
      <c r="AB33" s="56">
        <v>4000</v>
      </c>
      <c r="AC33" s="56"/>
      <c r="AD33" s="56">
        <f>20803</f>
        <v>20803</v>
      </c>
      <c r="AE33" s="56"/>
      <c r="AF33" s="56">
        <f t="shared" si="6"/>
        <v>119803</v>
      </c>
      <c r="AG33" s="56">
        <v>4000</v>
      </c>
      <c r="AH33" s="56">
        <v>0</v>
      </c>
      <c r="AI33" s="56"/>
      <c r="AJ33" s="56">
        <f t="shared" si="7"/>
        <v>123803</v>
      </c>
      <c r="AK33" s="85"/>
      <c r="AL33" s="56">
        <f>4000+4000+30000</f>
        <v>38000</v>
      </c>
      <c r="AM33" s="56"/>
      <c r="AN33" s="88">
        <v>119783.86</v>
      </c>
      <c r="AO33" s="88">
        <v>0</v>
      </c>
      <c r="AP33" s="88">
        <v>31056.52</v>
      </c>
      <c r="AQ33" s="56"/>
      <c r="AR33" s="56">
        <v>0</v>
      </c>
      <c r="AS33" s="56"/>
      <c r="AT33" s="56">
        <v>3509.17</v>
      </c>
      <c r="AU33" s="56"/>
      <c r="AV33" s="56">
        <f t="shared" si="8"/>
        <v>34565.69</v>
      </c>
      <c r="AW33" s="56"/>
      <c r="AX33" s="56">
        <v>0</v>
      </c>
      <c r="AY33" s="56"/>
      <c r="AZ33" s="88">
        <v>25000</v>
      </c>
      <c r="BA33" s="56">
        <v>27708</v>
      </c>
      <c r="BB33" s="214"/>
      <c r="BC33" s="56"/>
      <c r="BD33" s="84">
        <f t="shared" si="9"/>
        <v>-88727.34</v>
      </c>
      <c r="BE33" s="56"/>
      <c r="BF33" s="56"/>
      <c r="BG33" s="56"/>
      <c r="BH33" s="72"/>
    </row>
    <row r="34" spans="1:60" ht="20.100000000000001" customHeight="1" outlineLevel="1">
      <c r="A34" s="77" t="s">
        <v>43</v>
      </c>
      <c r="B34" s="77" t="s">
        <v>203</v>
      </c>
      <c r="C34" s="77" t="str">
        <f t="shared" si="5"/>
        <v>AH·</v>
      </c>
      <c r="D34" s="78" t="s">
        <v>46</v>
      </c>
      <c r="E34" s="78" t="str">
        <f t="shared" si="4"/>
        <v>000</v>
      </c>
      <c r="F34" s="3">
        <v>661009</v>
      </c>
      <c r="G34" s="102" t="s">
        <v>449</v>
      </c>
      <c r="H34" s="87"/>
      <c r="I34" s="13">
        <v>2647</v>
      </c>
      <c r="J34" s="13">
        <v>3066</v>
      </c>
      <c r="L34" s="56">
        <v>5404</v>
      </c>
      <c r="M34" s="56"/>
      <c r="N34" s="56">
        <v>4600</v>
      </c>
      <c r="O34" s="56"/>
      <c r="P34" s="56">
        <v>4600</v>
      </c>
      <c r="Q34" s="56"/>
      <c r="R34" s="56">
        <v>4600</v>
      </c>
      <c r="S34" s="56"/>
      <c r="T34" s="56">
        <v>0</v>
      </c>
      <c r="U34" s="56"/>
      <c r="V34" s="56">
        <v>4600</v>
      </c>
      <c r="W34" s="56"/>
      <c r="X34" s="56">
        <v>6182.57</v>
      </c>
      <c r="Y34" s="56"/>
      <c r="Z34" s="56">
        <v>4600</v>
      </c>
      <c r="AA34" s="56"/>
      <c r="AB34" s="56">
        <v>4000</v>
      </c>
      <c r="AC34" s="56"/>
      <c r="AD34" s="56">
        <v>0</v>
      </c>
      <c r="AE34" s="56"/>
      <c r="AF34" s="56">
        <f t="shared" si="6"/>
        <v>8600</v>
      </c>
      <c r="AG34" s="56">
        <v>0</v>
      </c>
      <c r="AH34" s="56">
        <v>0</v>
      </c>
      <c r="AI34" s="56"/>
      <c r="AJ34" s="56">
        <f t="shared" si="7"/>
        <v>8600</v>
      </c>
      <c r="AK34" s="85"/>
      <c r="AL34" s="56">
        <v>0</v>
      </c>
      <c r="AM34" s="56"/>
      <c r="AN34" s="88">
        <v>3824.58</v>
      </c>
      <c r="AO34" s="88">
        <v>0</v>
      </c>
      <c r="AP34" s="88">
        <v>1808.03</v>
      </c>
      <c r="AQ34" s="56"/>
      <c r="AR34" s="56">
        <v>0</v>
      </c>
      <c r="AS34" s="56"/>
      <c r="AT34" s="56">
        <v>0</v>
      </c>
      <c r="AU34" s="56"/>
      <c r="AV34" s="56">
        <f t="shared" si="8"/>
        <v>1808.03</v>
      </c>
      <c r="AW34" s="56"/>
      <c r="AX34" s="56">
        <v>0</v>
      </c>
      <c r="AY34" s="56"/>
      <c r="AZ34" s="88">
        <v>4600</v>
      </c>
      <c r="BA34" s="56">
        <v>4600</v>
      </c>
      <c r="BB34" s="214"/>
      <c r="BC34" s="56"/>
      <c r="BD34" s="84">
        <f t="shared" si="9"/>
        <v>-2016.55</v>
      </c>
      <c r="BE34" s="56"/>
      <c r="BF34" s="56"/>
      <c r="BG34" s="56"/>
      <c r="BH34" s="72"/>
    </row>
    <row r="35" spans="1:60" ht="20.100000000000001" customHeight="1" outlineLevel="1">
      <c r="A35" s="77" t="s">
        <v>43</v>
      </c>
      <c r="B35" s="77" t="s">
        <v>203</v>
      </c>
      <c r="C35" s="77" t="str">
        <f t="shared" si="5"/>
        <v>AH·</v>
      </c>
      <c r="D35" s="78" t="s">
        <v>46</v>
      </c>
      <c r="E35" s="78" t="str">
        <f t="shared" si="4"/>
        <v>000</v>
      </c>
      <c r="F35" s="3">
        <v>661011</v>
      </c>
      <c r="G35" s="102" t="s">
        <v>450</v>
      </c>
      <c r="H35" s="87"/>
      <c r="I35" s="13">
        <v>4339</v>
      </c>
      <c r="J35" s="13">
        <v>7919</v>
      </c>
      <c r="L35" s="56">
        <v>13544</v>
      </c>
      <c r="M35" s="56"/>
      <c r="N35" s="56">
        <v>8515</v>
      </c>
      <c r="O35" s="56"/>
      <c r="P35" s="56">
        <v>8637</v>
      </c>
      <c r="Q35" s="56"/>
      <c r="R35" s="56">
        <v>8637</v>
      </c>
      <c r="S35" s="56"/>
      <c r="T35" s="56">
        <v>6808</v>
      </c>
      <c r="U35" s="56"/>
      <c r="V35" s="56">
        <v>15445</v>
      </c>
      <c r="W35" s="56"/>
      <c r="X35" s="56">
        <v>15275.71</v>
      </c>
      <c r="Y35" s="56"/>
      <c r="Z35" s="56">
        <v>5000</v>
      </c>
      <c r="AA35" s="56"/>
      <c r="AB35" s="56">
        <v>0</v>
      </c>
      <c r="AC35" s="56"/>
      <c r="AD35" s="56">
        <v>0</v>
      </c>
      <c r="AE35" s="56"/>
      <c r="AF35" s="56">
        <f t="shared" si="6"/>
        <v>5000</v>
      </c>
      <c r="AG35" s="56">
        <v>1200</v>
      </c>
      <c r="AH35" s="56">
        <v>0</v>
      </c>
      <c r="AI35" s="56"/>
      <c r="AJ35" s="56">
        <f t="shared" si="7"/>
        <v>6200</v>
      </c>
      <c r="AK35" s="85"/>
      <c r="AL35" s="56">
        <v>0</v>
      </c>
      <c r="AM35" s="56"/>
      <c r="AN35" s="88">
        <v>5912.5</v>
      </c>
      <c r="AO35" s="88">
        <v>0</v>
      </c>
      <c r="AP35" s="88">
        <v>10082.91</v>
      </c>
      <c r="AQ35" s="56"/>
      <c r="AR35" s="56">
        <v>0</v>
      </c>
      <c r="AS35" s="56"/>
      <c r="AT35" s="56">
        <v>0</v>
      </c>
      <c r="AU35" s="56"/>
      <c r="AV35" s="56">
        <f t="shared" si="8"/>
        <v>10082.91</v>
      </c>
      <c r="AW35" s="56"/>
      <c r="AX35" s="56">
        <v>0</v>
      </c>
      <c r="AY35" s="56"/>
      <c r="AZ35" s="88">
        <v>8000</v>
      </c>
      <c r="BA35" s="56">
        <v>8000</v>
      </c>
      <c r="BB35" s="214"/>
      <c r="BC35" s="56"/>
      <c r="BD35" s="84">
        <f t="shared" si="9"/>
        <v>4170.41</v>
      </c>
      <c r="BE35" s="56"/>
      <c r="BF35" s="56"/>
      <c r="BG35" s="56"/>
      <c r="BH35" s="72"/>
    </row>
    <row r="36" spans="1:60" ht="20.100000000000001" customHeight="1" outlineLevel="1">
      <c r="A36" s="77" t="s">
        <v>43</v>
      </c>
      <c r="B36" s="77" t="s">
        <v>203</v>
      </c>
      <c r="C36" s="77" t="str">
        <f t="shared" si="5"/>
        <v>AH·</v>
      </c>
      <c r="D36" s="78" t="s">
        <v>46</v>
      </c>
      <c r="E36" s="78" t="str">
        <f t="shared" si="4"/>
        <v>000</v>
      </c>
      <c r="F36" s="3">
        <v>661021</v>
      </c>
      <c r="G36" s="102" t="s">
        <v>451</v>
      </c>
      <c r="H36" s="87"/>
      <c r="I36" s="13">
        <v>0</v>
      </c>
      <c r="J36" s="13">
        <v>0</v>
      </c>
      <c r="L36" s="146">
        <v>0</v>
      </c>
      <c r="M36" s="56"/>
      <c r="N36" s="56">
        <v>0</v>
      </c>
      <c r="O36" s="56"/>
      <c r="P36" s="56">
        <v>32000</v>
      </c>
      <c r="Q36" s="56"/>
      <c r="R36" s="56">
        <v>32000</v>
      </c>
      <c r="S36" s="56"/>
      <c r="T36" s="56">
        <v>0</v>
      </c>
      <c r="U36" s="56"/>
      <c r="V36" s="56">
        <v>32000</v>
      </c>
      <c r="W36" s="56"/>
      <c r="X36" s="56">
        <v>32000</v>
      </c>
      <c r="Y36" s="56"/>
      <c r="Z36" s="56">
        <v>0</v>
      </c>
      <c r="AA36" s="56"/>
      <c r="AB36" s="56">
        <v>0</v>
      </c>
      <c r="AC36" s="56"/>
      <c r="AD36" s="56">
        <v>0</v>
      </c>
      <c r="AE36" s="56"/>
      <c r="AF36" s="56">
        <f t="shared" si="6"/>
        <v>0</v>
      </c>
      <c r="AG36" s="56">
        <v>0</v>
      </c>
      <c r="AH36" s="56">
        <v>0</v>
      </c>
      <c r="AI36" s="56"/>
      <c r="AJ36" s="56">
        <f t="shared" si="7"/>
        <v>0</v>
      </c>
      <c r="AK36" s="85"/>
      <c r="AL36" s="56">
        <v>0</v>
      </c>
      <c r="AM36" s="56"/>
      <c r="AN36" s="88">
        <f>SUM(AI36:AM36)</f>
        <v>0</v>
      </c>
      <c r="AO36" s="88">
        <v>0</v>
      </c>
      <c r="AP36" s="88">
        <v>0</v>
      </c>
      <c r="AQ36" s="56"/>
      <c r="AR36" s="56">
        <v>0</v>
      </c>
      <c r="AS36" s="56"/>
      <c r="AT36" s="56">
        <v>0</v>
      </c>
      <c r="AU36" s="56"/>
      <c r="AV36" s="56">
        <f t="shared" si="8"/>
        <v>0</v>
      </c>
      <c r="AW36" s="56"/>
      <c r="AX36" s="56">
        <v>0</v>
      </c>
      <c r="AY36" s="56"/>
      <c r="AZ36" s="88">
        <v>0</v>
      </c>
      <c r="BA36" s="56">
        <v>0</v>
      </c>
      <c r="BB36" s="214"/>
      <c r="BC36" s="56"/>
      <c r="BD36" s="84">
        <f t="shared" si="9"/>
        <v>0</v>
      </c>
      <c r="BE36" s="56"/>
      <c r="BF36" s="56"/>
      <c r="BG36" s="56"/>
      <c r="BH36" s="72"/>
    </row>
    <row r="37" spans="1:60" ht="20.100000000000001" customHeight="1" outlineLevel="1">
      <c r="A37" s="77" t="s">
        <v>43</v>
      </c>
      <c r="B37" s="77" t="s">
        <v>203</v>
      </c>
      <c r="C37" s="77" t="str">
        <f t="shared" si="5"/>
        <v>AH·</v>
      </c>
      <c r="D37" s="78" t="s">
        <v>46</v>
      </c>
      <c r="E37" s="78" t="str">
        <f t="shared" si="4"/>
        <v>000</v>
      </c>
      <c r="F37" s="3">
        <v>661023</v>
      </c>
      <c r="G37" s="102" t="s">
        <v>452</v>
      </c>
      <c r="H37" s="87"/>
      <c r="I37" s="13">
        <v>2482</v>
      </c>
      <c r="J37" s="13">
        <v>0</v>
      </c>
      <c r="L37" s="56">
        <v>7000</v>
      </c>
      <c r="M37" s="56"/>
      <c r="N37" s="56">
        <v>3600</v>
      </c>
      <c r="O37" s="56"/>
      <c r="P37" s="56">
        <v>3600</v>
      </c>
      <c r="Q37" s="56"/>
      <c r="R37" s="56">
        <v>3600</v>
      </c>
      <c r="S37" s="56"/>
      <c r="T37" s="56">
        <v>0</v>
      </c>
      <c r="U37" s="56"/>
      <c r="V37" s="56">
        <v>3600</v>
      </c>
      <c r="W37" s="56"/>
      <c r="X37" s="56">
        <v>3600</v>
      </c>
      <c r="Y37" s="56"/>
      <c r="Z37" s="56">
        <v>3600</v>
      </c>
      <c r="AA37" s="56"/>
      <c r="AB37" s="56">
        <v>0</v>
      </c>
      <c r="AC37" s="56"/>
      <c r="AD37" s="56">
        <v>0</v>
      </c>
      <c r="AE37" s="56"/>
      <c r="AF37" s="56">
        <f t="shared" si="6"/>
        <v>3600</v>
      </c>
      <c r="AG37" s="56">
        <v>0</v>
      </c>
      <c r="AH37" s="56">
        <v>0</v>
      </c>
      <c r="AI37" s="56"/>
      <c r="AJ37" s="56">
        <f t="shared" si="7"/>
        <v>3600</v>
      </c>
      <c r="AK37" s="85"/>
      <c r="AL37" s="56">
        <v>0</v>
      </c>
      <c r="AM37" s="56"/>
      <c r="AN37" s="88">
        <v>3600</v>
      </c>
      <c r="AO37" s="88">
        <v>0</v>
      </c>
      <c r="AP37" s="88">
        <v>7063.42</v>
      </c>
      <c r="AQ37" s="56"/>
      <c r="AR37" s="56">
        <v>0</v>
      </c>
      <c r="AS37" s="56"/>
      <c r="AT37" s="56">
        <v>0</v>
      </c>
      <c r="AU37" s="56"/>
      <c r="AV37" s="56">
        <f t="shared" si="8"/>
        <v>7063.42</v>
      </c>
      <c r="AW37" s="56"/>
      <c r="AX37" s="56">
        <v>0</v>
      </c>
      <c r="AY37" s="56"/>
      <c r="AZ37" s="88">
        <v>3600</v>
      </c>
      <c r="BA37" s="56">
        <v>3600</v>
      </c>
      <c r="BB37" s="214"/>
      <c r="BC37" s="56"/>
      <c r="BD37" s="84">
        <f t="shared" si="9"/>
        <v>3463.42</v>
      </c>
      <c r="BE37" s="56"/>
      <c r="BF37" s="56"/>
      <c r="BG37" s="56"/>
      <c r="BH37" s="72"/>
    </row>
    <row r="38" spans="1:60" ht="20.100000000000001" customHeight="1" outlineLevel="1">
      <c r="A38" s="77" t="s">
        <v>43</v>
      </c>
      <c r="B38" s="77" t="s">
        <v>203</v>
      </c>
      <c r="C38" s="77" t="str">
        <f t="shared" si="5"/>
        <v>AH·</v>
      </c>
      <c r="D38" s="78" t="s">
        <v>46</v>
      </c>
      <c r="E38" s="78" t="str">
        <f t="shared" si="4"/>
        <v>000</v>
      </c>
      <c r="F38" s="3">
        <v>661024</v>
      </c>
      <c r="G38" s="102" t="s">
        <v>262</v>
      </c>
      <c r="H38" s="87"/>
      <c r="I38" s="13">
        <v>74965</v>
      </c>
      <c r="J38" s="13">
        <v>42886</v>
      </c>
      <c r="L38" s="56">
        <v>149032</v>
      </c>
      <c r="M38" s="56"/>
      <c r="N38" s="56">
        <v>73457</v>
      </c>
      <c r="O38" s="56"/>
      <c r="P38" s="56">
        <v>123457</v>
      </c>
      <c r="Q38" s="56"/>
      <c r="R38" s="56">
        <v>123457</v>
      </c>
      <c r="S38" s="56"/>
      <c r="T38" s="56">
        <v>0</v>
      </c>
      <c r="U38" s="56"/>
      <c r="V38" s="56">
        <v>123457</v>
      </c>
      <c r="W38" s="56"/>
      <c r="X38" s="56">
        <v>155464.79</v>
      </c>
      <c r="Y38" s="56"/>
      <c r="Z38" s="56">
        <v>73457</v>
      </c>
      <c r="AA38" s="56"/>
      <c r="AB38" s="56">
        <v>0</v>
      </c>
      <c r="AC38" s="56"/>
      <c r="AD38" s="56">
        <v>958</v>
      </c>
      <c r="AE38" s="56"/>
      <c r="AF38" s="56">
        <f t="shared" si="6"/>
        <v>74415</v>
      </c>
      <c r="AG38" s="56">
        <v>0</v>
      </c>
      <c r="AH38" s="56">
        <v>0</v>
      </c>
      <c r="AI38" s="56"/>
      <c r="AJ38" s="56">
        <f t="shared" si="7"/>
        <v>74415</v>
      </c>
      <c r="AK38" s="85"/>
      <c r="AL38" s="56">
        <v>118506</v>
      </c>
      <c r="AM38" s="56"/>
      <c r="AN38" s="88">
        <v>164082.03</v>
      </c>
      <c r="AO38" s="88">
        <v>0</v>
      </c>
      <c r="AP38" s="88">
        <v>146007.07999999999</v>
      </c>
      <c r="AQ38" s="56"/>
      <c r="AR38" s="56">
        <v>0</v>
      </c>
      <c r="AS38" s="56"/>
      <c r="AT38" s="56">
        <v>26302.25</v>
      </c>
      <c r="AU38" s="56"/>
      <c r="AV38" s="56">
        <f t="shared" si="8"/>
        <v>172309.33</v>
      </c>
      <c r="AW38" s="56"/>
      <c r="AX38" s="56">
        <v>-875</v>
      </c>
      <c r="AY38" s="56"/>
      <c r="AZ38" s="88">
        <v>90961</v>
      </c>
      <c r="BA38" s="56">
        <v>91131</v>
      </c>
      <c r="BB38" s="214"/>
      <c r="BC38" s="56"/>
      <c r="BD38" s="84">
        <f t="shared" si="9"/>
        <v>-18074.950000000012</v>
      </c>
      <c r="BE38" s="56"/>
      <c r="BF38" s="56"/>
      <c r="BG38" s="56"/>
      <c r="BH38" s="72"/>
    </row>
    <row r="39" spans="1:60" ht="20.100000000000001" customHeight="1" outlineLevel="1">
      <c r="A39" s="77" t="s">
        <v>43</v>
      </c>
      <c r="B39" s="77" t="s">
        <v>203</v>
      </c>
      <c r="C39" s="77" t="str">
        <f t="shared" si="5"/>
        <v>AH·</v>
      </c>
      <c r="D39" s="78" t="s">
        <v>46</v>
      </c>
      <c r="E39" s="78" t="str">
        <f t="shared" si="4"/>
        <v>000</v>
      </c>
      <c r="F39" s="3">
        <v>661028</v>
      </c>
      <c r="G39" s="102" t="s">
        <v>453</v>
      </c>
      <c r="H39" s="87"/>
      <c r="I39" s="13">
        <v>54189</v>
      </c>
      <c r="J39" s="13">
        <v>69140</v>
      </c>
      <c r="L39" s="56">
        <v>79910</v>
      </c>
      <c r="M39" s="56"/>
      <c r="N39" s="56">
        <v>80787</v>
      </c>
      <c r="O39" s="56"/>
      <c r="P39" s="56">
        <v>80787</v>
      </c>
      <c r="Q39" s="56"/>
      <c r="R39" s="56">
        <v>80787</v>
      </c>
      <c r="S39" s="56"/>
      <c r="T39" s="56">
        <v>0</v>
      </c>
      <c r="U39" s="56"/>
      <c r="V39" s="56">
        <v>80787</v>
      </c>
      <c r="W39" s="56"/>
      <c r="X39" s="56">
        <v>88558.78</v>
      </c>
      <c r="Y39" s="56"/>
      <c r="Z39" s="56">
        <v>94787</v>
      </c>
      <c r="AA39" s="56"/>
      <c r="AB39" s="56">
        <v>0</v>
      </c>
      <c r="AC39" s="56"/>
      <c r="AD39" s="56">
        <v>648</v>
      </c>
      <c r="AE39" s="56"/>
      <c r="AF39" s="56">
        <f t="shared" si="6"/>
        <v>95435</v>
      </c>
      <c r="AG39" s="56">
        <v>10000</v>
      </c>
      <c r="AH39" s="56">
        <v>0</v>
      </c>
      <c r="AI39" s="56"/>
      <c r="AJ39" s="56">
        <f t="shared" si="7"/>
        <v>105435</v>
      </c>
      <c r="AK39" s="85"/>
      <c r="AL39" s="56">
        <f>10000+7000</f>
        <v>17000</v>
      </c>
      <c r="AM39" s="56"/>
      <c r="AN39" s="88">
        <v>123165.03</v>
      </c>
      <c r="AO39" s="88">
        <v>0</v>
      </c>
      <c r="AP39" s="88">
        <v>119991.35</v>
      </c>
      <c r="AQ39" s="56"/>
      <c r="AR39" s="56">
        <v>-1000</v>
      </c>
      <c r="AS39" s="56"/>
      <c r="AT39" s="56">
        <v>0</v>
      </c>
      <c r="AU39" s="56"/>
      <c r="AV39" s="56">
        <f t="shared" si="8"/>
        <v>118991.35</v>
      </c>
      <c r="AW39" s="56"/>
      <c r="AX39" s="56">
        <v>27000</v>
      </c>
      <c r="AY39" s="56"/>
      <c r="AZ39" s="88">
        <v>60213</v>
      </c>
      <c r="BA39" s="56">
        <v>75918</v>
      </c>
      <c r="BB39" s="214"/>
      <c r="BC39" s="56"/>
      <c r="BD39" s="84">
        <f t="shared" si="9"/>
        <v>-3173.679999999993</v>
      </c>
      <c r="BE39" s="56"/>
      <c r="BF39" s="56"/>
      <c r="BG39" s="56"/>
      <c r="BH39" s="72"/>
    </row>
    <row r="40" spans="1:60" ht="20.100000000000001" customHeight="1" outlineLevel="1">
      <c r="A40" s="77" t="s">
        <v>43</v>
      </c>
      <c r="B40" s="77" t="s">
        <v>203</v>
      </c>
      <c r="C40" s="77" t="str">
        <f t="shared" si="5"/>
        <v>AH·</v>
      </c>
      <c r="D40" s="78" t="s">
        <v>46</v>
      </c>
      <c r="E40" s="78" t="str">
        <f t="shared" si="4"/>
        <v>000</v>
      </c>
      <c r="F40" s="3">
        <v>661034</v>
      </c>
      <c r="G40" s="102" t="s">
        <v>454</v>
      </c>
      <c r="H40" s="87"/>
      <c r="I40" s="13">
        <v>26350</v>
      </c>
      <c r="J40" s="13">
        <v>30971</v>
      </c>
      <c r="L40" s="56">
        <v>37400</v>
      </c>
      <c r="M40" s="56"/>
      <c r="N40" s="56">
        <v>35758</v>
      </c>
      <c r="O40" s="56"/>
      <c r="P40" s="56">
        <v>39940</v>
      </c>
      <c r="Q40" s="56"/>
      <c r="R40" s="56">
        <v>39940</v>
      </c>
      <c r="S40" s="56"/>
      <c r="T40" s="56">
        <v>2000</v>
      </c>
      <c r="U40" s="56"/>
      <c r="V40" s="56">
        <v>41940</v>
      </c>
      <c r="W40" s="56"/>
      <c r="X40" s="56">
        <v>38361.61</v>
      </c>
      <c r="Y40" s="56"/>
      <c r="Z40" s="56">
        <v>35758</v>
      </c>
      <c r="AA40" s="56"/>
      <c r="AB40" s="56">
        <v>0</v>
      </c>
      <c r="AC40" s="56"/>
      <c r="AD40" s="56">
        <v>0</v>
      </c>
      <c r="AE40" s="56"/>
      <c r="AF40" s="56">
        <f t="shared" si="6"/>
        <v>35758</v>
      </c>
      <c r="AG40" s="56">
        <v>0</v>
      </c>
      <c r="AH40" s="56">
        <v>0</v>
      </c>
      <c r="AI40" s="56"/>
      <c r="AJ40" s="56">
        <f t="shared" si="7"/>
        <v>35758</v>
      </c>
      <c r="AK40" s="85"/>
      <c r="AL40" s="56">
        <f>3000+500</f>
        <v>3500</v>
      </c>
      <c r="AM40" s="56"/>
      <c r="AN40" s="88">
        <v>35953.68</v>
      </c>
      <c r="AO40" s="88">
        <v>0</v>
      </c>
      <c r="AP40" s="88">
        <v>34774.17</v>
      </c>
      <c r="AQ40" s="56"/>
      <c r="AR40" s="56">
        <v>0</v>
      </c>
      <c r="AS40" s="56"/>
      <c r="AT40" s="56">
        <v>0</v>
      </c>
      <c r="AU40" s="56"/>
      <c r="AV40" s="56">
        <f t="shared" si="8"/>
        <v>34774.17</v>
      </c>
      <c r="AW40" s="56"/>
      <c r="AX40" s="56">
        <v>-1600</v>
      </c>
      <c r="AY40" s="56"/>
      <c r="AZ40" s="88">
        <v>35043</v>
      </c>
      <c r="BA40" s="56">
        <v>37042</v>
      </c>
      <c r="BB40" s="214"/>
      <c r="BC40" s="56"/>
      <c r="BD40" s="84">
        <f t="shared" si="9"/>
        <v>-1179.510000000002</v>
      </c>
      <c r="BE40" s="56"/>
      <c r="BF40" s="56"/>
      <c r="BG40" s="56"/>
      <c r="BH40" s="72"/>
    </row>
    <row r="41" spans="1:60" ht="20.100000000000001" customHeight="1" outlineLevel="1">
      <c r="A41" s="77" t="s">
        <v>43</v>
      </c>
      <c r="B41" s="77" t="s">
        <v>203</v>
      </c>
      <c r="C41" s="77" t="str">
        <f t="shared" si="5"/>
        <v>AH·</v>
      </c>
      <c r="D41" s="78" t="s">
        <v>46</v>
      </c>
      <c r="E41" s="78" t="str">
        <f t="shared" si="4"/>
        <v>000</v>
      </c>
      <c r="F41" s="3">
        <v>661035</v>
      </c>
      <c r="G41" s="102" t="s">
        <v>455</v>
      </c>
      <c r="H41" s="87"/>
      <c r="I41" s="13">
        <v>15257</v>
      </c>
      <c r="J41" s="13">
        <v>13426</v>
      </c>
      <c r="L41" s="56">
        <v>17031</v>
      </c>
      <c r="M41" s="56"/>
      <c r="N41" s="56">
        <v>17533</v>
      </c>
      <c r="O41" s="56"/>
      <c r="P41" s="56">
        <v>21360</v>
      </c>
      <c r="Q41" s="56"/>
      <c r="R41" s="56">
        <v>21360</v>
      </c>
      <c r="S41" s="56"/>
      <c r="T41" s="56">
        <v>0</v>
      </c>
      <c r="U41" s="56"/>
      <c r="V41" s="56">
        <v>21360</v>
      </c>
      <c r="W41" s="56"/>
      <c r="X41" s="56">
        <v>20706.53</v>
      </c>
      <c r="Y41" s="56"/>
      <c r="Z41" s="56">
        <v>13000</v>
      </c>
      <c r="AA41" s="56"/>
      <c r="AB41" s="56">
        <v>0</v>
      </c>
      <c r="AC41" s="56"/>
      <c r="AD41" s="56">
        <v>0</v>
      </c>
      <c r="AE41" s="56"/>
      <c r="AF41" s="56">
        <f t="shared" si="6"/>
        <v>13000</v>
      </c>
      <c r="AG41" s="56">
        <v>3827</v>
      </c>
      <c r="AH41" s="56">
        <v>0</v>
      </c>
      <c r="AI41" s="56"/>
      <c r="AJ41" s="56">
        <f t="shared" si="7"/>
        <v>16827</v>
      </c>
      <c r="AK41" s="85"/>
      <c r="AL41" s="56">
        <v>3800</v>
      </c>
      <c r="AM41" s="56"/>
      <c r="AN41" s="88">
        <v>22443.22</v>
      </c>
      <c r="AO41" s="88">
        <v>0</v>
      </c>
      <c r="AP41" s="88">
        <v>18576.21</v>
      </c>
      <c r="AQ41" s="56"/>
      <c r="AR41" s="56">
        <v>0</v>
      </c>
      <c r="AS41" s="56"/>
      <c r="AT41" s="56">
        <v>200.88</v>
      </c>
      <c r="AU41" s="56"/>
      <c r="AV41" s="56">
        <f t="shared" si="8"/>
        <v>18777.09</v>
      </c>
      <c r="AW41" s="56"/>
      <c r="AX41" s="56">
        <v>-400</v>
      </c>
      <c r="AY41" s="56"/>
      <c r="AZ41" s="88">
        <v>16827</v>
      </c>
      <c r="BA41" s="56">
        <v>15327</v>
      </c>
      <c r="BB41" s="214"/>
      <c r="BC41" s="56"/>
      <c r="BD41" s="84">
        <f t="shared" si="9"/>
        <v>-3867.010000000002</v>
      </c>
      <c r="BE41" s="56"/>
      <c r="BF41" s="56"/>
      <c r="BG41" s="56"/>
      <c r="BH41" s="72"/>
    </row>
    <row r="42" spans="1:60" ht="20.100000000000001" customHeight="1" outlineLevel="1">
      <c r="A42" s="77" t="s">
        <v>43</v>
      </c>
      <c r="B42" s="77" t="s">
        <v>203</v>
      </c>
      <c r="C42" s="77" t="str">
        <f t="shared" si="5"/>
        <v>AH·</v>
      </c>
      <c r="D42" s="78" t="s">
        <v>46</v>
      </c>
      <c r="E42" s="78" t="str">
        <f t="shared" si="4"/>
        <v>000</v>
      </c>
      <c r="F42" s="3">
        <v>661037</v>
      </c>
      <c r="G42" s="102" t="s">
        <v>456</v>
      </c>
      <c r="H42" s="87"/>
      <c r="I42" s="13">
        <v>29325</v>
      </c>
      <c r="J42" s="13">
        <v>35772</v>
      </c>
      <c r="L42" s="56">
        <v>59685</v>
      </c>
      <c r="M42" s="56"/>
      <c r="N42" s="56">
        <v>50824</v>
      </c>
      <c r="O42" s="56"/>
      <c r="P42" s="56">
        <v>74411</v>
      </c>
      <c r="Q42" s="56"/>
      <c r="R42" s="56">
        <v>74411</v>
      </c>
      <c r="S42" s="56"/>
      <c r="T42" s="56">
        <v>0</v>
      </c>
      <c r="U42" s="56"/>
      <c r="V42" s="56">
        <v>74411</v>
      </c>
      <c r="W42" s="56"/>
      <c r="X42" s="56">
        <v>94322.35</v>
      </c>
      <c r="Y42" s="56"/>
      <c r="Z42" s="56">
        <v>50824</v>
      </c>
      <c r="AA42" s="56"/>
      <c r="AB42" s="56">
        <v>0</v>
      </c>
      <c r="AC42" s="56"/>
      <c r="AD42" s="56">
        <v>127</v>
      </c>
      <c r="AE42" s="56"/>
      <c r="AF42" s="56">
        <f t="shared" si="6"/>
        <v>50951</v>
      </c>
      <c r="AG42" s="56">
        <v>30000</v>
      </c>
      <c r="AH42" s="56">
        <v>0</v>
      </c>
      <c r="AI42" s="56"/>
      <c r="AJ42" s="56">
        <f t="shared" si="7"/>
        <v>80951</v>
      </c>
      <c r="AK42" s="85"/>
      <c r="AL42" s="56">
        <f>13820+2000</f>
        <v>15820</v>
      </c>
      <c r="AM42" s="56"/>
      <c r="AN42" s="88">
        <v>96198.29</v>
      </c>
      <c r="AO42" s="88">
        <v>0</v>
      </c>
      <c r="AP42" s="88">
        <v>91768.66</v>
      </c>
      <c r="AQ42" s="56"/>
      <c r="AR42" s="56">
        <v>0</v>
      </c>
      <c r="AS42" s="56"/>
      <c r="AT42" s="56">
        <v>2151.46</v>
      </c>
      <c r="AU42" s="56"/>
      <c r="AV42" s="56">
        <f t="shared" si="8"/>
        <v>93920.12000000001</v>
      </c>
      <c r="AW42" s="56"/>
      <c r="AX42" s="56">
        <v>0</v>
      </c>
      <c r="AY42" s="56"/>
      <c r="AZ42" s="88">
        <v>61909</v>
      </c>
      <c r="BA42" s="56">
        <v>82583</v>
      </c>
      <c r="BB42" s="214"/>
      <c r="BC42" s="56"/>
      <c r="BD42" s="84">
        <f t="shared" si="9"/>
        <v>-4429.6299999999901</v>
      </c>
      <c r="BE42" s="56"/>
      <c r="BF42" s="56"/>
      <c r="BG42" s="56"/>
      <c r="BH42" s="72"/>
    </row>
    <row r="43" spans="1:60" ht="20.100000000000001" customHeight="1" outlineLevel="1">
      <c r="A43" s="77" t="s">
        <v>43</v>
      </c>
      <c r="B43" s="77" t="s">
        <v>203</v>
      </c>
      <c r="C43" s="77" t="str">
        <f t="shared" si="5"/>
        <v>AH·</v>
      </c>
      <c r="D43" s="78" t="s">
        <v>46</v>
      </c>
      <c r="E43" s="78" t="str">
        <f t="shared" si="4"/>
        <v>000</v>
      </c>
      <c r="F43" s="3">
        <v>661038</v>
      </c>
      <c r="G43" s="102" t="s">
        <v>457</v>
      </c>
      <c r="H43" s="87"/>
      <c r="I43" s="13">
        <v>17267</v>
      </c>
      <c r="J43" s="13">
        <v>25476</v>
      </c>
      <c r="L43" s="56">
        <v>30354</v>
      </c>
      <c r="M43" s="56"/>
      <c r="N43" s="56">
        <v>30452</v>
      </c>
      <c r="O43" s="56"/>
      <c r="P43" s="56">
        <v>44052</v>
      </c>
      <c r="Q43" s="56"/>
      <c r="R43" s="56">
        <v>44052</v>
      </c>
      <c r="S43" s="56"/>
      <c r="T43" s="56">
        <v>1631</v>
      </c>
      <c r="U43" s="56"/>
      <c r="V43" s="56">
        <v>45683</v>
      </c>
      <c r="W43" s="56"/>
      <c r="X43" s="56">
        <v>45559.64</v>
      </c>
      <c r="Y43" s="56"/>
      <c r="Z43" s="56">
        <v>26092</v>
      </c>
      <c r="AA43" s="56"/>
      <c r="AB43" s="56">
        <f>5240+5000</f>
        <v>10240</v>
      </c>
      <c r="AC43" s="56"/>
      <c r="AD43" s="56">
        <v>0</v>
      </c>
      <c r="AE43" s="56"/>
      <c r="AF43" s="56">
        <f t="shared" si="6"/>
        <v>36332</v>
      </c>
      <c r="AG43" s="56">
        <v>0</v>
      </c>
      <c r="AH43" s="56">
        <v>0</v>
      </c>
      <c r="AI43" s="56"/>
      <c r="AJ43" s="56">
        <f t="shared" si="7"/>
        <v>36332</v>
      </c>
      <c r="AK43" s="85"/>
      <c r="AL43" s="56">
        <v>0</v>
      </c>
      <c r="AM43" s="56"/>
      <c r="AN43" s="88">
        <v>38954.660000000003</v>
      </c>
      <c r="AO43" s="88">
        <v>0</v>
      </c>
      <c r="AP43" s="88">
        <v>25245.91</v>
      </c>
      <c r="AQ43" s="56"/>
      <c r="AR43" s="56">
        <v>0</v>
      </c>
      <c r="AS43" s="56"/>
      <c r="AT43" s="56">
        <v>0</v>
      </c>
      <c r="AU43" s="56"/>
      <c r="AV43" s="56">
        <f t="shared" si="8"/>
        <v>25245.91</v>
      </c>
      <c r="AW43" s="56"/>
      <c r="AX43" s="56">
        <f>1445+1272</f>
        <v>2717</v>
      </c>
      <c r="AY43" s="56"/>
      <c r="AZ43" s="88">
        <v>21910</v>
      </c>
      <c r="BA43" s="56">
        <v>29610</v>
      </c>
      <c r="BB43" s="214"/>
      <c r="BC43" s="56"/>
      <c r="BD43" s="84">
        <f t="shared" si="9"/>
        <v>-13708.750000000004</v>
      </c>
      <c r="BE43" s="56"/>
      <c r="BF43" s="56"/>
      <c r="BG43" s="56"/>
      <c r="BH43" s="72"/>
    </row>
    <row r="44" spans="1:60" ht="20.100000000000001" customHeight="1" outlineLevel="1">
      <c r="A44" s="77" t="s">
        <v>43</v>
      </c>
      <c r="B44" s="77" t="s">
        <v>203</v>
      </c>
      <c r="C44" s="77" t="str">
        <f t="shared" si="5"/>
        <v>AH·</v>
      </c>
      <c r="D44" s="78" t="s">
        <v>46</v>
      </c>
      <c r="E44" s="78" t="str">
        <f t="shared" si="4"/>
        <v>000</v>
      </c>
      <c r="F44" s="3">
        <v>661054</v>
      </c>
      <c r="G44" s="102" t="s">
        <v>458</v>
      </c>
      <c r="H44" s="87"/>
      <c r="I44" s="13">
        <v>31989</v>
      </c>
      <c r="J44" s="13">
        <v>39109</v>
      </c>
      <c r="L44" s="56">
        <v>41235</v>
      </c>
      <c r="M44" s="56"/>
      <c r="N44" s="56">
        <v>42168</v>
      </c>
      <c r="O44" s="56"/>
      <c r="P44" s="56">
        <v>44153</v>
      </c>
      <c r="Q44" s="56"/>
      <c r="R44" s="56">
        <v>44153</v>
      </c>
      <c r="S44" s="56"/>
      <c r="T44" s="56">
        <v>0</v>
      </c>
      <c r="U44" s="56"/>
      <c r="V44" s="56">
        <v>44153</v>
      </c>
      <c r="W44" s="56"/>
      <c r="X44" s="56">
        <v>40529.769999999997</v>
      </c>
      <c r="Y44" s="56"/>
      <c r="Z44" s="56">
        <v>42168</v>
      </c>
      <c r="AA44" s="56"/>
      <c r="AB44" s="56">
        <v>0</v>
      </c>
      <c r="AC44" s="56"/>
      <c r="AD44" s="56">
        <v>0</v>
      </c>
      <c r="AE44" s="56"/>
      <c r="AF44" s="56">
        <f t="shared" si="6"/>
        <v>42168</v>
      </c>
      <c r="AG44" s="56">
        <v>0</v>
      </c>
      <c r="AH44" s="56">
        <v>0</v>
      </c>
      <c r="AI44" s="56"/>
      <c r="AJ44" s="56">
        <f t="shared" si="7"/>
        <v>42168</v>
      </c>
      <c r="AK44" s="85"/>
      <c r="AL44" s="56">
        <v>45604</v>
      </c>
      <c r="AM44" s="56"/>
      <c r="AN44" s="88">
        <v>77569.320000000007</v>
      </c>
      <c r="AO44" s="88">
        <v>0</v>
      </c>
      <c r="AP44" s="88">
        <v>86297.54</v>
      </c>
      <c r="AQ44" s="56"/>
      <c r="AR44" s="56">
        <v>0</v>
      </c>
      <c r="AS44" s="56"/>
      <c r="AT44" s="56">
        <v>0</v>
      </c>
      <c r="AU44" s="56"/>
      <c r="AV44" s="56">
        <f t="shared" si="8"/>
        <v>86297.54</v>
      </c>
      <c r="AW44" s="56"/>
      <c r="AX44" s="56">
        <v>0</v>
      </c>
      <c r="AY44" s="56"/>
      <c r="AZ44" s="88">
        <v>50218</v>
      </c>
      <c r="BA44" s="56">
        <v>50218</v>
      </c>
      <c r="BB44" s="214"/>
      <c r="BC44" s="56"/>
      <c r="BD44" s="84">
        <f t="shared" si="9"/>
        <v>8728.2199999999866</v>
      </c>
      <c r="BE44" s="56"/>
      <c r="BF44" s="56"/>
      <c r="BG44" s="56"/>
      <c r="BH44" s="72"/>
    </row>
    <row r="45" spans="1:60" ht="20.100000000000001" customHeight="1" outlineLevel="1">
      <c r="A45" s="77" t="s">
        <v>43</v>
      </c>
      <c r="B45" s="77" t="s">
        <v>203</v>
      </c>
      <c r="C45" s="77" t="str">
        <f t="shared" si="5"/>
        <v>AH·</v>
      </c>
      <c r="D45" s="78" t="s">
        <v>46</v>
      </c>
      <c r="E45" s="78" t="str">
        <f t="shared" si="4"/>
        <v>000</v>
      </c>
      <c r="F45" s="3">
        <v>661055</v>
      </c>
      <c r="G45" s="102" t="s">
        <v>459</v>
      </c>
      <c r="H45" s="87"/>
      <c r="I45" s="13">
        <v>53</v>
      </c>
      <c r="J45" s="13">
        <v>0</v>
      </c>
      <c r="L45" s="56">
        <v>0</v>
      </c>
      <c r="M45" s="56"/>
      <c r="N45" s="56">
        <v>0</v>
      </c>
      <c r="O45" s="56"/>
      <c r="P45" s="56">
        <v>0</v>
      </c>
      <c r="Q45" s="56"/>
      <c r="R45" s="56">
        <v>0</v>
      </c>
      <c r="S45" s="56"/>
      <c r="T45" s="56">
        <v>0</v>
      </c>
      <c r="U45" s="56"/>
      <c r="V45" s="56">
        <v>0</v>
      </c>
      <c r="W45" s="56"/>
      <c r="X45" s="56">
        <v>0</v>
      </c>
      <c r="Y45" s="56"/>
      <c r="Z45" s="56">
        <v>0</v>
      </c>
      <c r="AA45" s="56"/>
      <c r="AB45" s="89">
        <v>0</v>
      </c>
      <c r="AC45" s="56"/>
      <c r="AD45" s="56">
        <v>0</v>
      </c>
      <c r="AE45" s="56"/>
      <c r="AF45" s="56">
        <f t="shared" si="6"/>
        <v>0</v>
      </c>
      <c r="AG45" s="56">
        <v>0</v>
      </c>
      <c r="AH45" s="56">
        <v>0</v>
      </c>
      <c r="AI45" s="56"/>
      <c r="AJ45" s="56">
        <f t="shared" si="7"/>
        <v>0</v>
      </c>
      <c r="AK45" s="85"/>
      <c r="AL45" s="56">
        <v>0</v>
      </c>
      <c r="AM45" s="56"/>
      <c r="AN45" s="88">
        <f>SUM(AI45:AM45)</f>
        <v>0</v>
      </c>
      <c r="AO45" s="88">
        <v>0</v>
      </c>
      <c r="AP45" s="88">
        <v>123.02</v>
      </c>
      <c r="AQ45" s="56"/>
      <c r="AR45" s="56">
        <v>0</v>
      </c>
      <c r="AS45" s="56"/>
      <c r="AT45" s="56">
        <v>0</v>
      </c>
      <c r="AU45" s="56"/>
      <c r="AV45" s="56">
        <f t="shared" si="8"/>
        <v>123.02</v>
      </c>
      <c r="AW45" s="56"/>
      <c r="AX45" s="56">
        <v>0</v>
      </c>
      <c r="AY45" s="56"/>
      <c r="AZ45" s="88">
        <v>0</v>
      </c>
      <c r="BA45" s="56">
        <v>0</v>
      </c>
      <c r="BB45" s="214"/>
      <c r="BC45" s="56"/>
      <c r="BD45" s="84">
        <f t="shared" si="9"/>
        <v>123.02</v>
      </c>
      <c r="BE45" s="56"/>
      <c r="BF45" s="56"/>
      <c r="BG45" s="56"/>
      <c r="BH45" s="72"/>
    </row>
    <row r="46" spans="1:60" ht="20.100000000000001" customHeight="1" outlineLevel="1">
      <c r="A46" s="77" t="s">
        <v>43</v>
      </c>
      <c r="B46" s="77" t="s">
        <v>203</v>
      </c>
      <c r="C46" s="77" t="str">
        <f t="shared" si="5"/>
        <v>AH·</v>
      </c>
      <c r="D46" s="78" t="s">
        <v>46</v>
      </c>
      <c r="E46" s="78" t="str">
        <f t="shared" si="4"/>
        <v>000</v>
      </c>
      <c r="F46" s="3">
        <v>661057</v>
      </c>
      <c r="G46" s="102" t="s">
        <v>460</v>
      </c>
      <c r="H46" s="87"/>
      <c r="I46" s="13">
        <v>22215</v>
      </c>
      <c r="J46" s="13">
        <v>22116</v>
      </c>
      <c r="L46" s="56">
        <v>23208</v>
      </c>
      <c r="M46" s="56"/>
      <c r="N46" s="56">
        <v>22766</v>
      </c>
      <c r="O46" s="56"/>
      <c r="P46" s="56">
        <v>25133</v>
      </c>
      <c r="Q46" s="56"/>
      <c r="R46" s="56">
        <v>25133</v>
      </c>
      <c r="S46" s="56"/>
      <c r="T46" s="56">
        <v>0</v>
      </c>
      <c r="U46" s="56"/>
      <c r="V46" s="56">
        <v>25133</v>
      </c>
      <c r="W46" s="56"/>
      <c r="X46" s="56">
        <v>21373.97</v>
      </c>
      <c r="Y46" s="56"/>
      <c r="Z46" s="56">
        <v>22766</v>
      </c>
      <c r="AA46" s="56"/>
      <c r="AB46" s="56">
        <v>0</v>
      </c>
      <c r="AC46" s="56"/>
      <c r="AD46" s="56">
        <v>0</v>
      </c>
      <c r="AE46" s="56"/>
      <c r="AF46" s="56">
        <f t="shared" si="6"/>
        <v>22766</v>
      </c>
      <c r="AG46" s="56">
        <v>0</v>
      </c>
      <c r="AH46" s="56">
        <v>0</v>
      </c>
      <c r="AI46" s="56"/>
      <c r="AJ46" s="56">
        <f t="shared" si="7"/>
        <v>22766</v>
      </c>
      <c r="AK46" s="85"/>
      <c r="AL46" s="56">
        <v>0</v>
      </c>
      <c r="AM46" s="56"/>
      <c r="AN46" s="88">
        <v>21682.5</v>
      </c>
      <c r="AO46" s="88">
        <v>0</v>
      </c>
      <c r="AP46" s="88">
        <v>11233.88</v>
      </c>
      <c r="AQ46" s="56"/>
      <c r="AR46" s="56">
        <v>0</v>
      </c>
      <c r="AS46" s="56"/>
      <c r="AT46" s="56">
        <v>0</v>
      </c>
      <c r="AU46" s="56"/>
      <c r="AV46" s="56">
        <f t="shared" si="8"/>
        <v>11233.88</v>
      </c>
      <c r="AW46" s="56"/>
      <c r="AX46" s="56">
        <v>0</v>
      </c>
      <c r="AY46" s="56"/>
      <c r="AZ46" s="88">
        <v>25700</v>
      </c>
      <c r="BA46" s="56">
        <v>29396</v>
      </c>
      <c r="BB46" s="214"/>
      <c r="BC46" s="56"/>
      <c r="BD46" s="84">
        <f t="shared" si="9"/>
        <v>-10448.620000000001</v>
      </c>
      <c r="BE46" s="56"/>
      <c r="BF46" s="56"/>
      <c r="BG46" s="56"/>
      <c r="BH46" s="72"/>
    </row>
    <row r="47" spans="1:60" ht="20.100000000000001" customHeight="1" outlineLevel="1">
      <c r="A47" s="77" t="s">
        <v>43</v>
      </c>
      <c r="B47" s="77" t="s">
        <v>203</v>
      </c>
      <c r="C47" s="77" t="str">
        <f t="shared" si="5"/>
        <v>AH·</v>
      </c>
      <c r="D47" s="78" t="s">
        <v>46</v>
      </c>
      <c r="E47" s="78" t="str">
        <f t="shared" si="4"/>
        <v>000</v>
      </c>
      <c r="F47" s="3">
        <v>661058</v>
      </c>
      <c r="G47" s="148" t="s">
        <v>463</v>
      </c>
      <c r="H47" s="87"/>
      <c r="I47" s="13">
        <v>16573</v>
      </c>
      <c r="J47" s="13">
        <v>17614</v>
      </c>
      <c r="L47" s="56">
        <v>21276</v>
      </c>
      <c r="M47" s="56"/>
      <c r="N47" s="56">
        <v>20700</v>
      </c>
      <c r="O47" s="56"/>
      <c r="P47" s="56">
        <v>20700</v>
      </c>
      <c r="Q47" s="56"/>
      <c r="R47" s="56">
        <v>20700</v>
      </c>
      <c r="S47" s="56"/>
      <c r="T47" s="56">
        <v>0</v>
      </c>
      <c r="U47" s="56"/>
      <c r="V47" s="56">
        <v>20700</v>
      </c>
      <c r="W47" s="56"/>
      <c r="X47" s="56">
        <v>23272.1</v>
      </c>
      <c r="Y47" s="56"/>
      <c r="Z47" s="56">
        <v>20700</v>
      </c>
      <c r="AA47" s="56"/>
      <c r="AB47" s="56">
        <v>0</v>
      </c>
      <c r="AC47" s="56"/>
      <c r="AD47" s="56">
        <v>0</v>
      </c>
      <c r="AE47" s="56"/>
      <c r="AF47" s="56">
        <f t="shared" si="6"/>
        <v>20700</v>
      </c>
      <c r="AG47" s="89">
        <v>18230</v>
      </c>
      <c r="AH47" s="56">
        <v>0</v>
      </c>
      <c r="AI47" s="56"/>
      <c r="AJ47" s="56">
        <f t="shared" si="7"/>
        <v>38930</v>
      </c>
      <c r="AK47" s="85"/>
      <c r="AL47" s="56">
        <v>9750</v>
      </c>
      <c r="AM47" s="56"/>
      <c r="AN47" s="88">
        <v>45658.080000000002</v>
      </c>
      <c r="AO47" s="88">
        <v>0</v>
      </c>
      <c r="AP47" s="88">
        <v>23156.34</v>
      </c>
      <c r="AQ47" s="56"/>
      <c r="AR47" s="56">
        <v>0</v>
      </c>
      <c r="AS47" s="56"/>
      <c r="AT47" s="56">
        <v>0</v>
      </c>
      <c r="AU47" s="56"/>
      <c r="AV47" s="56">
        <f t="shared" si="8"/>
        <v>23156.34</v>
      </c>
      <c r="AW47" s="56"/>
      <c r="AX47" s="56">
        <v>-6695</v>
      </c>
      <c r="AY47" s="56"/>
      <c r="AZ47" s="88">
        <v>25700</v>
      </c>
      <c r="BA47" s="56">
        <v>25700</v>
      </c>
      <c r="BB47" s="214"/>
      <c r="BC47" s="56"/>
      <c r="BD47" s="84">
        <f t="shared" si="9"/>
        <v>-22501.74</v>
      </c>
      <c r="BE47" s="56"/>
      <c r="BF47" s="56"/>
      <c r="BG47" s="56"/>
      <c r="BH47" s="72"/>
    </row>
    <row r="48" spans="1:60" ht="20.100000000000001" customHeight="1" outlineLevel="1">
      <c r="A48" s="77" t="s">
        <v>43</v>
      </c>
      <c r="B48" s="77" t="s">
        <v>203</v>
      </c>
      <c r="C48" s="77" t="str">
        <f t="shared" si="5"/>
        <v>AH·</v>
      </c>
      <c r="D48" s="78" t="s">
        <v>46</v>
      </c>
      <c r="E48" s="78" t="str">
        <f t="shared" si="4"/>
        <v>000</v>
      </c>
      <c r="F48" s="3">
        <v>661059</v>
      </c>
      <c r="G48" s="102" t="s">
        <v>464</v>
      </c>
      <c r="H48" s="87"/>
      <c r="I48" s="13">
        <v>734</v>
      </c>
      <c r="J48" s="13">
        <v>745</v>
      </c>
      <c r="L48" s="56">
        <v>981</v>
      </c>
      <c r="M48" s="56"/>
      <c r="N48" s="56">
        <v>1000</v>
      </c>
      <c r="O48" s="56"/>
      <c r="P48" s="56">
        <v>1000</v>
      </c>
      <c r="Q48" s="56"/>
      <c r="R48" s="56">
        <v>1000</v>
      </c>
      <c r="S48" s="56"/>
      <c r="T48" s="56">
        <v>0</v>
      </c>
      <c r="U48" s="56"/>
      <c r="V48" s="56">
        <v>1000</v>
      </c>
      <c r="W48" s="56"/>
      <c r="X48" s="56">
        <v>0</v>
      </c>
      <c r="Y48" s="56"/>
      <c r="Z48" s="56">
        <v>1000</v>
      </c>
      <c r="AA48" s="56"/>
      <c r="AB48" s="56">
        <v>0</v>
      </c>
      <c r="AC48" s="56"/>
      <c r="AD48" s="56">
        <v>0</v>
      </c>
      <c r="AE48" s="56"/>
      <c r="AF48" s="56">
        <f t="shared" si="6"/>
        <v>1000</v>
      </c>
      <c r="AG48" s="56">
        <v>0</v>
      </c>
      <c r="AH48" s="56">
        <v>0</v>
      </c>
      <c r="AI48" s="56"/>
      <c r="AJ48" s="56">
        <f t="shared" si="7"/>
        <v>1000</v>
      </c>
      <c r="AK48" s="85"/>
      <c r="AL48" s="56">
        <v>0</v>
      </c>
      <c r="AM48" s="56"/>
      <c r="AN48" s="88">
        <v>0</v>
      </c>
      <c r="AO48" s="88">
        <v>0</v>
      </c>
      <c r="AP48" s="88">
        <v>0</v>
      </c>
      <c r="AQ48" s="56"/>
      <c r="AR48" s="56">
        <v>0</v>
      </c>
      <c r="AS48" s="56"/>
      <c r="AT48" s="56">
        <v>0</v>
      </c>
      <c r="AU48" s="56"/>
      <c r="AV48" s="56">
        <f t="shared" si="8"/>
        <v>0</v>
      </c>
      <c r="AW48" s="56"/>
      <c r="AX48" s="56">
        <v>-1000</v>
      </c>
      <c r="AY48" s="56"/>
      <c r="AZ48" s="88">
        <v>0</v>
      </c>
      <c r="BA48" s="56">
        <v>0</v>
      </c>
      <c r="BB48" s="214"/>
      <c r="BC48" s="56"/>
      <c r="BD48" s="84">
        <f t="shared" si="9"/>
        <v>0</v>
      </c>
      <c r="BE48" s="56"/>
      <c r="BF48" s="56"/>
      <c r="BG48" s="56"/>
      <c r="BH48" s="72"/>
    </row>
    <row r="49" spans="1:60" ht="20.100000000000001" customHeight="1" outlineLevel="1">
      <c r="A49" s="77" t="s">
        <v>43</v>
      </c>
      <c r="B49" s="77" t="s">
        <v>203</v>
      </c>
      <c r="C49" s="77" t="str">
        <f t="shared" si="5"/>
        <v>AH·</v>
      </c>
      <c r="D49" s="78">
        <v>748</v>
      </c>
      <c r="E49" s="78">
        <f t="shared" si="4"/>
        <v>748</v>
      </c>
      <c r="F49" s="3">
        <v>661124</v>
      </c>
      <c r="G49" s="147" t="s">
        <v>461</v>
      </c>
      <c r="H49" s="87"/>
      <c r="I49" s="13">
        <v>0</v>
      </c>
      <c r="J49" s="13">
        <v>0</v>
      </c>
      <c r="L49" s="56">
        <v>0</v>
      </c>
      <c r="M49" s="56"/>
      <c r="N49" s="56">
        <v>0</v>
      </c>
      <c r="O49" s="56"/>
      <c r="P49" s="56">
        <v>0</v>
      </c>
      <c r="Q49" s="56"/>
      <c r="R49" s="56">
        <v>11500</v>
      </c>
      <c r="S49" s="56"/>
      <c r="T49" s="56">
        <v>0</v>
      </c>
      <c r="U49" s="56"/>
      <c r="V49" s="56">
        <v>11500</v>
      </c>
      <c r="W49" s="56"/>
      <c r="X49" s="56">
        <v>10085.36</v>
      </c>
      <c r="Y49" s="56"/>
      <c r="Z49" s="56">
        <v>14600</v>
      </c>
      <c r="AA49" s="56"/>
      <c r="AB49" s="56">
        <v>0</v>
      </c>
      <c r="AC49" s="56"/>
      <c r="AD49" s="56">
        <v>0</v>
      </c>
      <c r="AE49" s="56"/>
      <c r="AF49" s="56">
        <f t="shared" si="6"/>
        <v>14600</v>
      </c>
      <c r="AG49" s="56">
        <v>0</v>
      </c>
      <c r="AH49" s="56">
        <v>0</v>
      </c>
      <c r="AI49" s="56"/>
      <c r="AJ49" s="56">
        <f t="shared" si="7"/>
        <v>14600</v>
      </c>
      <c r="AK49" s="85"/>
      <c r="AL49" s="56">
        <v>0</v>
      </c>
      <c r="AM49" s="56"/>
      <c r="AN49" s="88">
        <v>0</v>
      </c>
      <c r="AO49" s="88">
        <v>0</v>
      </c>
      <c r="AP49" s="88">
        <v>59852.28</v>
      </c>
      <c r="AQ49" s="56"/>
      <c r="AR49" s="56">
        <v>0</v>
      </c>
      <c r="AS49" s="56"/>
      <c r="AT49" s="56">
        <v>0</v>
      </c>
      <c r="AU49" s="56"/>
      <c r="AV49" s="56">
        <f t="shared" si="8"/>
        <v>59852.28</v>
      </c>
      <c r="AW49" s="56"/>
      <c r="AX49" s="56">
        <v>0</v>
      </c>
      <c r="AY49" s="56"/>
      <c r="AZ49" s="88">
        <v>0</v>
      </c>
      <c r="BA49" s="56">
        <v>1806</v>
      </c>
      <c r="BB49" s="214"/>
      <c r="BC49" s="56"/>
      <c r="BD49" s="84">
        <f t="shared" si="9"/>
        <v>59852.28</v>
      </c>
      <c r="BE49" s="56"/>
      <c r="BF49" s="56"/>
      <c r="BG49" s="56"/>
      <c r="BH49" s="72"/>
    </row>
    <row r="50" spans="1:60" ht="20.100000000000001" customHeight="1" outlineLevel="1">
      <c r="A50" s="77" t="s">
        <v>43</v>
      </c>
      <c r="B50" s="77" t="s">
        <v>203</v>
      </c>
      <c r="C50" s="77" t="str">
        <f t="shared" si="5"/>
        <v>AH·</v>
      </c>
      <c r="D50" s="78" t="s">
        <v>46</v>
      </c>
      <c r="E50" s="78" t="str">
        <f t="shared" si="4"/>
        <v>000</v>
      </c>
      <c r="F50" s="3">
        <v>661154</v>
      </c>
      <c r="G50" s="102" t="s">
        <v>465</v>
      </c>
      <c r="H50" s="87"/>
      <c r="I50" s="13"/>
      <c r="J50" s="13">
        <v>0</v>
      </c>
      <c r="L50" s="56">
        <v>0</v>
      </c>
      <c r="M50" s="56"/>
      <c r="N50" s="56">
        <v>0</v>
      </c>
      <c r="O50" s="56"/>
      <c r="P50" s="56">
        <v>150000</v>
      </c>
      <c r="Q50" s="56"/>
      <c r="R50" s="56">
        <v>150000</v>
      </c>
      <c r="S50" s="56"/>
      <c r="T50" s="56">
        <v>0</v>
      </c>
      <c r="U50" s="56"/>
      <c r="V50" s="56">
        <v>150000</v>
      </c>
      <c r="W50" s="56"/>
      <c r="X50" s="56">
        <v>145477.29999999999</v>
      </c>
      <c r="Y50" s="56"/>
      <c r="Z50" s="56">
        <v>150000</v>
      </c>
      <c r="AA50" s="56"/>
      <c r="AB50" s="56">
        <v>0</v>
      </c>
      <c r="AC50" s="56"/>
      <c r="AD50" s="56">
        <v>0</v>
      </c>
      <c r="AE50" s="56"/>
      <c r="AF50" s="56">
        <f t="shared" si="6"/>
        <v>150000</v>
      </c>
      <c r="AG50" s="89">
        <v>42500</v>
      </c>
      <c r="AH50" s="56">
        <v>0</v>
      </c>
      <c r="AI50" s="56"/>
      <c r="AJ50" s="56">
        <f t="shared" si="7"/>
        <v>192500</v>
      </c>
      <c r="AK50" s="85"/>
      <c r="AL50" s="56">
        <v>0</v>
      </c>
      <c r="AM50" s="56"/>
      <c r="AN50" s="88">
        <v>182842.99</v>
      </c>
      <c r="AO50" s="88">
        <v>0</v>
      </c>
      <c r="AP50" s="88">
        <v>162936.4</v>
      </c>
      <c r="AQ50" s="56"/>
      <c r="AR50" s="56">
        <v>0</v>
      </c>
      <c r="AS50" s="56"/>
      <c r="AT50" s="56">
        <v>0</v>
      </c>
      <c r="AU50" s="56"/>
      <c r="AV50" s="56">
        <f t="shared" si="8"/>
        <v>162936.4</v>
      </c>
      <c r="AW50" s="56"/>
      <c r="AX50" s="56">
        <v>0</v>
      </c>
      <c r="AY50" s="56"/>
      <c r="AZ50" s="88">
        <v>0</v>
      </c>
      <c r="BA50" s="56">
        <v>0</v>
      </c>
      <c r="BB50" s="214"/>
      <c r="BC50" s="56"/>
      <c r="BD50" s="84">
        <f t="shared" si="9"/>
        <v>-19906.589999999997</v>
      </c>
      <c r="BE50" s="56"/>
      <c r="BF50" s="56"/>
      <c r="BG50" s="56"/>
      <c r="BH50" s="72"/>
    </row>
    <row r="51" spans="1:60" ht="20.100000000000001" customHeight="1" outlineLevel="1">
      <c r="A51" s="77" t="s">
        <v>43</v>
      </c>
      <c r="B51" s="77" t="s">
        <v>203</v>
      </c>
      <c r="C51" s="77" t="str">
        <f t="shared" si="5"/>
        <v>AH·</v>
      </c>
      <c r="D51" s="78" t="s">
        <v>46</v>
      </c>
      <c r="E51" s="78" t="str">
        <f t="shared" si="4"/>
        <v>000</v>
      </c>
      <c r="F51" s="3">
        <v>661157</v>
      </c>
      <c r="G51" s="147" t="s">
        <v>462</v>
      </c>
      <c r="H51" s="87"/>
      <c r="I51" s="13">
        <v>0</v>
      </c>
      <c r="J51" s="13">
        <v>0</v>
      </c>
      <c r="L51" s="56">
        <v>6300</v>
      </c>
      <c r="M51" s="56"/>
      <c r="N51" s="56">
        <v>0</v>
      </c>
      <c r="O51" s="56"/>
      <c r="P51" s="56">
        <v>0</v>
      </c>
      <c r="Q51" s="56"/>
      <c r="R51" s="56">
        <v>1000</v>
      </c>
      <c r="S51" s="89"/>
      <c r="T51" s="56">
        <v>0</v>
      </c>
      <c r="U51" s="56"/>
      <c r="V51" s="56">
        <v>1000</v>
      </c>
      <c r="W51" s="56"/>
      <c r="X51" s="56">
        <v>1000</v>
      </c>
      <c r="Y51" s="56"/>
      <c r="Z51" s="56">
        <v>0</v>
      </c>
      <c r="AA51" s="56"/>
      <c r="AB51" s="56">
        <v>0</v>
      </c>
      <c r="AC51" s="56"/>
      <c r="AD51" s="56">
        <v>0</v>
      </c>
      <c r="AE51" s="56"/>
      <c r="AF51" s="56">
        <f t="shared" si="6"/>
        <v>0</v>
      </c>
      <c r="AG51" s="56">
        <v>0</v>
      </c>
      <c r="AH51" s="56">
        <v>0</v>
      </c>
      <c r="AI51" s="56"/>
      <c r="AJ51" s="56">
        <f t="shared" si="7"/>
        <v>0</v>
      </c>
      <c r="AK51" s="85"/>
      <c r="AL51" s="56">
        <v>0</v>
      </c>
      <c r="AM51" s="56"/>
      <c r="AN51" s="88">
        <f>SUM(AI51:AM51)</f>
        <v>0</v>
      </c>
      <c r="AO51" s="88">
        <v>0</v>
      </c>
      <c r="AP51" s="88">
        <v>0</v>
      </c>
      <c r="AQ51" s="56"/>
      <c r="AR51" s="56">
        <v>0</v>
      </c>
      <c r="AS51" s="56"/>
      <c r="AT51" s="56">
        <v>0</v>
      </c>
      <c r="AU51" s="56"/>
      <c r="AV51" s="56">
        <f t="shared" si="8"/>
        <v>0</v>
      </c>
      <c r="AW51" s="56"/>
      <c r="AX51" s="56">
        <v>0</v>
      </c>
      <c r="AY51" s="56"/>
      <c r="AZ51" s="88">
        <v>0</v>
      </c>
      <c r="BA51" s="56">
        <v>0</v>
      </c>
      <c r="BB51" s="214"/>
      <c r="BC51" s="56"/>
      <c r="BD51" s="84">
        <f t="shared" si="9"/>
        <v>0</v>
      </c>
      <c r="BE51" s="56"/>
      <c r="BF51" s="56"/>
      <c r="BG51" s="56"/>
      <c r="BH51" s="72"/>
    </row>
    <row r="52" spans="1:60" ht="20.100000000000001" customHeight="1" outlineLevel="1">
      <c r="A52" s="77" t="s">
        <v>43</v>
      </c>
      <c r="B52" s="77" t="s">
        <v>203</v>
      </c>
      <c r="C52" s="77" t="str">
        <f t="shared" si="5"/>
        <v>AH·</v>
      </c>
      <c r="D52" s="78" t="s">
        <v>46</v>
      </c>
      <c r="E52" s="78" t="str">
        <f t="shared" si="4"/>
        <v>000</v>
      </c>
      <c r="F52" s="3">
        <v>673006</v>
      </c>
      <c r="G52" s="102" t="s">
        <v>466</v>
      </c>
      <c r="H52" s="87"/>
      <c r="I52" s="13">
        <v>5676</v>
      </c>
      <c r="J52" s="13">
        <v>0</v>
      </c>
      <c r="L52" s="56">
        <v>1597</v>
      </c>
      <c r="M52" s="56"/>
      <c r="N52" s="56">
        <v>50000</v>
      </c>
      <c r="O52" s="56"/>
      <c r="P52" s="56">
        <v>46000</v>
      </c>
      <c r="Q52" s="56"/>
      <c r="R52" s="56">
        <v>46000</v>
      </c>
      <c r="S52" s="56"/>
      <c r="T52" s="56">
        <v>0</v>
      </c>
      <c r="U52" s="56"/>
      <c r="V52" s="56">
        <v>46000</v>
      </c>
      <c r="W52" s="56"/>
      <c r="X52" s="56">
        <v>53117.23</v>
      </c>
      <c r="Y52" s="56"/>
      <c r="Z52" s="56">
        <v>50000</v>
      </c>
      <c r="AA52" s="56"/>
      <c r="AB52" s="56">
        <f>-4000-4000</f>
        <v>-8000</v>
      </c>
      <c r="AC52" s="56"/>
      <c r="AD52" s="56">
        <v>0</v>
      </c>
      <c r="AE52" s="56"/>
      <c r="AF52" s="56">
        <f t="shared" si="6"/>
        <v>42000</v>
      </c>
      <c r="AG52" s="56">
        <v>-4000</v>
      </c>
      <c r="AH52" s="56">
        <v>0</v>
      </c>
      <c r="AI52" s="56"/>
      <c r="AJ52" s="56">
        <f t="shared" si="7"/>
        <v>38000</v>
      </c>
      <c r="AK52" s="85"/>
      <c r="AL52" s="56">
        <f>-4000-4000-30000</f>
        <v>-38000</v>
      </c>
      <c r="AM52" s="56"/>
      <c r="AN52" s="88">
        <f>SUM(AI52:AM52)</f>
        <v>0</v>
      </c>
      <c r="AO52" s="88">
        <v>0</v>
      </c>
      <c r="AP52" s="88">
        <v>0</v>
      </c>
      <c r="AQ52" s="56"/>
      <c r="AR52" s="56">
        <v>0</v>
      </c>
      <c r="AS52" s="56"/>
      <c r="AT52" s="56">
        <v>0</v>
      </c>
      <c r="AU52" s="56"/>
      <c r="AV52" s="56">
        <f t="shared" si="8"/>
        <v>0</v>
      </c>
      <c r="AW52" s="56"/>
      <c r="AX52" s="56">
        <v>0</v>
      </c>
      <c r="AY52" s="56"/>
      <c r="AZ52" s="88">
        <v>0</v>
      </c>
      <c r="BA52" s="56">
        <v>0</v>
      </c>
      <c r="BB52" s="214"/>
      <c r="BC52" s="56"/>
      <c r="BD52" s="84">
        <f t="shared" si="9"/>
        <v>0</v>
      </c>
      <c r="BE52" s="56"/>
      <c r="BF52" s="56"/>
      <c r="BG52" s="56"/>
      <c r="BH52" s="72"/>
    </row>
    <row r="53" spans="1:60" ht="20.100000000000001" customHeight="1" outlineLevel="1">
      <c r="A53" s="77" t="s">
        <v>43</v>
      </c>
      <c r="B53" s="77" t="s">
        <v>203</v>
      </c>
      <c r="C53" s="77" t="str">
        <f t="shared" si="5"/>
        <v>AH·</v>
      </c>
      <c r="D53" s="78" t="s">
        <v>46</v>
      </c>
      <c r="E53" s="78" t="str">
        <f t="shared" si="4"/>
        <v>000</v>
      </c>
      <c r="F53" s="3">
        <v>673011</v>
      </c>
      <c r="G53" s="102" t="s">
        <v>467</v>
      </c>
      <c r="H53" s="87"/>
      <c r="I53" s="13">
        <v>6022</v>
      </c>
      <c r="J53" s="13">
        <v>6807</v>
      </c>
      <c r="L53" s="56">
        <v>1199</v>
      </c>
      <c r="M53" s="56"/>
      <c r="N53" s="56">
        <v>6808</v>
      </c>
      <c r="O53" s="56"/>
      <c r="P53" s="56">
        <v>6808</v>
      </c>
      <c r="Q53" s="56"/>
      <c r="R53" s="56">
        <v>6808</v>
      </c>
      <c r="S53" s="56"/>
      <c r="T53" s="56">
        <v>-6808</v>
      </c>
      <c r="U53" s="56"/>
      <c r="V53" s="56">
        <v>0</v>
      </c>
      <c r="W53" s="56"/>
      <c r="X53" s="56">
        <v>0</v>
      </c>
      <c r="Y53" s="56"/>
      <c r="Z53" s="56">
        <v>5000</v>
      </c>
      <c r="AA53" s="56"/>
      <c r="AB53" s="56">
        <v>0</v>
      </c>
      <c r="AC53" s="56"/>
      <c r="AD53" s="56">
        <v>0</v>
      </c>
      <c r="AE53" s="56"/>
      <c r="AF53" s="56">
        <f t="shared" si="6"/>
        <v>5000</v>
      </c>
      <c r="AG53" s="56">
        <v>-1200</v>
      </c>
      <c r="AH53" s="56">
        <v>0</v>
      </c>
      <c r="AI53" s="56"/>
      <c r="AJ53" s="56">
        <f t="shared" si="7"/>
        <v>3800</v>
      </c>
      <c r="AK53" s="85"/>
      <c r="AL53" s="56">
        <v>-3800</v>
      </c>
      <c r="AM53" s="56"/>
      <c r="AN53" s="88">
        <f>SUM(AI53:AM53)</f>
        <v>0</v>
      </c>
      <c r="AO53" s="88">
        <v>0</v>
      </c>
      <c r="AP53" s="88">
        <v>0</v>
      </c>
      <c r="AQ53" s="56"/>
      <c r="AR53" s="56">
        <v>0</v>
      </c>
      <c r="AS53" s="56"/>
      <c r="AT53" s="56">
        <v>0</v>
      </c>
      <c r="AU53" s="56"/>
      <c r="AV53" s="56">
        <f t="shared" si="8"/>
        <v>0</v>
      </c>
      <c r="AW53" s="56"/>
      <c r="AX53" s="56">
        <v>0</v>
      </c>
      <c r="AY53" s="56"/>
      <c r="AZ53" s="88">
        <v>0</v>
      </c>
      <c r="BA53" s="56">
        <v>0</v>
      </c>
      <c r="BB53" s="214"/>
      <c r="BC53" s="56"/>
      <c r="BD53" s="84">
        <f t="shared" si="9"/>
        <v>0</v>
      </c>
      <c r="BE53" s="56"/>
      <c r="BF53" s="56"/>
      <c r="BG53" s="56"/>
      <c r="BH53" s="72"/>
    </row>
    <row r="54" spans="1:60" ht="20.100000000000001" customHeight="1" outlineLevel="1">
      <c r="A54" s="77" t="s">
        <v>43</v>
      </c>
      <c r="B54" s="77" t="s">
        <v>203</v>
      </c>
      <c r="C54" s="77" t="str">
        <f t="shared" si="5"/>
        <v>AH·</v>
      </c>
      <c r="D54" s="78" t="s">
        <v>46</v>
      </c>
      <c r="E54" s="78" t="str">
        <f t="shared" si="4"/>
        <v>000</v>
      </c>
      <c r="F54" s="3">
        <v>673022</v>
      </c>
      <c r="G54" s="102" t="s">
        <v>468</v>
      </c>
      <c r="H54" s="87"/>
      <c r="I54" s="13">
        <v>17566</v>
      </c>
      <c r="J54" s="13">
        <v>66230</v>
      </c>
      <c r="L54" s="56">
        <v>48375</v>
      </c>
      <c r="M54" s="56"/>
      <c r="N54" s="56">
        <v>59100</v>
      </c>
      <c r="O54" s="56"/>
      <c r="P54" s="56">
        <v>13200</v>
      </c>
      <c r="Q54" s="56"/>
      <c r="R54" s="56">
        <v>13200</v>
      </c>
      <c r="S54" s="56"/>
      <c r="T54" s="56">
        <v>0</v>
      </c>
      <c r="U54" s="56"/>
      <c r="V54" s="56">
        <v>13200</v>
      </c>
      <c r="W54" s="56"/>
      <c r="X54" s="56">
        <v>4057.76</v>
      </c>
      <c r="Y54" s="56"/>
      <c r="Z54" s="56">
        <v>59100</v>
      </c>
      <c r="AA54" s="56"/>
      <c r="AB54" s="56">
        <v>0</v>
      </c>
      <c r="AC54" s="56"/>
      <c r="AD54" s="56">
        <v>0</v>
      </c>
      <c r="AE54" s="56"/>
      <c r="AF54" s="56">
        <f t="shared" si="6"/>
        <v>59100</v>
      </c>
      <c r="AG54" s="56">
        <v>0</v>
      </c>
      <c r="AH54" s="56">
        <v>0</v>
      </c>
      <c r="AI54" s="56"/>
      <c r="AJ54" s="56">
        <f t="shared" si="7"/>
        <v>59100</v>
      </c>
      <c r="AK54" s="85"/>
      <c r="AL54" s="56">
        <v>-59100</v>
      </c>
      <c r="AM54" s="56"/>
      <c r="AN54" s="88">
        <f>SUM(AI54:AM54)</f>
        <v>0</v>
      </c>
      <c r="AO54" s="88">
        <v>0</v>
      </c>
      <c r="AP54" s="88">
        <v>0</v>
      </c>
      <c r="AQ54" s="56"/>
      <c r="AR54" s="56">
        <v>0</v>
      </c>
      <c r="AS54" s="56"/>
      <c r="AT54" s="56">
        <v>0</v>
      </c>
      <c r="AU54" s="56"/>
      <c r="AV54" s="56">
        <f t="shared" si="8"/>
        <v>0</v>
      </c>
      <c r="AW54" s="56"/>
      <c r="AX54" s="56">
        <v>0</v>
      </c>
      <c r="AY54" s="56"/>
      <c r="AZ54" s="88">
        <v>0</v>
      </c>
      <c r="BA54" s="56">
        <v>0</v>
      </c>
      <c r="BB54" s="214"/>
      <c r="BC54" s="56"/>
      <c r="BD54" s="84">
        <f t="shared" si="9"/>
        <v>0</v>
      </c>
      <c r="BE54" s="56"/>
      <c r="BF54" s="56"/>
      <c r="BG54" s="56"/>
      <c r="BH54" s="72"/>
    </row>
    <row r="55" spans="1:60" ht="20.100000000000001" customHeight="1" outlineLevel="1">
      <c r="A55" s="77" t="s">
        <v>43</v>
      </c>
      <c r="B55" s="77" t="s">
        <v>203</v>
      </c>
      <c r="C55" s="77" t="str">
        <f t="shared" si="5"/>
        <v>AH·</v>
      </c>
      <c r="D55" s="78" t="s">
        <v>46</v>
      </c>
      <c r="E55" s="78" t="str">
        <f t="shared" si="4"/>
        <v>000</v>
      </c>
      <c r="F55" s="3">
        <v>673024</v>
      </c>
      <c r="G55" s="102" t="s">
        <v>469</v>
      </c>
      <c r="H55" s="87"/>
      <c r="I55" s="13">
        <v>6451</v>
      </c>
      <c r="J55" s="13">
        <v>4338</v>
      </c>
      <c r="L55" s="56">
        <v>6602</v>
      </c>
      <c r="M55" s="56"/>
      <c r="N55" s="56">
        <v>6689</v>
      </c>
      <c r="O55" s="56"/>
      <c r="P55" s="56">
        <v>6689</v>
      </c>
      <c r="Q55" s="56"/>
      <c r="R55" s="56">
        <v>6689</v>
      </c>
      <c r="S55" s="56"/>
      <c r="T55" s="56">
        <v>0</v>
      </c>
      <c r="U55" s="56"/>
      <c r="V55" s="56">
        <v>6689</v>
      </c>
      <c r="W55" s="56"/>
      <c r="X55" s="56">
        <v>28940.33</v>
      </c>
      <c r="Y55" s="56"/>
      <c r="Z55" s="56">
        <v>6689</v>
      </c>
      <c r="AA55" s="56"/>
      <c r="AB55" s="56">
        <v>0</v>
      </c>
      <c r="AC55" s="56"/>
      <c r="AD55" s="56">
        <v>0</v>
      </c>
      <c r="AE55" s="56"/>
      <c r="AF55" s="56">
        <f t="shared" ref="AF55:AF72" si="10">SUM(Z55:AE55)</f>
        <v>6689</v>
      </c>
      <c r="AG55" s="56">
        <v>0</v>
      </c>
      <c r="AH55" s="56">
        <v>0</v>
      </c>
      <c r="AI55" s="56"/>
      <c r="AJ55" s="56">
        <f t="shared" si="7"/>
        <v>6689</v>
      </c>
      <c r="AK55" s="85"/>
      <c r="AL55" s="56">
        <v>-3300</v>
      </c>
      <c r="AM55" s="56"/>
      <c r="AN55" s="88">
        <v>0</v>
      </c>
      <c r="AO55" s="88">
        <v>0</v>
      </c>
      <c r="AP55" s="88">
        <v>0</v>
      </c>
      <c r="AQ55" s="56"/>
      <c r="AR55" s="56">
        <v>0</v>
      </c>
      <c r="AS55" s="56"/>
      <c r="AT55" s="56">
        <v>0</v>
      </c>
      <c r="AU55" s="56"/>
      <c r="AV55" s="56">
        <f t="shared" si="8"/>
        <v>0</v>
      </c>
      <c r="AW55" s="56"/>
      <c r="AX55" s="56">
        <v>0</v>
      </c>
      <c r="AY55" s="56"/>
      <c r="AZ55" s="88">
        <v>0</v>
      </c>
      <c r="BA55" s="56">
        <v>0</v>
      </c>
      <c r="BB55" s="214"/>
      <c r="BC55" s="56"/>
      <c r="BD55" s="84">
        <f t="shared" si="9"/>
        <v>0</v>
      </c>
      <c r="BE55" s="56"/>
      <c r="BF55" s="56"/>
      <c r="BG55" s="56"/>
      <c r="BH55" s="72"/>
    </row>
    <row r="56" spans="1:60" ht="20.100000000000001" customHeight="1" outlineLevel="1">
      <c r="A56" s="77" t="s">
        <v>43</v>
      </c>
      <c r="B56" s="77" t="s">
        <v>203</v>
      </c>
      <c r="C56" s="77" t="str">
        <f t="shared" si="5"/>
        <v>AH·</v>
      </c>
      <c r="D56" s="78" t="s">
        <v>46</v>
      </c>
      <c r="E56" s="78" t="str">
        <f t="shared" si="4"/>
        <v>000</v>
      </c>
      <c r="F56" s="3">
        <v>673028</v>
      </c>
      <c r="G56" s="102" t="s">
        <v>269</v>
      </c>
      <c r="H56" s="87"/>
      <c r="I56" s="13">
        <v>0</v>
      </c>
      <c r="J56" s="13">
        <v>0</v>
      </c>
      <c r="L56" s="56">
        <v>4776</v>
      </c>
      <c r="M56" s="56"/>
      <c r="N56" s="56">
        <v>15000</v>
      </c>
      <c r="O56" s="56"/>
      <c r="P56" s="56">
        <v>15000</v>
      </c>
      <c r="Q56" s="56"/>
      <c r="R56" s="56">
        <v>15000</v>
      </c>
      <c r="S56" s="56"/>
      <c r="T56" s="56">
        <v>0</v>
      </c>
      <c r="U56" s="56"/>
      <c r="V56" s="56">
        <v>15000</v>
      </c>
      <c r="W56" s="56"/>
      <c r="X56" s="56">
        <v>7953.75</v>
      </c>
      <c r="Y56" s="56"/>
      <c r="Z56" s="56">
        <v>27000</v>
      </c>
      <c r="AA56" s="56"/>
      <c r="AB56" s="56">
        <v>0</v>
      </c>
      <c r="AC56" s="56"/>
      <c r="AD56" s="56">
        <v>0</v>
      </c>
      <c r="AE56" s="56"/>
      <c r="AF56" s="56">
        <f t="shared" si="10"/>
        <v>27000</v>
      </c>
      <c r="AG56" s="56">
        <v>-10000</v>
      </c>
      <c r="AH56" s="56">
        <v>0</v>
      </c>
      <c r="AI56" s="56"/>
      <c r="AJ56" s="56">
        <f t="shared" si="7"/>
        <v>17000</v>
      </c>
      <c r="AK56" s="85"/>
      <c r="AL56" s="56">
        <f>-10000-7000</f>
        <v>-17000</v>
      </c>
      <c r="AM56" s="56"/>
      <c r="AN56" s="88">
        <f>SUM(AI56:AM56)</f>
        <v>0</v>
      </c>
      <c r="AO56" s="88">
        <v>0</v>
      </c>
      <c r="AP56" s="88">
        <v>0</v>
      </c>
      <c r="AQ56" s="56"/>
      <c r="AR56" s="56">
        <v>0</v>
      </c>
      <c r="AS56" s="56"/>
      <c r="AT56" s="56">
        <v>0</v>
      </c>
      <c r="AU56" s="56"/>
      <c r="AV56" s="56">
        <f t="shared" si="8"/>
        <v>0</v>
      </c>
      <c r="AW56" s="56"/>
      <c r="AX56" s="56">
        <v>-27000</v>
      </c>
      <c r="AY56" s="56"/>
      <c r="AZ56" s="88">
        <v>27000</v>
      </c>
      <c r="BA56" s="56">
        <v>8590</v>
      </c>
      <c r="BB56" s="214"/>
      <c r="BC56" s="56"/>
      <c r="BD56" s="84">
        <f t="shared" si="9"/>
        <v>0</v>
      </c>
      <c r="BE56" s="56"/>
      <c r="BF56" s="56"/>
      <c r="BG56" s="56"/>
      <c r="BH56" s="72"/>
    </row>
    <row r="57" spans="1:60" ht="20.100000000000001" customHeight="1" outlineLevel="1">
      <c r="A57" s="77" t="s">
        <v>43</v>
      </c>
      <c r="B57" s="77" t="s">
        <v>203</v>
      </c>
      <c r="C57" s="77" t="str">
        <f t="shared" si="5"/>
        <v>AH·</v>
      </c>
      <c r="D57" s="78" t="s">
        <v>46</v>
      </c>
      <c r="E57" s="78" t="str">
        <f t="shared" si="4"/>
        <v>000</v>
      </c>
      <c r="F57" s="3">
        <v>673034</v>
      </c>
      <c r="G57" s="102" t="s">
        <v>470</v>
      </c>
      <c r="H57" s="87"/>
      <c r="I57" s="13">
        <v>1222</v>
      </c>
      <c r="J57" s="13">
        <v>0</v>
      </c>
      <c r="L57" s="56">
        <v>0</v>
      </c>
      <c r="M57" s="56"/>
      <c r="N57" s="56">
        <v>3000</v>
      </c>
      <c r="O57" s="56"/>
      <c r="P57" s="56">
        <v>0</v>
      </c>
      <c r="Q57" s="56"/>
      <c r="R57" s="56">
        <v>0</v>
      </c>
      <c r="S57" s="56"/>
      <c r="T57" s="56">
        <v>0</v>
      </c>
      <c r="U57" s="56"/>
      <c r="V57" s="56">
        <v>0</v>
      </c>
      <c r="W57" s="56"/>
      <c r="X57" s="56">
        <v>0</v>
      </c>
      <c r="Y57" s="56"/>
      <c r="Z57" s="56">
        <v>3000</v>
      </c>
      <c r="AA57" s="56"/>
      <c r="AB57" s="56">
        <v>0</v>
      </c>
      <c r="AC57" s="56"/>
      <c r="AD57" s="56">
        <v>0</v>
      </c>
      <c r="AE57" s="56"/>
      <c r="AF57" s="56">
        <f t="shared" si="10"/>
        <v>3000</v>
      </c>
      <c r="AG57" s="56">
        <v>0</v>
      </c>
      <c r="AH57" s="56">
        <v>0</v>
      </c>
      <c r="AI57" s="56"/>
      <c r="AJ57" s="56">
        <f t="shared" si="7"/>
        <v>3000</v>
      </c>
      <c r="AK57" s="85"/>
      <c r="AL57" s="56">
        <v>-3000</v>
      </c>
      <c r="AM57" s="56"/>
      <c r="AN57" s="88">
        <f>SUM(AI57:AM57)</f>
        <v>0</v>
      </c>
      <c r="AO57" s="88">
        <v>0</v>
      </c>
      <c r="AP57" s="88">
        <v>0</v>
      </c>
      <c r="AQ57" s="56"/>
      <c r="AR57" s="56">
        <v>0</v>
      </c>
      <c r="AS57" s="56"/>
      <c r="AT57" s="56">
        <v>0</v>
      </c>
      <c r="AU57" s="56"/>
      <c r="AV57" s="56">
        <f t="shared" si="8"/>
        <v>0</v>
      </c>
      <c r="AW57" s="56"/>
      <c r="AX57" s="56">
        <v>0</v>
      </c>
      <c r="AY57" s="56"/>
      <c r="AZ57" s="88">
        <v>0</v>
      </c>
      <c r="BA57" s="56">
        <v>0</v>
      </c>
      <c r="BB57" s="214"/>
      <c r="BC57" s="56"/>
      <c r="BD57" s="84">
        <f t="shared" si="9"/>
        <v>0</v>
      </c>
      <c r="BE57" s="56"/>
      <c r="BF57" s="56"/>
      <c r="BG57" s="56"/>
      <c r="BH57" s="72"/>
    </row>
    <row r="58" spans="1:60" ht="20.100000000000001" customHeight="1" outlineLevel="1">
      <c r="A58" s="77" t="s">
        <v>43</v>
      </c>
      <c r="B58" s="77" t="s">
        <v>203</v>
      </c>
      <c r="C58" s="77" t="str">
        <f t="shared" si="5"/>
        <v>AH·</v>
      </c>
      <c r="D58" s="78" t="s">
        <v>46</v>
      </c>
      <c r="E58" s="78" t="str">
        <f t="shared" si="4"/>
        <v>000</v>
      </c>
      <c r="F58" s="3">
        <v>673035</v>
      </c>
      <c r="G58" s="102" t="s">
        <v>471</v>
      </c>
      <c r="H58" s="87"/>
      <c r="I58" s="13">
        <v>0</v>
      </c>
      <c r="J58" s="13">
        <v>0</v>
      </c>
      <c r="L58" s="56">
        <v>3843</v>
      </c>
      <c r="M58" s="56"/>
      <c r="N58" s="56">
        <v>3827</v>
      </c>
      <c r="O58" s="56"/>
      <c r="P58" s="56">
        <v>0</v>
      </c>
      <c r="Q58" s="56"/>
      <c r="R58" s="56">
        <v>0</v>
      </c>
      <c r="S58" s="56"/>
      <c r="T58" s="56">
        <v>0</v>
      </c>
      <c r="U58" s="56"/>
      <c r="V58" s="56">
        <v>0</v>
      </c>
      <c r="W58" s="56"/>
      <c r="X58" s="56">
        <v>0</v>
      </c>
      <c r="Y58" s="56"/>
      <c r="Z58" s="56">
        <v>3827</v>
      </c>
      <c r="AA58" s="56"/>
      <c r="AB58" s="56">
        <v>0</v>
      </c>
      <c r="AC58" s="56"/>
      <c r="AD58" s="56">
        <v>0</v>
      </c>
      <c r="AE58" s="56"/>
      <c r="AF58" s="56">
        <f t="shared" si="10"/>
        <v>3827</v>
      </c>
      <c r="AG58" s="56">
        <v>-3827</v>
      </c>
      <c r="AH58" s="56">
        <v>0</v>
      </c>
      <c r="AI58" s="56"/>
      <c r="AJ58" s="56">
        <f t="shared" si="7"/>
        <v>0</v>
      </c>
      <c r="AK58" s="85"/>
      <c r="AL58" s="56">
        <v>0</v>
      </c>
      <c r="AM58" s="56"/>
      <c r="AN58" s="88">
        <f>SUM(AI58:AM58)</f>
        <v>0</v>
      </c>
      <c r="AO58" s="88">
        <v>0</v>
      </c>
      <c r="AP58" s="88">
        <v>0</v>
      </c>
      <c r="AQ58" s="56"/>
      <c r="AR58" s="56">
        <v>0</v>
      </c>
      <c r="AS58" s="56"/>
      <c r="AT58" s="56">
        <v>0</v>
      </c>
      <c r="AU58" s="56"/>
      <c r="AV58" s="56">
        <f t="shared" si="8"/>
        <v>0</v>
      </c>
      <c r="AW58" s="56"/>
      <c r="AX58" s="56">
        <v>0</v>
      </c>
      <c r="AY58" s="56"/>
      <c r="AZ58" s="88">
        <v>0</v>
      </c>
      <c r="BA58" s="56">
        <v>0</v>
      </c>
      <c r="BB58" s="214"/>
      <c r="BC58" s="56"/>
      <c r="BD58" s="84">
        <f t="shared" si="9"/>
        <v>0</v>
      </c>
      <c r="BE58" s="56"/>
      <c r="BF58" s="56"/>
      <c r="BG58" s="56"/>
      <c r="BH58" s="72"/>
    </row>
    <row r="59" spans="1:60" ht="20.100000000000001" customHeight="1" outlineLevel="1">
      <c r="A59" s="77" t="s">
        <v>43</v>
      </c>
      <c r="B59" s="77" t="s">
        <v>203</v>
      </c>
      <c r="C59" s="77" t="str">
        <f t="shared" si="5"/>
        <v>AH·</v>
      </c>
      <c r="D59" s="78" t="s">
        <v>46</v>
      </c>
      <c r="E59" s="78" t="str">
        <f t="shared" si="4"/>
        <v>000</v>
      </c>
      <c r="F59" s="3">
        <v>673037</v>
      </c>
      <c r="G59" s="102" t="s">
        <v>472</v>
      </c>
      <c r="H59" s="87"/>
      <c r="I59" s="13">
        <v>4135</v>
      </c>
      <c r="J59" s="13">
        <v>0</v>
      </c>
      <c r="L59" s="56">
        <v>1275</v>
      </c>
      <c r="M59" s="56"/>
      <c r="N59" s="56">
        <v>39600</v>
      </c>
      <c r="O59" s="56"/>
      <c r="P59" s="56">
        <v>16600</v>
      </c>
      <c r="Q59" s="56"/>
      <c r="R59" s="56">
        <v>16600</v>
      </c>
      <c r="S59" s="56"/>
      <c r="T59" s="56">
        <v>0</v>
      </c>
      <c r="U59" s="56"/>
      <c r="V59" s="56">
        <v>16600</v>
      </c>
      <c r="W59" s="56"/>
      <c r="X59" s="56">
        <v>0</v>
      </c>
      <c r="Y59" s="56"/>
      <c r="Z59" s="56">
        <v>39600</v>
      </c>
      <c r="AA59" s="56"/>
      <c r="AB59" s="56"/>
      <c r="AC59" s="56"/>
      <c r="AD59" s="56">
        <v>0</v>
      </c>
      <c r="AE59" s="56"/>
      <c r="AF59" s="56">
        <f t="shared" si="10"/>
        <v>39600</v>
      </c>
      <c r="AG59" s="56">
        <v>-30000</v>
      </c>
      <c r="AH59" s="56">
        <v>0</v>
      </c>
      <c r="AI59" s="56"/>
      <c r="AJ59" s="56">
        <f t="shared" si="7"/>
        <v>9600</v>
      </c>
      <c r="AK59" s="85"/>
      <c r="AL59" s="56">
        <v>-9600</v>
      </c>
      <c r="AM59" s="56"/>
      <c r="AN59" s="88">
        <f>SUM(AI59:AM59)</f>
        <v>0</v>
      </c>
      <c r="AO59" s="88">
        <v>0</v>
      </c>
      <c r="AP59" s="88">
        <v>0</v>
      </c>
      <c r="AQ59" s="56"/>
      <c r="AR59" s="56">
        <v>0</v>
      </c>
      <c r="AS59" s="56"/>
      <c r="AT59" s="56">
        <v>0</v>
      </c>
      <c r="AU59" s="56"/>
      <c r="AV59" s="56">
        <f t="shared" si="8"/>
        <v>0</v>
      </c>
      <c r="AW59" s="56"/>
      <c r="AX59" s="56">
        <v>0</v>
      </c>
      <c r="AY59" s="56"/>
      <c r="AZ59" s="88">
        <v>0</v>
      </c>
      <c r="BA59" s="56">
        <v>0</v>
      </c>
      <c r="BB59" s="214"/>
      <c r="BC59" s="56"/>
      <c r="BD59" s="84">
        <f t="shared" si="9"/>
        <v>0</v>
      </c>
      <c r="BE59" s="56"/>
      <c r="BF59" s="56"/>
      <c r="BG59" s="56"/>
      <c r="BH59" s="72"/>
    </row>
    <row r="60" spans="1:60" ht="20.100000000000001" customHeight="1" outlineLevel="1">
      <c r="A60" s="77" t="s">
        <v>43</v>
      </c>
      <c r="B60" s="77" t="s">
        <v>203</v>
      </c>
      <c r="C60" s="77" t="str">
        <f t="shared" si="5"/>
        <v>AH·</v>
      </c>
      <c r="D60" s="78" t="s">
        <v>46</v>
      </c>
      <c r="E60" s="78" t="str">
        <f t="shared" si="4"/>
        <v>000</v>
      </c>
      <c r="F60" s="3">
        <v>673038</v>
      </c>
      <c r="G60" s="102" t="s">
        <v>473</v>
      </c>
      <c r="H60" s="87"/>
      <c r="I60" s="13">
        <v>4890</v>
      </c>
      <c r="J60" s="13">
        <v>0</v>
      </c>
      <c r="L60" s="56">
        <v>0</v>
      </c>
      <c r="M60" s="56"/>
      <c r="N60" s="56">
        <v>8100</v>
      </c>
      <c r="O60" s="56"/>
      <c r="P60" s="56">
        <v>0</v>
      </c>
      <c r="Q60" s="56"/>
      <c r="R60" s="56">
        <v>0</v>
      </c>
      <c r="S60" s="56"/>
      <c r="T60" s="56">
        <v>0</v>
      </c>
      <c r="U60" s="56"/>
      <c r="V60" s="56">
        <v>0</v>
      </c>
      <c r="W60" s="56"/>
      <c r="X60" s="56">
        <v>0</v>
      </c>
      <c r="Y60" s="56"/>
      <c r="Z60" s="56">
        <v>5240</v>
      </c>
      <c r="AA60" s="56"/>
      <c r="AB60" s="56">
        <v>-5240</v>
      </c>
      <c r="AC60" s="56"/>
      <c r="AD60" s="56"/>
      <c r="AE60" s="56"/>
      <c r="AF60" s="56">
        <f t="shared" si="10"/>
        <v>0</v>
      </c>
      <c r="AG60" s="56">
        <v>0</v>
      </c>
      <c r="AH60" s="56">
        <v>0</v>
      </c>
      <c r="AI60" s="56"/>
      <c r="AJ60" s="56">
        <f t="shared" si="7"/>
        <v>0</v>
      </c>
      <c r="AK60" s="85"/>
      <c r="AL60" s="56">
        <v>0</v>
      </c>
      <c r="AM60" s="56"/>
      <c r="AN60" s="88">
        <f>SUM(AI60:AM60)</f>
        <v>0</v>
      </c>
      <c r="AO60" s="88">
        <v>0</v>
      </c>
      <c r="AP60" s="88">
        <v>0</v>
      </c>
      <c r="AQ60" s="56"/>
      <c r="AR60" s="56">
        <v>0</v>
      </c>
      <c r="AS60" s="56"/>
      <c r="AT60" s="56">
        <v>0</v>
      </c>
      <c r="AU60" s="56"/>
      <c r="AV60" s="56">
        <f t="shared" si="8"/>
        <v>0</v>
      </c>
      <c r="AW60" s="56"/>
      <c r="AX60" s="56">
        <v>0</v>
      </c>
      <c r="AY60" s="56"/>
      <c r="AZ60" s="88">
        <v>0</v>
      </c>
      <c r="BA60" s="56">
        <v>0</v>
      </c>
      <c r="BB60" s="214"/>
      <c r="BC60" s="56"/>
      <c r="BD60" s="84">
        <f t="shared" si="9"/>
        <v>0</v>
      </c>
      <c r="BE60" s="56"/>
      <c r="BF60" s="56"/>
      <c r="BG60" s="56"/>
      <c r="BH60" s="72"/>
    </row>
    <row r="61" spans="1:60" ht="20.100000000000001" customHeight="1" outlineLevel="1">
      <c r="A61" s="77" t="s">
        <v>43</v>
      </c>
      <c r="B61" s="77" t="s">
        <v>203</v>
      </c>
      <c r="C61" s="77" t="str">
        <f t="shared" si="5"/>
        <v>AH·</v>
      </c>
      <c r="D61" s="78" t="s">
        <v>46</v>
      </c>
      <c r="E61" s="78" t="str">
        <f t="shared" si="4"/>
        <v>000</v>
      </c>
      <c r="F61" s="3">
        <v>673054</v>
      </c>
      <c r="G61" s="102" t="s">
        <v>474</v>
      </c>
      <c r="H61" s="87"/>
      <c r="I61" s="13">
        <v>17887</v>
      </c>
      <c r="J61" s="13">
        <v>45600</v>
      </c>
      <c r="L61" s="56">
        <v>43882</v>
      </c>
      <c r="M61" s="56"/>
      <c r="N61" s="56">
        <v>45604</v>
      </c>
      <c r="O61" s="56"/>
      <c r="P61" s="56">
        <v>47295</v>
      </c>
      <c r="Q61" s="56"/>
      <c r="R61" s="56">
        <v>47295</v>
      </c>
      <c r="S61" s="56"/>
      <c r="T61" s="56">
        <v>0</v>
      </c>
      <c r="U61" s="56"/>
      <c r="V61" s="56">
        <v>47295</v>
      </c>
      <c r="W61" s="56"/>
      <c r="X61" s="56">
        <v>47694.83</v>
      </c>
      <c r="Y61" s="56"/>
      <c r="Z61" s="56">
        <v>45604</v>
      </c>
      <c r="AA61" s="56"/>
      <c r="AB61" s="56">
        <v>0</v>
      </c>
      <c r="AC61" s="56"/>
      <c r="AD61" s="56">
        <v>1690</v>
      </c>
      <c r="AE61" s="56"/>
      <c r="AF61" s="56">
        <f t="shared" si="10"/>
        <v>47294</v>
      </c>
      <c r="AG61" s="56">
        <v>0</v>
      </c>
      <c r="AH61" s="56">
        <v>0</v>
      </c>
      <c r="AI61" s="56"/>
      <c r="AJ61" s="56">
        <f t="shared" si="7"/>
        <v>47294</v>
      </c>
      <c r="AK61" s="85"/>
      <c r="AL61" s="56">
        <v>-45604</v>
      </c>
      <c r="AM61" s="56"/>
      <c r="AN61" s="88">
        <v>0</v>
      </c>
      <c r="AO61" s="88">
        <v>0</v>
      </c>
      <c r="AP61" s="88">
        <v>0</v>
      </c>
      <c r="AQ61" s="56"/>
      <c r="AR61" s="56">
        <v>0</v>
      </c>
      <c r="AS61" s="56"/>
      <c r="AT61" s="56">
        <v>0</v>
      </c>
      <c r="AU61" s="56"/>
      <c r="AV61" s="56">
        <f t="shared" si="8"/>
        <v>0</v>
      </c>
      <c r="AW61" s="56"/>
      <c r="AX61" s="56">
        <v>0</v>
      </c>
      <c r="AY61" s="56"/>
      <c r="AZ61" s="88">
        <v>0</v>
      </c>
      <c r="BA61" s="56">
        <v>0</v>
      </c>
      <c r="BB61" s="214"/>
      <c r="BC61" s="56"/>
      <c r="BD61" s="84">
        <f t="shared" si="9"/>
        <v>0</v>
      </c>
      <c r="BE61" s="56"/>
      <c r="BF61" s="56"/>
      <c r="BG61" s="56"/>
      <c r="BH61" s="72"/>
    </row>
    <row r="62" spans="1:60" ht="20.100000000000001" customHeight="1" outlineLevel="1">
      <c r="A62" s="77" t="s">
        <v>43</v>
      </c>
      <c r="B62" s="77" t="s">
        <v>203</v>
      </c>
      <c r="C62" s="77" t="str">
        <f t="shared" si="5"/>
        <v>AH·</v>
      </c>
      <c r="D62" s="78" t="s">
        <v>46</v>
      </c>
      <c r="E62" s="78" t="str">
        <f t="shared" si="4"/>
        <v>000</v>
      </c>
      <c r="F62" s="3">
        <v>673057</v>
      </c>
      <c r="G62" s="102" t="s">
        <v>475</v>
      </c>
      <c r="H62" s="87"/>
      <c r="I62" s="13">
        <v>0</v>
      </c>
      <c r="J62" s="13">
        <v>2020</v>
      </c>
      <c r="L62" s="56">
        <v>0</v>
      </c>
      <c r="M62" s="56"/>
      <c r="N62" s="56">
        <v>2934</v>
      </c>
      <c r="O62" s="56"/>
      <c r="P62" s="56">
        <v>2934</v>
      </c>
      <c r="Q62" s="56"/>
      <c r="R62" s="56">
        <v>2934</v>
      </c>
      <c r="S62" s="56"/>
      <c r="T62" s="56">
        <v>0</v>
      </c>
      <c r="U62" s="56"/>
      <c r="V62" s="56">
        <v>2934</v>
      </c>
      <c r="W62" s="56"/>
      <c r="X62" s="56">
        <v>1035</v>
      </c>
      <c r="Y62" s="56"/>
      <c r="Z62" s="56">
        <v>2934</v>
      </c>
      <c r="AA62" s="56"/>
      <c r="AB62" s="56">
        <v>0</v>
      </c>
      <c r="AC62" s="56"/>
      <c r="AD62" s="56">
        <v>0</v>
      </c>
      <c r="AE62" s="56"/>
      <c r="AF62" s="56">
        <f t="shared" si="10"/>
        <v>2934</v>
      </c>
      <c r="AG62" s="56">
        <v>0</v>
      </c>
      <c r="AH62" s="56">
        <v>0</v>
      </c>
      <c r="AI62" s="56"/>
      <c r="AJ62" s="56">
        <f t="shared" si="7"/>
        <v>2934</v>
      </c>
      <c r="AK62" s="85"/>
      <c r="AL62" s="56">
        <v>0</v>
      </c>
      <c r="AM62" s="56"/>
      <c r="AN62" s="88">
        <v>0</v>
      </c>
      <c r="AO62" s="88">
        <v>0</v>
      </c>
      <c r="AP62" s="88">
        <v>0</v>
      </c>
      <c r="AQ62" s="56"/>
      <c r="AR62" s="56">
        <v>0</v>
      </c>
      <c r="AS62" s="56"/>
      <c r="AT62" s="56">
        <v>0</v>
      </c>
      <c r="AU62" s="56"/>
      <c r="AV62" s="56">
        <f t="shared" si="8"/>
        <v>0</v>
      </c>
      <c r="AW62" s="56"/>
      <c r="AX62" s="56">
        <v>0</v>
      </c>
      <c r="AY62" s="56"/>
      <c r="AZ62" s="88">
        <v>0</v>
      </c>
      <c r="BA62" s="56">
        <v>0</v>
      </c>
      <c r="BB62" s="214"/>
      <c r="BC62" s="56"/>
      <c r="BD62" s="84">
        <f t="shared" si="9"/>
        <v>0</v>
      </c>
      <c r="BE62" s="56"/>
      <c r="BF62" s="56"/>
      <c r="BG62" s="56"/>
      <c r="BH62" s="72"/>
    </row>
    <row r="63" spans="1:60" ht="20.100000000000001" customHeight="1" outlineLevel="1">
      <c r="A63" s="77" t="s">
        <v>43</v>
      </c>
      <c r="B63" s="77" t="s">
        <v>203</v>
      </c>
      <c r="C63" s="77" t="str">
        <f t="shared" si="5"/>
        <v>AH·</v>
      </c>
      <c r="D63" s="78" t="s">
        <v>46</v>
      </c>
      <c r="E63" s="78" t="str">
        <f t="shared" si="4"/>
        <v>000</v>
      </c>
      <c r="F63" s="3">
        <v>673058</v>
      </c>
      <c r="G63" s="102" t="s">
        <v>476</v>
      </c>
      <c r="H63" s="87"/>
      <c r="I63" s="13">
        <v>5468</v>
      </c>
      <c r="J63" s="13">
        <v>9726</v>
      </c>
      <c r="L63" s="56">
        <v>7848</v>
      </c>
      <c r="M63" s="56"/>
      <c r="N63" s="56">
        <v>9750</v>
      </c>
      <c r="O63" s="56"/>
      <c r="P63" s="56">
        <v>11441</v>
      </c>
      <c r="Q63" s="56"/>
      <c r="R63" s="56">
        <v>11441</v>
      </c>
      <c r="S63" s="56"/>
      <c r="T63" s="56">
        <v>0</v>
      </c>
      <c r="U63" s="56"/>
      <c r="V63" s="56">
        <v>11441</v>
      </c>
      <c r="W63" s="56"/>
      <c r="X63" s="56">
        <v>9229.65</v>
      </c>
      <c r="Y63" s="56"/>
      <c r="Z63" s="56">
        <v>9750</v>
      </c>
      <c r="AA63" s="56"/>
      <c r="AB63" s="56">
        <v>0</v>
      </c>
      <c r="AC63" s="56"/>
      <c r="AD63" s="56">
        <v>1690</v>
      </c>
      <c r="AE63" s="56"/>
      <c r="AF63" s="56">
        <f t="shared" si="10"/>
        <v>11440</v>
      </c>
      <c r="AG63" s="56">
        <v>0</v>
      </c>
      <c r="AH63" s="56">
        <v>0</v>
      </c>
      <c r="AI63" s="56"/>
      <c r="AJ63" s="56">
        <f t="shared" si="7"/>
        <v>11440</v>
      </c>
      <c r="AK63" s="85"/>
      <c r="AL63" s="56">
        <v>-9750</v>
      </c>
      <c r="AM63" s="56"/>
      <c r="AN63" s="88">
        <v>0</v>
      </c>
      <c r="AO63" s="88">
        <v>0</v>
      </c>
      <c r="AP63" s="88">
        <v>6395</v>
      </c>
      <c r="AQ63" s="56"/>
      <c r="AR63" s="56">
        <v>0</v>
      </c>
      <c r="AS63" s="56"/>
      <c r="AT63" s="56">
        <v>0</v>
      </c>
      <c r="AU63" s="56"/>
      <c r="AV63" s="56">
        <f t="shared" si="8"/>
        <v>6395</v>
      </c>
      <c r="AW63" s="56"/>
      <c r="AX63" s="56">
        <v>6695</v>
      </c>
      <c r="AY63" s="56"/>
      <c r="AZ63" s="88">
        <v>6695</v>
      </c>
      <c r="BA63" s="56">
        <v>6695</v>
      </c>
      <c r="BB63" s="214"/>
      <c r="BC63" s="56"/>
      <c r="BD63" s="84">
        <f t="shared" si="9"/>
        <v>6395</v>
      </c>
      <c r="BE63" s="56"/>
      <c r="BF63" s="56"/>
      <c r="BG63" s="56"/>
      <c r="BH63" s="72"/>
    </row>
    <row r="64" spans="1:60" ht="20.100000000000001" customHeight="1" outlineLevel="1">
      <c r="A64" s="77" t="s">
        <v>43</v>
      </c>
      <c r="B64" s="77" t="s">
        <v>203</v>
      </c>
      <c r="C64" s="77" t="str">
        <f t="shared" si="5"/>
        <v>AH·</v>
      </c>
      <c r="D64" s="78">
        <v>748</v>
      </c>
      <c r="E64" s="78">
        <f t="shared" si="4"/>
        <v>748</v>
      </c>
      <c r="F64" s="3">
        <v>673062</v>
      </c>
      <c r="G64" s="147" t="s">
        <v>477</v>
      </c>
      <c r="H64" s="87"/>
      <c r="I64" s="13"/>
      <c r="J64" s="13"/>
      <c r="L64" s="56">
        <v>0</v>
      </c>
      <c r="M64" s="56"/>
      <c r="N64" s="56">
        <v>0</v>
      </c>
      <c r="O64" s="56"/>
      <c r="P64" s="56">
        <v>0</v>
      </c>
      <c r="Q64" s="56"/>
      <c r="R64" s="56">
        <v>10248</v>
      </c>
      <c r="S64" s="56"/>
      <c r="T64" s="56">
        <v>0</v>
      </c>
      <c r="U64" s="56"/>
      <c r="V64" s="56">
        <v>10248</v>
      </c>
      <c r="W64" s="56"/>
      <c r="X64" s="56">
        <v>9880.59</v>
      </c>
      <c r="Y64" s="56"/>
      <c r="Z64" s="56">
        <v>166590</v>
      </c>
      <c r="AA64" s="56"/>
      <c r="AB64" s="56">
        <v>0</v>
      </c>
      <c r="AC64" s="56"/>
      <c r="AD64" s="56">
        <v>0</v>
      </c>
      <c r="AE64" s="56"/>
      <c r="AF64" s="56">
        <f t="shared" si="10"/>
        <v>166590</v>
      </c>
      <c r="AG64" s="56">
        <v>0</v>
      </c>
      <c r="AH64" s="56">
        <v>0</v>
      </c>
      <c r="AI64" s="56"/>
      <c r="AJ64" s="56">
        <f t="shared" si="7"/>
        <v>166590</v>
      </c>
      <c r="AK64" s="85"/>
      <c r="AL64" s="56">
        <v>0</v>
      </c>
      <c r="AM64" s="56"/>
      <c r="AN64" s="88">
        <v>0</v>
      </c>
      <c r="AO64" s="88">
        <v>0</v>
      </c>
      <c r="AP64" s="88">
        <v>45017.04</v>
      </c>
      <c r="AQ64" s="56"/>
      <c r="AR64" s="56">
        <v>0</v>
      </c>
      <c r="AS64" s="56"/>
      <c r="AT64" s="56">
        <v>0</v>
      </c>
      <c r="AU64" s="56"/>
      <c r="AV64" s="56">
        <f t="shared" si="8"/>
        <v>45017.04</v>
      </c>
      <c r="AW64" s="56"/>
      <c r="AX64" s="56">
        <v>0</v>
      </c>
      <c r="AY64" s="56"/>
      <c r="AZ64" s="88">
        <v>21590</v>
      </c>
      <c r="BA64" s="56">
        <v>0</v>
      </c>
      <c r="BB64" s="214"/>
      <c r="BC64" s="56"/>
      <c r="BD64" s="84">
        <f t="shared" si="9"/>
        <v>45017.04</v>
      </c>
      <c r="BE64" s="56"/>
      <c r="BF64" s="56"/>
      <c r="BG64" s="56"/>
      <c r="BH64" s="72"/>
    </row>
    <row r="65" spans="1:62" ht="20.100000000000001" customHeight="1" outlineLevel="1">
      <c r="A65" s="77" t="s">
        <v>43</v>
      </c>
      <c r="B65" s="77" t="s">
        <v>378</v>
      </c>
      <c r="C65" s="77" t="str">
        <f t="shared" si="5"/>
        <v>AH·</v>
      </c>
      <c r="D65" s="78" t="s">
        <v>46</v>
      </c>
      <c r="E65" s="78" t="str">
        <f t="shared" si="4"/>
        <v>000</v>
      </c>
      <c r="F65" s="3">
        <v>611211</v>
      </c>
      <c r="G65" s="102" t="s">
        <v>478</v>
      </c>
      <c r="H65" s="87"/>
      <c r="I65" s="13">
        <v>457270</v>
      </c>
      <c r="J65" s="13">
        <v>392022</v>
      </c>
      <c r="L65" s="56">
        <v>421708</v>
      </c>
      <c r="M65" s="56"/>
      <c r="N65" s="56">
        <v>528533</v>
      </c>
      <c r="O65" s="56"/>
      <c r="P65" s="56">
        <v>528533</v>
      </c>
      <c r="Q65" s="56"/>
      <c r="R65" s="56">
        <v>469439</v>
      </c>
      <c r="S65" s="56"/>
      <c r="T65" s="56">
        <v>0</v>
      </c>
      <c r="U65" s="56"/>
      <c r="V65" s="56">
        <v>469439</v>
      </c>
      <c r="W65" s="56"/>
      <c r="X65" s="56">
        <v>469539</v>
      </c>
      <c r="Y65" s="56"/>
      <c r="Z65" s="56">
        <v>470402</v>
      </c>
      <c r="AA65" s="56"/>
      <c r="AB65" s="56">
        <v>0</v>
      </c>
      <c r="AC65" s="56"/>
      <c r="AD65" s="56">
        <v>0</v>
      </c>
      <c r="AE65" s="56"/>
      <c r="AF65" s="56">
        <f t="shared" si="10"/>
        <v>470402</v>
      </c>
      <c r="AG65" s="104">
        <v>455</v>
      </c>
      <c r="AH65" s="56">
        <v>10000</v>
      </c>
      <c r="AI65" s="56"/>
      <c r="AJ65" s="56">
        <f t="shared" si="7"/>
        <v>480857</v>
      </c>
      <c r="AK65" s="85"/>
      <c r="AL65" s="56">
        <v>0</v>
      </c>
      <c r="AM65" s="56"/>
      <c r="AN65" s="88">
        <v>481599.75</v>
      </c>
      <c r="AO65" s="88">
        <v>0</v>
      </c>
      <c r="AP65" s="88">
        <v>458073.88</v>
      </c>
      <c r="AQ65" s="56"/>
      <c r="AR65" s="56">
        <v>0</v>
      </c>
      <c r="AS65" s="56"/>
      <c r="AT65" s="56">
        <v>0</v>
      </c>
      <c r="AU65" s="56"/>
      <c r="AV65" s="56">
        <f t="shared" si="8"/>
        <v>458073.88</v>
      </c>
      <c r="AW65" s="56"/>
      <c r="AX65" s="106">
        <v>-15248</v>
      </c>
      <c r="AY65" s="56"/>
      <c r="AZ65" s="88">
        <v>457699</v>
      </c>
      <c r="BA65" s="56">
        <v>522074</v>
      </c>
      <c r="BB65" s="214"/>
      <c r="BC65" s="56"/>
      <c r="BD65" s="84">
        <f t="shared" si="9"/>
        <v>-23525.869999999995</v>
      </c>
      <c r="BE65" s="56"/>
      <c r="BF65" s="56"/>
      <c r="BG65" s="56"/>
      <c r="BH65" s="72">
        <v>1</v>
      </c>
      <c r="BJ65">
        <v>1</v>
      </c>
    </row>
    <row r="66" spans="1:62" ht="20.100000000000001" customHeight="1" outlineLevel="1">
      <c r="A66" s="77" t="s">
        <v>43</v>
      </c>
      <c r="B66" s="77" t="s">
        <v>383</v>
      </c>
      <c r="C66" s="77" t="str">
        <f t="shared" si="5"/>
        <v>AH·</v>
      </c>
      <c r="D66" s="78" t="s">
        <v>46</v>
      </c>
      <c r="E66" s="78" t="str">
        <f t="shared" si="4"/>
        <v>000</v>
      </c>
      <c r="F66" s="3">
        <v>611211</v>
      </c>
      <c r="G66" s="102" t="s">
        <v>479</v>
      </c>
      <c r="H66" s="87"/>
      <c r="I66" s="13">
        <v>553650</v>
      </c>
      <c r="J66" s="13">
        <v>555422</v>
      </c>
      <c r="L66" s="56">
        <v>448643</v>
      </c>
      <c r="M66" s="56"/>
      <c r="N66" s="56">
        <v>466084</v>
      </c>
      <c r="O66" s="56"/>
      <c r="P66" s="56">
        <v>466084</v>
      </c>
      <c r="Q66" s="56"/>
      <c r="R66" s="56">
        <v>489768</v>
      </c>
      <c r="S66" s="56"/>
      <c r="T66" s="56">
        <v>0</v>
      </c>
      <c r="U66" s="56"/>
      <c r="V66" s="56">
        <v>489768</v>
      </c>
      <c r="W66" s="56"/>
      <c r="X66" s="56">
        <v>479264.11</v>
      </c>
      <c r="Y66" s="56"/>
      <c r="Z66" s="56">
        <v>486108</v>
      </c>
      <c r="AA66" s="56"/>
      <c r="AB66" s="56">
        <v>0</v>
      </c>
      <c r="AC66" s="56"/>
      <c r="AD66" s="56">
        <v>0</v>
      </c>
      <c r="AE66" s="56"/>
      <c r="AF66" s="56">
        <f t="shared" si="10"/>
        <v>486108</v>
      </c>
      <c r="AG66" s="104">
        <v>-49200</v>
      </c>
      <c r="AH66" s="56">
        <v>11250</v>
      </c>
      <c r="AI66" s="56"/>
      <c r="AJ66" s="56">
        <f t="shared" si="7"/>
        <v>448158</v>
      </c>
      <c r="AK66" s="85"/>
      <c r="AL66" s="56">
        <v>0</v>
      </c>
      <c r="AM66" s="56"/>
      <c r="AN66" s="88">
        <v>446341.84</v>
      </c>
      <c r="AO66" s="88">
        <v>0</v>
      </c>
      <c r="AP66" s="88">
        <v>439031.14</v>
      </c>
      <c r="AQ66" s="56"/>
      <c r="AR66" s="56">
        <v>0</v>
      </c>
      <c r="AS66" s="56"/>
      <c r="AT66" s="56">
        <v>0</v>
      </c>
      <c r="AU66" s="56"/>
      <c r="AV66" s="56">
        <f t="shared" si="8"/>
        <v>439031.14</v>
      </c>
      <c r="AW66" s="56"/>
      <c r="AX66" s="106">
        <v>581</v>
      </c>
      <c r="AY66" s="56"/>
      <c r="AZ66" s="88">
        <v>440223</v>
      </c>
      <c r="BA66" s="56">
        <v>394392</v>
      </c>
      <c r="BB66" s="214"/>
      <c r="BC66" s="56"/>
      <c r="BD66" s="84">
        <f t="shared" si="9"/>
        <v>-7310.7000000000116</v>
      </c>
      <c r="BE66" s="56"/>
      <c r="BF66" s="56"/>
      <c r="BG66" s="56"/>
      <c r="BH66" s="72">
        <v>1</v>
      </c>
      <c r="BJ66">
        <v>1</v>
      </c>
    </row>
    <row r="67" spans="1:62" ht="20.100000000000001" customHeight="1" outlineLevel="1">
      <c r="A67" s="77" t="s">
        <v>43</v>
      </c>
      <c r="B67" s="77" t="s">
        <v>384</v>
      </c>
      <c r="C67" s="77" t="str">
        <f t="shared" si="5"/>
        <v>AH·</v>
      </c>
      <c r="D67" s="78" t="s">
        <v>46</v>
      </c>
      <c r="E67" s="78" t="str">
        <f t="shared" si="4"/>
        <v>000</v>
      </c>
      <c r="F67" s="3">
        <v>611211</v>
      </c>
      <c r="G67" s="102" t="s">
        <v>480</v>
      </c>
      <c r="H67" s="87"/>
      <c r="I67" s="13">
        <v>1099803</v>
      </c>
      <c r="J67" s="13">
        <v>1160764</v>
      </c>
      <c r="L67" s="56">
        <v>1284569</v>
      </c>
      <c r="M67" s="56"/>
      <c r="N67" s="56">
        <v>1382019</v>
      </c>
      <c r="O67" s="56"/>
      <c r="P67" s="56">
        <v>1382019</v>
      </c>
      <c r="Q67" s="56"/>
      <c r="R67" s="56">
        <v>1483988</v>
      </c>
      <c r="S67" s="56"/>
      <c r="T67" s="56">
        <v>0</v>
      </c>
      <c r="U67" s="56"/>
      <c r="V67" s="56">
        <v>1483988</v>
      </c>
      <c r="W67" s="56"/>
      <c r="X67" s="56">
        <v>1521182.03</v>
      </c>
      <c r="Y67" s="56"/>
      <c r="Z67" s="56">
        <v>1485631</v>
      </c>
      <c r="AA67" s="56"/>
      <c r="AB67" s="56">
        <v>0</v>
      </c>
      <c r="AC67" s="56"/>
      <c r="AD67" s="56">
        <v>0</v>
      </c>
      <c r="AE67" s="56"/>
      <c r="AF67" s="56">
        <f t="shared" si="10"/>
        <v>1485631</v>
      </c>
      <c r="AG67" s="104">
        <v>195172</v>
      </c>
      <c r="AH67" s="56">
        <v>40000</v>
      </c>
      <c r="AI67" s="56"/>
      <c r="AJ67" s="56">
        <f t="shared" si="7"/>
        <v>1720803</v>
      </c>
      <c r="AK67" s="85"/>
      <c r="AL67" s="56">
        <v>0</v>
      </c>
      <c r="AM67" s="56"/>
      <c r="AN67" s="88">
        <v>1723207.33</v>
      </c>
      <c r="AO67" s="88">
        <v>0</v>
      </c>
      <c r="AP67" s="88">
        <v>1692491.39</v>
      </c>
      <c r="AQ67" s="56"/>
      <c r="AR67" s="56">
        <v>0</v>
      </c>
      <c r="AS67" s="56"/>
      <c r="AT67" s="56">
        <v>0</v>
      </c>
      <c r="AU67" s="56"/>
      <c r="AV67" s="56">
        <f t="shared" si="8"/>
        <v>1692491.39</v>
      </c>
      <c r="AW67" s="56"/>
      <c r="AX67" s="106">
        <v>0</v>
      </c>
      <c r="AY67" s="56"/>
      <c r="AZ67" s="88">
        <v>1692808</v>
      </c>
      <c r="BA67" s="56">
        <v>1703000</v>
      </c>
      <c r="BB67" s="214"/>
      <c r="BC67" s="56"/>
      <c r="BD67" s="84">
        <f t="shared" si="9"/>
        <v>-30715.940000000177</v>
      </c>
      <c r="BE67" s="56"/>
      <c r="BF67" s="56"/>
      <c r="BG67" s="56"/>
      <c r="BH67" s="72">
        <v>1</v>
      </c>
      <c r="BJ67">
        <v>1</v>
      </c>
    </row>
    <row r="68" spans="1:62" ht="20.100000000000001" customHeight="1" outlineLevel="1">
      <c r="A68" s="77" t="s">
        <v>43</v>
      </c>
      <c r="B68" s="77" t="s">
        <v>394</v>
      </c>
      <c r="C68" s="77" t="str">
        <f t="shared" si="5"/>
        <v>AH·</v>
      </c>
      <c r="D68" s="78" t="s">
        <v>46</v>
      </c>
      <c r="E68" s="78" t="str">
        <f t="shared" si="4"/>
        <v>000</v>
      </c>
      <c r="F68" s="3">
        <v>611211</v>
      </c>
      <c r="G68" s="102" t="s">
        <v>481</v>
      </c>
      <c r="H68" s="87"/>
      <c r="I68" s="13">
        <v>1088360</v>
      </c>
      <c r="J68" s="13">
        <v>1165973</v>
      </c>
      <c r="L68" s="56">
        <v>1152898</v>
      </c>
      <c r="M68" s="56"/>
      <c r="N68" s="56">
        <v>1245050</v>
      </c>
      <c r="O68" s="56"/>
      <c r="P68" s="56">
        <v>1245050</v>
      </c>
      <c r="Q68" s="56"/>
      <c r="R68" s="56">
        <v>1055700</v>
      </c>
      <c r="S68" s="56"/>
      <c r="T68" s="56">
        <v>0</v>
      </c>
      <c r="U68" s="56"/>
      <c r="V68" s="56">
        <v>1055700</v>
      </c>
      <c r="W68" s="56"/>
      <c r="X68" s="56">
        <v>1019731.37</v>
      </c>
      <c r="Y68" s="56"/>
      <c r="Z68" s="56">
        <v>1049737</v>
      </c>
      <c r="AA68" s="56"/>
      <c r="AB68" s="56">
        <v>0</v>
      </c>
      <c r="AC68" s="56"/>
      <c r="AD68" s="56">
        <v>0</v>
      </c>
      <c r="AE68" s="56"/>
      <c r="AF68" s="56">
        <f t="shared" si="10"/>
        <v>1049737</v>
      </c>
      <c r="AG68" s="104">
        <v>-137900</v>
      </c>
      <c r="AH68" s="56">
        <v>27500</v>
      </c>
      <c r="AI68" s="56"/>
      <c r="AJ68" s="56">
        <f t="shared" si="7"/>
        <v>939337</v>
      </c>
      <c r="AK68" s="85"/>
      <c r="AL68" s="56">
        <v>0</v>
      </c>
      <c r="AM68" s="56"/>
      <c r="AN68" s="88">
        <v>968609.29</v>
      </c>
      <c r="AO68" s="88">
        <v>0</v>
      </c>
      <c r="AP68" s="88">
        <v>1009930.94</v>
      </c>
      <c r="AQ68" s="56"/>
      <c r="AR68" s="56">
        <v>0</v>
      </c>
      <c r="AS68" s="56"/>
      <c r="AT68" s="56">
        <v>0</v>
      </c>
      <c r="AU68" s="56"/>
      <c r="AV68" s="56">
        <f t="shared" si="8"/>
        <v>1009930.94</v>
      </c>
      <c r="AW68" s="56"/>
      <c r="AX68" s="106">
        <v>62909</v>
      </c>
      <c r="AY68" s="56"/>
      <c r="AZ68" s="88">
        <v>1011697</v>
      </c>
      <c r="BA68" s="56">
        <v>1007000</v>
      </c>
      <c r="BB68" s="214"/>
      <c r="BC68" s="56"/>
      <c r="BD68" s="84">
        <f t="shared" si="9"/>
        <v>41321.649999999907</v>
      </c>
      <c r="BE68" s="56"/>
      <c r="BF68" s="56"/>
      <c r="BG68" s="56"/>
      <c r="BH68" s="72">
        <v>1</v>
      </c>
      <c r="BJ68">
        <v>1</v>
      </c>
    </row>
    <row r="69" spans="1:62" ht="20.100000000000001" customHeight="1" outlineLevel="1">
      <c r="A69" s="77" t="s">
        <v>43</v>
      </c>
      <c r="B69" s="77" t="s">
        <v>482</v>
      </c>
      <c r="C69" s="77" t="str">
        <f t="shared" si="5"/>
        <v>AH·</v>
      </c>
      <c r="D69" s="78" t="s">
        <v>46</v>
      </c>
      <c r="E69" s="78" t="str">
        <f t="shared" si="4"/>
        <v>000</v>
      </c>
      <c r="F69" s="3">
        <v>661001</v>
      </c>
      <c r="G69" s="102" t="s">
        <v>483</v>
      </c>
      <c r="H69" s="87"/>
      <c r="I69" s="13">
        <v>0</v>
      </c>
      <c r="J69" s="13">
        <v>0</v>
      </c>
      <c r="L69" s="56">
        <v>0</v>
      </c>
      <c r="M69" s="56"/>
      <c r="N69" s="56">
        <v>0</v>
      </c>
      <c r="O69" s="56"/>
      <c r="P69" s="56">
        <v>0</v>
      </c>
      <c r="Q69" s="56"/>
      <c r="R69" s="56">
        <v>0</v>
      </c>
      <c r="S69" s="56"/>
      <c r="T69" s="56">
        <v>0</v>
      </c>
      <c r="U69" s="56"/>
      <c r="V69" s="56">
        <v>0</v>
      </c>
      <c r="W69" s="56"/>
      <c r="X69" s="56">
        <v>226.63</v>
      </c>
      <c r="Y69" s="56"/>
      <c r="Z69" s="56">
        <v>0</v>
      </c>
      <c r="AA69" s="56"/>
      <c r="AB69" s="56">
        <v>0</v>
      </c>
      <c r="AC69" s="56"/>
      <c r="AD69" s="56">
        <v>0</v>
      </c>
      <c r="AE69" s="56"/>
      <c r="AF69" s="56">
        <f t="shared" si="10"/>
        <v>0</v>
      </c>
      <c r="AG69" s="56">
        <v>0</v>
      </c>
      <c r="AH69" s="56">
        <v>0</v>
      </c>
      <c r="AI69" s="56"/>
      <c r="AJ69" s="56">
        <f t="shared" ref="AJ69:AJ98" si="11">SUM(AE69:AI69)</f>
        <v>0</v>
      </c>
      <c r="AK69" s="85"/>
      <c r="AL69" s="56">
        <v>0</v>
      </c>
      <c r="AM69" s="56"/>
      <c r="AN69" s="88">
        <f>SUM(AI69:AM69)</f>
        <v>0</v>
      </c>
      <c r="AO69" s="88">
        <v>0</v>
      </c>
      <c r="AP69" s="88">
        <v>0</v>
      </c>
      <c r="AQ69" s="56"/>
      <c r="AR69" s="56">
        <v>0</v>
      </c>
      <c r="AS69" s="56"/>
      <c r="AT69" s="56">
        <v>0</v>
      </c>
      <c r="AU69" s="56"/>
      <c r="AV69" s="56">
        <f t="shared" ref="AV69:AV98" si="12">SUM(AP69:AU69)</f>
        <v>0</v>
      </c>
      <c r="AW69" s="56"/>
      <c r="AX69" s="56">
        <v>0</v>
      </c>
      <c r="AY69" s="56"/>
      <c r="AZ69" s="88">
        <v>0</v>
      </c>
      <c r="BA69" s="56">
        <v>0</v>
      </c>
      <c r="BB69" s="214"/>
      <c r="BC69" s="56"/>
      <c r="BD69" s="84">
        <f t="shared" ref="BD69:BD98" si="13">+AP69-AN69</f>
        <v>0</v>
      </c>
      <c r="BE69" s="56"/>
      <c r="BF69" s="56"/>
      <c r="BG69" s="56"/>
      <c r="BH69" s="72"/>
    </row>
    <row r="70" spans="1:62" ht="20.100000000000001" customHeight="1" outlineLevel="1">
      <c r="A70" s="77" t="s">
        <v>43</v>
      </c>
      <c r="B70" s="77" t="s">
        <v>270</v>
      </c>
      <c r="C70" s="77" t="str">
        <f t="shared" si="5"/>
        <v>AH·</v>
      </c>
      <c r="D70" s="78" t="s">
        <v>46</v>
      </c>
      <c r="E70" s="78" t="str">
        <f t="shared" si="4"/>
        <v>000</v>
      </c>
      <c r="F70" s="3">
        <v>632015</v>
      </c>
      <c r="G70" s="102" t="s">
        <v>485</v>
      </c>
      <c r="H70" s="87"/>
      <c r="I70" s="13"/>
      <c r="J70" s="13">
        <v>26400</v>
      </c>
      <c r="L70" s="56">
        <v>26400</v>
      </c>
      <c r="M70" s="56"/>
      <c r="N70" s="56">
        <v>25000</v>
      </c>
      <c r="O70" s="56"/>
      <c r="P70" s="56">
        <v>25000</v>
      </c>
      <c r="Q70" s="56"/>
      <c r="R70" s="56">
        <v>25000</v>
      </c>
      <c r="S70" s="56"/>
      <c r="T70" s="56">
        <v>0</v>
      </c>
      <c r="U70" s="56"/>
      <c r="V70" s="56">
        <v>25000</v>
      </c>
      <c r="W70" s="56"/>
      <c r="X70" s="56">
        <v>0</v>
      </c>
      <c r="Y70" s="56"/>
      <c r="Z70" s="56">
        <v>28000</v>
      </c>
      <c r="AA70" s="56"/>
      <c r="AB70" s="56">
        <v>0</v>
      </c>
      <c r="AC70" s="56"/>
      <c r="AD70" s="56">
        <v>0</v>
      </c>
      <c r="AE70" s="56"/>
      <c r="AF70" s="56">
        <f t="shared" si="10"/>
        <v>28000</v>
      </c>
      <c r="AG70" s="56">
        <v>20000</v>
      </c>
      <c r="AH70" s="56">
        <v>0</v>
      </c>
      <c r="AI70" s="56"/>
      <c r="AJ70" s="56">
        <f>SUM(AE70:AI70)</f>
        <v>48000</v>
      </c>
      <c r="AK70" s="85"/>
      <c r="AL70" s="56">
        <v>0</v>
      </c>
      <c r="AM70" s="56"/>
      <c r="AN70" s="88">
        <v>51744</v>
      </c>
      <c r="AO70" s="88">
        <v>0</v>
      </c>
      <c r="AP70" s="88">
        <v>47741</v>
      </c>
      <c r="AQ70" s="56"/>
      <c r="AR70" s="56">
        <v>0</v>
      </c>
      <c r="AS70" s="56"/>
      <c r="AT70" s="56">
        <v>0</v>
      </c>
      <c r="AU70" s="56"/>
      <c r="AV70" s="56">
        <f>SUM(AP70:AU70)</f>
        <v>47741</v>
      </c>
      <c r="AW70" s="56"/>
      <c r="AX70" s="89">
        <v>5541</v>
      </c>
      <c r="AY70" s="56"/>
      <c r="AZ70" s="88">
        <v>33541</v>
      </c>
      <c r="BA70" s="56">
        <v>33541</v>
      </c>
      <c r="BB70" s="214"/>
      <c r="BC70" s="56"/>
      <c r="BD70" s="84">
        <f>+AP70-AN70</f>
        <v>-4003</v>
      </c>
      <c r="BE70" s="56"/>
      <c r="BF70" s="56"/>
      <c r="BG70" s="56"/>
      <c r="BH70" s="72"/>
    </row>
    <row r="71" spans="1:62" ht="20.100000000000001" hidden="1" customHeight="1" outlineLevel="1">
      <c r="A71" s="77" t="s">
        <v>43</v>
      </c>
      <c r="B71" s="77" t="s">
        <v>270</v>
      </c>
      <c r="C71" s="77" t="str">
        <f t="shared" si="5"/>
        <v>AH·</v>
      </c>
      <c r="D71" s="78" t="s">
        <v>46</v>
      </c>
      <c r="E71" s="78" t="str">
        <f t="shared" si="4"/>
        <v>000</v>
      </c>
      <c r="F71" s="3">
        <v>673023</v>
      </c>
      <c r="G71" s="102" t="s">
        <v>484</v>
      </c>
      <c r="H71" s="87"/>
      <c r="I71" s="13"/>
      <c r="J71" s="13">
        <v>0</v>
      </c>
      <c r="L71" s="56">
        <v>0</v>
      </c>
      <c r="M71" s="56"/>
      <c r="N71" s="56">
        <v>0</v>
      </c>
      <c r="O71" s="56"/>
      <c r="P71" s="56">
        <v>0</v>
      </c>
      <c r="Q71" s="56"/>
      <c r="R71" s="56">
        <v>0</v>
      </c>
      <c r="S71" s="56"/>
      <c r="T71" s="56">
        <v>0</v>
      </c>
      <c r="U71" s="56"/>
      <c r="V71" s="56">
        <v>0</v>
      </c>
      <c r="W71" s="56"/>
      <c r="X71" s="56">
        <v>0</v>
      </c>
      <c r="Y71" s="56"/>
      <c r="Z71" s="56">
        <v>20000</v>
      </c>
      <c r="AA71" s="56"/>
      <c r="AB71" s="56">
        <v>0</v>
      </c>
      <c r="AC71" s="56"/>
      <c r="AD71" s="56">
        <v>0</v>
      </c>
      <c r="AE71" s="56"/>
      <c r="AF71" s="56">
        <f t="shared" si="10"/>
        <v>20000</v>
      </c>
      <c r="AG71" s="56">
        <v>-20000</v>
      </c>
      <c r="AH71" s="56">
        <v>0</v>
      </c>
      <c r="AI71" s="56"/>
      <c r="AJ71" s="56">
        <f>SUM(AE71:AI71)</f>
        <v>0</v>
      </c>
      <c r="AK71" s="85"/>
      <c r="AL71" s="56">
        <v>0</v>
      </c>
      <c r="AM71" s="56"/>
      <c r="AN71" s="88">
        <f>SUM(AI71:AM71)</f>
        <v>0</v>
      </c>
      <c r="AO71" s="88">
        <v>0</v>
      </c>
      <c r="AP71" s="88">
        <v>0</v>
      </c>
      <c r="AQ71" s="56"/>
      <c r="AR71" s="56">
        <v>0</v>
      </c>
      <c r="AS71" s="56"/>
      <c r="AT71" s="56">
        <v>0</v>
      </c>
      <c r="AU71" s="56"/>
      <c r="AV71" s="56">
        <f>SUM(AP71:AU71)</f>
        <v>0</v>
      </c>
      <c r="AW71" s="56"/>
      <c r="AX71" s="56">
        <v>0</v>
      </c>
      <c r="AY71" s="56"/>
      <c r="AZ71" s="88">
        <v>0</v>
      </c>
      <c r="BA71" s="56">
        <v>0</v>
      </c>
      <c r="BB71" s="214"/>
      <c r="BC71" s="56"/>
      <c r="BD71" s="84">
        <f>+AP71-AN71</f>
        <v>0</v>
      </c>
      <c r="BE71" s="56"/>
      <c r="BF71" s="56"/>
      <c r="BG71" s="56"/>
      <c r="BH71" s="72"/>
    </row>
    <row r="72" spans="1:62" ht="20.100000000000001" customHeight="1" outlineLevel="1">
      <c r="A72" s="77" t="s">
        <v>43</v>
      </c>
      <c r="B72" s="77" t="s">
        <v>272</v>
      </c>
      <c r="C72" s="77" t="str">
        <f t="shared" si="5"/>
        <v>AH·</v>
      </c>
      <c r="D72" s="78" t="s">
        <v>46</v>
      </c>
      <c r="E72" s="78" t="str">
        <f t="shared" si="4"/>
        <v>000</v>
      </c>
      <c r="F72" s="3">
        <v>611211</v>
      </c>
      <c r="G72" s="102" t="s">
        <v>486</v>
      </c>
      <c r="H72" s="87"/>
      <c r="I72" s="13">
        <v>88834</v>
      </c>
      <c r="J72" s="13">
        <v>85227</v>
      </c>
      <c r="L72" s="56">
        <f>84521-L73</f>
        <v>76110.95</v>
      </c>
      <c r="M72" s="56"/>
      <c r="N72" s="56">
        <v>100500</v>
      </c>
      <c r="O72" s="56"/>
      <c r="P72" s="56">
        <v>100500</v>
      </c>
      <c r="Q72" s="56"/>
      <c r="R72" s="56">
        <v>100500</v>
      </c>
      <c r="S72" s="56"/>
      <c r="T72" s="56">
        <v>0</v>
      </c>
      <c r="U72" s="56"/>
      <c r="V72" s="56">
        <v>100500</v>
      </c>
      <c r="W72" s="56"/>
      <c r="X72" s="56">
        <f>75616.57</f>
        <v>75616.570000000007</v>
      </c>
      <c r="Y72" s="56"/>
      <c r="Z72" s="56">
        <v>88000</v>
      </c>
      <c r="AA72" s="56"/>
      <c r="AB72" s="56">
        <v>0</v>
      </c>
      <c r="AC72" s="56"/>
      <c r="AD72" s="56">
        <v>0</v>
      </c>
      <c r="AE72" s="56"/>
      <c r="AF72" s="56">
        <f t="shared" si="10"/>
        <v>88000</v>
      </c>
      <c r="AG72" s="56">
        <v>0</v>
      </c>
      <c r="AH72" s="56">
        <v>0</v>
      </c>
      <c r="AI72" s="56"/>
      <c r="AJ72" s="56">
        <f>SUM(AE72:AI72)</f>
        <v>88000</v>
      </c>
      <c r="AK72" s="85"/>
      <c r="AL72" s="56">
        <v>0</v>
      </c>
      <c r="AM72" s="56"/>
      <c r="AN72" s="88">
        <f>76902.84</f>
        <v>76902.84</v>
      </c>
      <c r="AO72" s="88">
        <v>0</v>
      </c>
      <c r="AP72" s="88">
        <v>119840.02</v>
      </c>
      <c r="AQ72" s="56"/>
      <c r="AR72" s="56">
        <v>0</v>
      </c>
      <c r="AS72" s="56"/>
      <c r="AT72" s="56">
        <v>0</v>
      </c>
      <c r="AU72" s="56"/>
      <c r="AV72" s="56">
        <f>SUM(AP72:AU72)</f>
        <v>119840.02</v>
      </c>
      <c r="AW72" s="56"/>
      <c r="AX72" s="106">
        <v>-26000</v>
      </c>
      <c r="AY72" s="56"/>
      <c r="AZ72" s="88">
        <v>125000</v>
      </c>
      <c r="BA72" s="56">
        <v>125000</v>
      </c>
      <c r="BB72" s="214"/>
      <c r="BC72" s="56"/>
      <c r="BD72" s="84">
        <f>+AP72-AN72</f>
        <v>42937.180000000008</v>
      </c>
      <c r="BE72" s="56"/>
      <c r="BF72" s="56"/>
      <c r="BG72" s="56"/>
      <c r="BH72" s="72">
        <v>1</v>
      </c>
      <c r="BJ72">
        <v>1</v>
      </c>
    </row>
    <row r="73" spans="1:62" ht="20.100000000000001" customHeight="1" outlineLevel="1">
      <c r="A73" s="77" t="s">
        <v>43</v>
      </c>
      <c r="B73" s="77" t="s">
        <v>272</v>
      </c>
      <c r="C73" s="77" t="str">
        <f t="shared" si="5"/>
        <v>AH·</v>
      </c>
      <c r="D73" s="78" t="s">
        <v>46</v>
      </c>
      <c r="E73" s="78" t="str">
        <f t="shared" si="4"/>
        <v>000</v>
      </c>
      <c r="F73" s="3">
        <v>611511</v>
      </c>
      <c r="G73" s="102" t="s">
        <v>1064</v>
      </c>
      <c r="H73" s="87"/>
      <c r="I73" s="13"/>
      <c r="J73" s="13"/>
      <c r="L73" s="56">
        <v>8410.0499999999993</v>
      </c>
      <c r="M73" s="56"/>
      <c r="N73" s="56"/>
      <c r="O73" s="56"/>
      <c r="P73" s="56"/>
      <c r="Q73" s="56"/>
      <c r="R73" s="56"/>
      <c r="S73" s="56"/>
      <c r="T73" s="56"/>
      <c r="U73" s="56"/>
      <c r="V73" s="56"/>
      <c r="W73" s="56"/>
      <c r="X73" s="56">
        <v>6632.99</v>
      </c>
      <c r="Y73" s="56"/>
      <c r="Z73" s="56"/>
      <c r="AA73" s="56"/>
      <c r="AB73" s="56"/>
      <c r="AC73" s="56"/>
      <c r="AD73" s="56"/>
      <c r="AE73" s="56"/>
      <c r="AF73" s="56"/>
      <c r="AG73" s="56"/>
      <c r="AH73" s="56"/>
      <c r="AI73" s="56"/>
      <c r="AJ73" s="56"/>
      <c r="AK73" s="85"/>
      <c r="AL73" s="56"/>
      <c r="AM73" s="56"/>
      <c r="AN73" s="88">
        <v>2400</v>
      </c>
      <c r="AO73" s="88"/>
      <c r="AP73" s="88">
        <v>6773.35</v>
      </c>
      <c r="AQ73" s="56"/>
      <c r="AR73" s="56"/>
      <c r="AS73" s="56"/>
      <c r="AT73" s="56"/>
      <c r="AU73" s="56"/>
      <c r="AV73" s="56"/>
      <c r="AW73" s="56"/>
      <c r="AX73" s="106"/>
      <c r="AY73" s="56"/>
      <c r="AZ73" s="88">
        <v>0</v>
      </c>
      <c r="BA73" s="56">
        <v>0</v>
      </c>
      <c r="BB73" s="214"/>
      <c r="BC73" s="56"/>
      <c r="BD73" s="84"/>
      <c r="BE73" s="56"/>
      <c r="BF73" s="56"/>
      <c r="BG73" s="56"/>
      <c r="BH73" s="72"/>
    </row>
    <row r="74" spans="1:62" ht="20.100000000000001" customHeight="1" outlineLevel="1">
      <c r="A74" s="77" t="s">
        <v>43</v>
      </c>
      <c r="B74" s="77" t="s">
        <v>346</v>
      </c>
      <c r="C74" s="77" t="str">
        <f t="shared" si="5"/>
        <v>AH·</v>
      </c>
      <c r="D74" s="78" t="s">
        <v>46</v>
      </c>
      <c r="E74" s="78" t="str">
        <f t="shared" si="4"/>
        <v>000</v>
      </c>
      <c r="F74" s="3">
        <v>611211</v>
      </c>
      <c r="G74" s="102" t="s">
        <v>347</v>
      </c>
      <c r="H74" s="87"/>
      <c r="I74" s="13">
        <v>218093</v>
      </c>
      <c r="J74" s="13">
        <v>225633</v>
      </c>
      <c r="L74" s="56">
        <f>224071-L75</f>
        <v>221768</v>
      </c>
      <c r="M74" s="56"/>
      <c r="N74" s="56">
        <v>243000</v>
      </c>
      <c r="O74" s="56"/>
      <c r="P74" s="56">
        <v>243000</v>
      </c>
      <c r="Q74" s="56"/>
      <c r="R74" s="56">
        <v>243000</v>
      </c>
      <c r="S74" s="56"/>
      <c r="T74" s="56">
        <v>0</v>
      </c>
      <c r="U74" s="56"/>
      <c r="V74" s="56">
        <v>243000</v>
      </c>
      <c r="W74" s="56"/>
      <c r="X74" s="56">
        <f>213724.85</f>
        <v>213724.85</v>
      </c>
      <c r="Y74" s="56"/>
      <c r="Z74" s="56">
        <f>225000+125600</f>
        <v>350600</v>
      </c>
      <c r="AA74" s="56"/>
      <c r="AB74" s="56">
        <v>0</v>
      </c>
      <c r="AC74" s="56"/>
      <c r="AD74" s="56">
        <v>0</v>
      </c>
      <c r="AE74" s="56"/>
      <c r="AF74" s="56">
        <f>SUM(Z74:AE74)</f>
        <v>350600</v>
      </c>
      <c r="AG74" s="56">
        <v>0</v>
      </c>
      <c r="AH74" s="56">
        <v>0</v>
      </c>
      <c r="AI74" s="56"/>
      <c r="AJ74" s="56">
        <f>SUM(AE74:AI74)</f>
        <v>350600</v>
      </c>
      <c r="AK74" s="85"/>
      <c r="AL74" s="56">
        <v>0</v>
      </c>
      <c r="AM74" s="56"/>
      <c r="AN74" s="88">
        <f>327033.2</f>
        <v>327033.2</v>
      </c>
      <c r="AO74" s="88">
        <v>0</v>
      </c>
      <c r="AP74" s="88">
        <v>325180.84999999998</v>
      </c>
      <c r="AQ74" s="56"/>
      <c r="AR74" s="56">
        <v>0</v>
      </c>
      <c r="AS74" s="56"/>
      <c r="AT74" s="56">
        <v>0</v>
      </c>
      <c r="AU74" s="56"/>
      <c r="AV74" s="56">
        <f>SUM(AP74:AU74)</f>
        <v>325180.84999999998</v>
      </c>
      <c r="AW74" s="56"/>
      <c r="AX74" s="56">
        <v>0</v>
      </c>
      <c r="AY74" s="56"/>
      <c r="AZ74" s="88">
        <v>330000</v>
      </c>
      <c r="BA74" s="56">
        <v>330000</v>
      </c>
      <c r="BB74" s="214"/>
      <c r="BC74" s="56"/>
      <c r="BD74" s="84">
        <f>+AP74-AN74</f>
        <v>-1852.3500000000349</v>
      </c>
      <c r="BE74" s="56"/>
      <c r="BF74" s="56"/>
      <c r="BG74" s="56"/>
      <c r="BH74" s="72">
        <v>1</v>
      </c>
      <c r="BJ74">
        <v>1</v>
      </c>
    </row>
    <row r="75" spans="1:62" ht="20.100000000000001" customHeight="1" outlineLevel="1">
      <c r="A75" s="77" t="s">
        <v>43</v>
      </c>
      <c r="B75" s="77" t="s">
        <v>346</v>
      </c>
      <c r="C75" s="77" t="str">
        <f t="shared" si="5"/>
        <v>AH·</v>
      </c>
      <c r="D75" s="78" t="s">
        <v>46</v>
      </c>
      <c r="E75" s="78" t="str">
        <f t="shared" si="4"/>
        <v>000</v>
      </c>
      <c r="F75" s="3">
        <v>611511</v>
      </c>
      <c r="G75" s="102" t="s">
        <v>1065</v>
      </c>
      <c r="H75" s="87"/>
      <c r="I75" s="13"/>
      <c r="J75" s="13"/>
      <c r="L75" s="56">
        <v>2303</v>
      </c>
      <c r="M75" s="56"/>
      <c r="N75" s="56"/>
      <c r="O75" s="56"/>
      <c r="P75" s="56"/>
      <c r="Q75" s="56"/>
      <c r="R75" s="56"/>
      <c r="S75" s="56"/>
      <c r="T75" s="56"/>
      <c r="U75" s="56"/>
      <c r="V75" s="56"/>
      <c r="W75" s="56"/>
      <c r="X75" s="56">
        <v>2430.41</v>
      </c>
      <c r="Y75" s="56"/>
      <c r="Z75" s="56"/>
      <c r="AA75" s="56"/>
      <c r="AB75" s="56"/>
      <c r="AC75" s="56"/>
      <c r="AD75" s="56"/>
      <c r="AE75" s="56"/>
      <c r="AF75" s="56"/>
      <c r="AG75" s="56"/>
      <c r="AH75" s="56"/>
      <c r="AI75" s="56"/>
      <c r="AJ75" s="56"/>
      <c r="AK75" s="85"/>
      <c r="AL75" s="56"/>
      <c r="AM75" s="56"/>
      <c r="AN75" s="88">
        <v>4944.8900000000003</v>
      </c>
      <c r="AO75" s="88"/>
      <c r="AP75" s="88">
        <v>9058.8700000000008</v>
      </c>
      <c r="AQ75" s="56"/>
      <c r="AR75" s="56"/>
      <c r="AS75" s="56"/>
      <c r="AT75" s="56"/>
      <c r="AU75" s="56"/>
      <c r="AV75" s="56"/>
      <c r="AW75" s="56"/>
      <c r="AX75" s="56"/>
      <c r="AY75" s="56"/>
      <c r="AZ75" s="88">
        <v>0</v>
      </c>
      <c r="BA75" s="56">
        <v>0</v>
      </c>
      <c r="BB75" s="214"/>
      <c r="BC75" s="56"/>
      <c r="BD75" s="84"/>
      <c r="BE75" s="56"/>
      <c r="BF75" s="56"/>
      <c r="BG75" s="56"/>
      <c r="BH75" s="72"/>
    </row>
    <row r="76" spans="1:62" ht="20.100000000000001" customHeight="1" outlineLevel="1">
      <c r="A76" s="77" t="s">
        <v>43</v>
      </c>
      <c r="B76" s="77" t="s">
        <v>487</v>
      </c>
      <c r="C76" s="77" t="str">
        <f t="shared" si="5"/>
        <v>AH·</v>
      </c>
      <c r="D76" s="78" t="s">
        <v>46</v>
      </c>
      <c r="E76" s="78" t="str">
        <f t="shared" ref="E76:E131" si="14">+D76</f>
        <v>000</v>
      </c>
      <c r="F76" s="3">
        <v>611211</v>
      </c>
      <c r="G76" s="102" t="s">
        <v>488</v>
      </c>
      <c r="H76" s="87"/>
      <c r="I76" s="13">
        <v>72969</v>
      </c>
      <c r="J76" s="13">
        <v>66421</v>
      </c>
      <c r="L76" s="56">
        <v>59218</v>
      </c>
      <c r="M76" s="56"/>
      <c r="N76" s="56">
        <v>100000</v>
      </c>
      <c r="O76" s="56"/>
      <c r="P76" s="56">
        <v>100000</v>
      </c>
      <c r="Q76" s="56"/>
      <c r="R76" s="56">
        <v>100000</v>
      </c>
      <c r="S76" s="56"/>
      <c r="T76" s="56">
        <v>0</v>
      </c>
      <c r="U76" s="56"/>
      <c r="V76" s="56">
        <v>100000</v>
      </c>
      <c r="W76" s="56"/>
      <c r="X76" s="56">
        <v>56258.27</v>
      </c>
      <c r="Y76" s="56"/>
      <c r="Z76" s="56">
        <v>100000</v>
      </c>
      <c r="AA76" s="56"/>
      <c r="AB76" s="56">
        <v>0</v>
      </c>
      <c r="AC76" s="56"/>
      <c r="AD76" s="56">
        <v>0</v>
      </c>
      <c r="AE76" s="56"/>
      <c r="AF76" s="56">
        <f t="shared" ref="AF76:AF88" si="15">SUM(Z76:AE76)</f>
        <v>100000</v>
      </c>
      <c r="AG76" s="56">
        <v>0</v>
      </c>
      <c r="AH76" s="56">
        <v>0</v>
      </c>
      <c r="AI76" s="56"/>
      <c r="AJ76" s="56">
        <f t="shared" ref="AJ76:AJ83" si="16">SUM(AE76:AI76)</f>
        <v>100000</v>
      </c>
      <c r="AK76" s="85"/>
      <c r="AL76" s="56">
        <v>0</v>
      </c>
      <c r="AM76" s="56"/>
      <c r="AN76" s="88">
        <v>49206.01</v>
      </c>
      <c r="AO76" s="88">
        <v>0</v>
      </c>
      <c r="AP76" s="88">
        <v>39622.660000000003</v>
      </c>
      <c r="AQ76" s="56"/>
      <c r="AR76" s="56">
        <v>0</v>
      </c>
      <c r="AS76" s="56"/>
      <c r="AT76" s="56">
        <v>0</v>
      </c>
      <c r="AU76" s="56"/>
      <c r="AV76" s="56">
        <f t="shared" ref="AV76:AV83" si="17">SUM(AP76:AU76)</f>
        <v>39622.660000000003</v>
      </c>
      <c r="AW76" s="56"/>
      <c r="AX76" s="56">
        <v>0</v>
      </c>
      <c r="AY76" s="56"/>
      <c r="AZ76" s="88">
        <v>0</v>
      </c>
      <c r="BA76" s="56">
        <v>0</v>
      </c>
      <c r="BB76" s="214"/>
      <c r="BC76" s="56"/>
      <c r="BD76" s="84">
        <f t="shared" ref="BD76:BD83" si="18">+AP76-AN76</f>
        <v>-9583.3499999999985</v>
      </c>
      <c r="BE76" s="56"/>
      <c r="BF76" s="56"/>
      <c r="BG76" s="56"/>
      <c r="BH76" s="72">
        <v>1</v>
      </c>
      <c r="BJ76">
        <v>1</v>
      </c>
    </row>
    <row r="77" spans="1:62" ht="20.100000000000001" customHeight="1" outlineLevel="1">
      <c r="A77" s="77" t="s">
        <v>43</v>
      </c>
      <c r="B77" s="77" t="s">
        <v>487</v>
      </c>
      <c r="C77" s="77" t="str">
        <f t="shared" ref="C77:C131" si="19">+C76</f>
        <v>AH·</v>
      </c>
      <c r="D77" s="78" t="s">
        <v>46</v>
      </c>
      <c r="E77" s="78" t="str">
        <f t="shared" si="14"/>
        <v>000</v>
      </c>
      <c r="F77" s="3">
        <v>633961</v>
      </c>
      <c r="G77" s="102" t="s">
        <v>489</v>
      </c>
      <c r="H77" s="87"/>
      <c r="I77" s="13"/>
      <c r="J77" s="13">
        <v>0</v>
      </c>
      <c r="L77" s="56">
        <v>0</v>
      </c>
      <c r="M77" s="56"/>
      <c r="N77" s="56">
        <v>0</v>
      </c>
      <c r="O77" s="56"/>
      <c r="P77" s="56">
        <v>0</v>
      </c>
      <c r="Q77" s="56"/>
      <c r="R77" s="56">
        <v>0</v>
      </c>
      <c r="S77" s="56"/>
      <c r="T77" s="56">
        <v>0</v>
      </c>
      <c r="U77" s="56"/>
      <c r="V77" s="56">
        <v>0</v>
      </c>
      <c r="W77" s="56"/>
      <c r="X77" s="56">
        <v>0</v>
      </c>
      <c r="Y77" s="56"/>
      <c r="Z77" s="56">
        <v>0</v>
      </c>
      <c r="AA77" s="56"/>
      <c r="AB77" s="56">
        <v>0</v>
      </c>
      <c r="AC77" s="56"/>
      <c r="AD77" s="56">
        <v>0</v>
      </c>
      <c r="AE77" s="56"/>
      <c r="AF77" s="56">
        <f t="shared" si="15"/>
        <v>0</v>
      </c>
      <c r="AG77" s="56">
        <v>0</v>
      </c>
      <c r="AH77" s="56">
        <v>0</v>
      </c>
      <c r="AI77" s="56"/>
      <c r="AJ77" s="56">
        <f t="shared" si="16"/>
        <v>0</v>
      </c>
      <c r="AK77" s="85"/>
      <c r="AL77" s="56">
        <v>0</v>
      </c>
      <c r="AM77" s="56"/>
      <c r="AN77" s="88">
        <f>SUM(AI77:AM77)</f>
        <v>0</v>
      </c>
      <c r="AO77" s="88">
        <v>0</v>
      </c>
      <c r="AP77" s="88">
        <v>0</v>
      </c>
      <c r="AQ77" s="56"/>
      <c r="AR77" s="56">
        <v>0</v>
      </c>
      <c r="AS77" s="56"/>
      <c r="AT77" s="56">
        <v>0</v>
      </c>
      <c r="AU77" s="56"/>
      <c r="AV77" s="56">
        <f t="shared" si="17"/>
        <v>0</v>
      </c>
      <c r="AW77" s="56"/>
      <c r="AX77" s="56">
        <v>0</v>
      </c>
      <c r="AY77" s="56"/>
      <c r="AZ77" s="88">
        <v>0</v>
      </c>
      <c r="BA77" s="56">
        <v>0</v>
      </c>
      <c r="BB77" s="214"/>
      <c r="BC77" s="56"/>
      <c r="BD77" s="84">
        <f t="shared" si="18"/>
        <v>0</v>
      </c>
      <c r="BE77" s="56"/>
      <c r="BF77" s="56"/>
      <c r="BG77" s="56"/>
      <c r="BH77" s="72"/>
    </row>
    <row r="78" spans="1:62" ht="20.100000000000001" customHeight="1" outlineLevel="1">
      <c r="A78" s="77" t="s">
        <v>43</v>
      </c>
      <c r="B78" s="77" t="s">
        <v>487</v>
      </c>
      <c r="C78" s="77" t="str">
        <f t="shared" si="19"/>
        <v>AH·</v>
      </c>
      <c r="D78" s="78" t="s">
        <v>46</v>
      </c>
      <c r="E78" s="78" t="str">
        <f t="shared" si="14"/>
        <v>000</v>
      </c>
      <c r="F78" s="3">
        <v>661001</v>
      </c>
      <c r="G78" s="102" t="s">
        <v>490</v>
      </c>
      <c r="H78" s="87"/>
      <c r="I78" s="13">
        <v>10104</v>
      </c>
      <c r="J78" s="13">
        <v>18886</v>
      </c>
      <c r="L78" s="56">
        <v>2284</v>
      </c>
      <c r="M78" s="56"/>
      <c r="N78" s="56">
        <v>12455</v>
      </c>
      <c r="O78" s="56"/>
      <c r="P78" s="56">
        <v>12455</v>
      </c>
      <c r="Q78" s="56"/>
      <c r="R78" s="56">
        <v>12455</v>
      </c>
      <c r="S78" s="56"/>
      <c r="T78" s="56">
        <v>0</v>
      </c>
      <c r="U78" s="56"/>
      <c r="V78" s="56">
        <v>12455</v>
      </c>
      <c r="W78" s="56"/>
      <c r="X78" s="56">
        <v>4691.62</v>
      </c>
      <c r="Y78" s="56"/>
      <c r="Z78" s="56">
        <v>12455</v>
      </c>
      <c r="AA78" s="56"/>
      <c r="AB78" s="56">
        <v>0</v>
      </c>
      <c r="AC78" s="56"/>
      <c r="AD78" s="56">
        <v>0</v>
      </c>
      <c r="AE78" s="56"/>
      <c r="AF78" s="56">
        <f t="shared" si="15"/>
        <v>12455</v>
      </c>
      <c r="AG78" s="56">
        <v>0</v>
      </c>
      <c r="AH78" s="56">
        <v>0</v>
      </c>
      <c r="AI78" s="56"/>
      <c r="AJ78" s="56">
        <f t="shared" si="16"/>
        <v>12455</v>
      </c>
      <c r="AK78" s="85"/>
      <c r="AL78" s="56">
        <v>0</v>
      </c>
      <c r="AM78" s="56"/>
      <c r="AN78" s="88">
        <v>3011.98</v>
      </c>
      <c r="AO78" s="88">
        <v>0</v>
      </c>
      <c r="AP78" s="88">
        <v>2330.9</v>
      </c>
      <c r="AQ78" s="56"/>
      <c r="AR78" s="56">
        <v>0</v>
      </c>
      <c r="AS78" s="56"/>
      <c r="AT78" s="56">
        <v>0</v>
      </c>
      <c r="AU78" s="56"/>
      <c r="AV78" s="56">
        <f t="shared" si="17"/>
        <v>2330.9</v>
      </c>
      <c r="AW78" s="56"/>
      <c r="AX78" s="56">
        <v>0</v>
      </c>
      <c r="AY78" s="56"/>
      <c r="AZ78" s="88">
        <v>0</v>
      </c>
      <c r="BA78" s="56">
        <v>0</v>
      </c>
      <c r="BB78" s="214"/>
      <c r="BC78" s="56"/>
      <c r="BD78" s="84">
        <f t="shared" si="18"/>
        <v>-681.07999999999993</v>
      </c>
      <c r="BE78" s="56"/>
      <c r="BF78" s="56"/>
      <c r="BG78" s="56"/>
      <c r="BH78" s="72"/>
    </row>
    <row r="79" spans="1:62" ht="20.100000000000001" customHeight="1" outlineLevel="1">
      <c r="A79" s="77" t="s">
        <v>43</v>
      </c>
      <c r="B79" s="77" t="s">
        <v>487</v>
      </c>
      <c r="C79" s="77" t="str">
        <f t="shared" si="19"/>
        <v>AH·</v>
      </c>
      <c r="D79" s="78" t="s">
        <v>46</v>
      </c>
      <c r="E79" s="78" t="str">
        <f t="shared" si="14"/>
        <v>000</v>
      </c>
      <c r="F79" s="3">
        <v>662611</v>
      </c>
      <c r="G79" s="102" t="s">
        <v>491</v>
      </c>
      <c r="H79" s="87"/>
      <c r="I79" s="13">
        <v>0</v>
      </c>
      <c r="J79" s="13">
        <v>3300</v>
      </c>
      <c r="L79" s="56">
        <v>8584</v>
      </c>
      <c r="M79" s="56"/>
      <c r="N79" s="56">
        <v>9545</v>
      </c>
      <c r="O79" s="56"/>
      <c r="P79" s="56">
        <v>9545</v>
      </c>
      <c r="Q79" s="56"/>
      <c r="R79" s="56">
        <v>9545</v>
      </c>
      <c r="S79" s="56"/>
      <c r="T79" s="56">
        <v>0</v>
      </c>
      <c r="U79" s="56"/>
      <c r="V79" s="56">
        <v>9545</v>
      </c>
      <c r="W79" s="56"/>
      <c r="X79" s="56">
        <v>9389.75</v>
      </c>
      <c r="Y79" s="56"/>
      <c r="Z79" s="56">
        <v>11931</v>
      </c>
      <c r="AA79" s="56"/>
      <c r="AB79" s="56">
        <v>0</v>
      </c>
      <c r="AC79" s="56"/>
      <c r="AD79" s="56">
        <v>0</v>
      </c>
      <c r="AE79" s="56"/>
      <c r="AF79" s="56">
        <f t="shared" si="15"/>
        <v>11931</v>
      </c>
      <c r="AG79" s="56">
        <v>0</v>
      </c>
      <c r="AH79" s="56">
        <v>0</v>
      </c>
      <c r="AI79" s="56"/>
      <c r="AJ79" s="56">
        <f t="shared" si="16"/>
        <v>11931</v>
      </c>
      <c r="AK79" s="85"/>
      <c r="AL79" s="56">
        <v>0</v>
      </c>
      <c r="AM79" s="56"/>
      <c r="AN79" s="88">
        <v>6236.21</v>
      </c>
      <c r="AO79" s="88">
        <v>0</v>
      </c>
      <c r="AP79" s="88">
        <v>4857.6499999999996</v>
      </c>
      <c r="AQ79" s="56"/>
      <c r="AR79" s="56">
        <v>0</v>
      </c>
      <c r="AS79" s="56"/>
      <c r="AT79" s="56">
        <v>0</v>
      </c>
      <c r="AU79" s="56"/>
      <c r="AV79" s="56">
        <f t="shared" si="17"/>
        <v>4857.6499999999996</v>
      </c>
      <c r="AW79" s="56"/>
      <c r="AX79" s="56">
        <v>0</v>
      </c>
      <c r="AY79" s="56"/>
      <c r="AZ79" s="88">
        <v>0</v>
      </c>
      <c r="BA79" s="56">
        <v>0</v>
      </c>
      <c r="BB79" s="214"/>
      <c r="BC79" s="56"/>
      <c r="BD79" s="84">
        <f t="shared" si="18"/>
        <v>-1378.5600000000004</v>
      </c>
      <c r="BE79" s="56"/>
      <c r="BF79" s="56"/>
      <c r="BG79" s="56"/>
      <c r="BH79" s="72"/>
    </row>
    <row r="80" spans="1:62" ht="20.100000000000001" customHeight="1" outlineLevel="1">
      <c r="A80" s="77" t="s">
        <v>43</v>
      </c>
      <c r="B80" s="77" t="s">
        <v>492</v>
      </c>
      <c r="C80" s="77" t="str">
        <f t="shared" si="19"/>
        <v>AH·</v>
      </c>
      <c r="D80" s="78" t="s">
        <v>46</v>
      </c>
      <c r="E80" s="78" t="str">
        <f t="shared" si="14"/>
        <v>000</v>
      </c>
      <c r="F80" s="3">
        <v>611231</v>
      </c>
      <c r="G80" s="102" t="s">
        <v>493</v>
      </c>
      <c r="H80" s="87"/>
      <c r="I80" s="13">
        <v>171958</v>
      </c>
      <c r="J80" s="13">
        <v>215435</v>
      </c>
      <c r="L80" s="56">
        <v>240216</v>
      </c>
      <c r="M80" s="56"/>
      <c r="N80" s="56">
        <v>235000</v>
      </c>
      <c r="O80" s="56"/>
      <c r="P80" s="56">
        <v>235000</v>
      </c>
      <c r="Q80" s="56"/>
      <c r="R80" s="56">
        <v>240100</v>
      </c>
      <c r="S80" s="56"/>
      <c r="T80" s="56">
        <v>0</v>
      </c>
      <c r="U80" s="56"/>
      <c r="V80" s="56">
        <v>240100</v>
      </c>
      <c r="W80" s="56"/>
      <c r="X80" s="56">
        <v>192939.46</v>
      </c>
      <c r="Y80" s="56"/>
      <c r="Z80" s="56">
        <v>259000</v>
      </c>
      <c r="AA80" s="56"/>
      <c r="AB80" s="56">
        <v>0</v>
      </c>
      <c r="AC80" s="56"/>
      <c r="AD80" s="56">
        <v>0</v>
      </c>
      <c r="AE80" s="56"/>
      <c r="AF80" s="56">
        <f t="shared" si="15"/>
        <v>259000</v>
      </c>
      <c r="AG80" s="56">
        <v>0</v>
      </c>
      <c r="AH80" s="56">
        <v>0</v>
      </c>
      <c r="AI80" s="56"/>
      <c r="AJ80" s="56">
        <f t="shared" si="16"/>
        <v>259000</v>
      </c>
      <c r="AK80" s="85"/>
      <c r="AL80" s="56">
        <v>0</v>
      </c>
      <c r="AM80" s="56"/>
      <c r="AN80" s="88">
        <v>196029.74</v>
      </c>
      <c r="AO80" s="88">
        <v>0</v>
      </c>
      <c r="AP80" s="88">
        <v>271157.40000000002</v>
      </c>
      <c r="AQ80" s="56"/>
      <c r="AR80" s="56">
        <v>0</v>
      </c>
      <c r="AS80" s="56"/>
      <c r="AT80" s="56">
        <v>0</v>
      </c>
      <c r="AU80" s="56"/>
      <c r="AV80" s="56">
        <f t="shared" si="17"/>
        <v>271157.40000000002</v>
      </c>
      <c r="AW80" s="56"/>
      <c r="AX80" s="56">
        <v>0</v>
      </c>
      <c r="AY80" s="56"/>
      <c r="AZ80" s="88">
        <v>263306</v>
      </c>
      <c r="BA80" s="56">
        <v>274203</v>
      </c>
      <c r="BB80" s="214"/>
      <c r="BC80" s="56"/>
      <c r="BD80" s="84">
        <f t="shared" si="18"/>
        <v>75127.660000000033</v>
      </c>
      <c r="BE80" s="56"/>
      <c r="BF80" s="56"/>
      <c r="BG80" s="56"/>
      <c r="BH80" s="72">
        <v>0</v>
      </c>
      <c r="BJ80">
        <v>0</v>
      </c>
    </row>
    <row r="81" spans="1:62" ht="20.100000000000001" customHeight="1" outlineLevel="1">
      <c r="A81" s="77" t="s">
        <v>43</v>
      </c>
      <c r="B81" s="77" t="s">
        <v>492</v>
      </c>
      <c r="C81" s="77" t="str">
        <f t="shared" si="19"/>
        <v>AH·</v>
      </c>
      <c r="D81" s="78" t="s">
        <v>46</v>
      </c>
      <c r="E81" s="78" t="str">
        <f t="shared" si="14"/>
        <v>000</v>
      </c>
      <c r="F81" s="3">
        <v>658241</v>
      </c>
      <c r="G81" s="102" t="s">
        <v>494</v>
      </c>
      <c r="H81" s="87"/>
      <c r="I81" s="13">
        <v>6194</v>
      </c>
      <c r="J81" s="13">
        <v>3000</v>
      </c>
      <c r="L81" s="56">
        <v>3000</v>
      </c>
      <c r="M81" s="56"/>
      <c r="N81" s="56">
        <v>3000</v>
      </c>
      <c r="O81" s="56"/>
      <c r="P81" s="56">
        <v>3000</v>
      </c>
      <c r="Q81" s="56"/>
      <c r="R81" s="56">
        <v>3000</v>
      </c>
      <c r="S81" s="56"/>
      <c r="T81" s="56">
        <v>0</v>
      </c>
      <c r="U81" s="56"/>
      <c r="V81" s="56">
        <v>3000</v>
      </c>
      <c r="W81" s="56"/>
      <c r="X81" s="56">
        <v>3000</v>
      </c>
      <c r="Y81" s="56"/>
      <c r="Z81" s="56">
        <v>3000</v>
      </c>
      <c r="AA81" s="56"/>
      <c r="AB81" s="56">
        <v>0</v>
      </c>
      <c r="AC81" s="56"/>
      <c r="AD81" s="56">
        <v>0</v>
      </c>
      <c r="AE81" s="56"/>
      <c r="AF81" s="56">
        <f t="shared" si="15"/>
        <v>3000</v>
      </c>
      <c r="AG81" s="56">
        <v>0</v>
      </c>
      <c r="AH81" s="56">
        <v>0</v>
      </c>
      <c r="AI81" s="56"/>
      <c r="AJ81" s="56">
        <f t="shared" si="16"/>
        <v>3000</v>
      </c>
      <c r="AK81" s="85"/>
      <c r="AL81" s="56">
        <v>0</v>
      </c>
      <c r="AM81" s="56"/>
      <c r="AN81" s="88">
        <f>SUM(AI81:AM81)</f>
        <v>3000</v>
      </c>
      <c r="AO81" s="88">
        <v>0</v>
      </c>
      <c r="AP81" s="88">
        <v>3000</v>
      </c>
      <c r="AQ81" s="56"/>
      <c r="AR81" s="56">
        <v>0</v>
      </c>
      <c r="AS81" s="56"/>
      <c r="AT81" s="56">
        <v>0</v>
      </c>
      <c r="AU81" s="56"/>
      <c r="AV81" s="56">
        <f t="shared" si="17"/>
        <v>3000</v>
      </c>
      <c r="AW81" s="56"/>
      <c r="AX81" s="56">
        <v>0</v>
      </c>
      <c r="AY81" s="56"/>
      <c r="AZ81" s="88">
        <v>3000</v>
      </c>
      <c r="BA81" s="56">
        <v>3000</v>
      </c>
      <c r="BB81" s="214"/>
      <c r="BC81" s="56"/>
      <c r="BD81" s="84">
        <f t="shared" si="18"/>
        <v>0</v>
      </c>
      <c r="BE81" s="56"/>
      <c r="BF81" s="56"/>
      <c r="BG81" s="56"/>
      <c r="BH81" s="72"/>
    </row>
    <row r="82" spans="1:62" ht="20.100000000000001" customHeight="1" outlineLevel="1">
      <c r="A82" s="77" t="s">
        <v>43</v>
      </c>
      <c r="B82" s="77" t="s">
        <v>492</v>
      </c>
      <c r="C82" s="77" t="str">
        <f t="shared" si="19"/>
        <v>AH·</v>
      </c>
      <c r="D82" s="78" t="s">
        <v>46</v>
      </c>
      <c r="E82" s="78" t="str">
        <f t="shared" si="14"/>
        <v>000</v>
      </c>
      <c r="F82" s="3">
        <v>661021</v>
      </c>
      <c r="G82" s="102" t="s">
        <v>495</v>
      </c>
      <c r="H82" s="87"/>
      <c r="I82" s="13">
        <v>2812</v>
      </c>
      <c r="J82" s="13">
        <v>3000</v>
      </c>
      <c r="L82" s="56">
        <v>3000</v>
      </c>
      <c r="M82" s="56"/>
      <c r="N82" s="56">
        <v>3000</v>
      </c>
      <c r="O82" s="56"/>
      <c r="P82" s="56">
        <v>3000</v>
      </c>
      <c r="Q82" s="56"/>
      <c r="R82" s="56">
        <v>3000</v>
      </c>
      <c r="S82" s="56"/>
      <c r="T82" s="56">
        <v>0</v>
      </c>
      <c r="U82" s="56"/>
      <c r="V82" s="56">
        <v>3000</v>
      </c>
      <c r="W82" s="56"/>
      <c r="X82" s="56">
        <v>3000</v>
      </c>
      <c r="Y82" s="56"/>
      <c r="Z82" s="56">
        <v>3000</v>
      </c>
      <c r="AA82" s="56"/>
      <c r="AB82" s="56">
        <v>0</v>
      </c>
      <c r="AC82" s="56"/>
      <c r="AD82" s="56">
        <v>0</v>
      </c>
      <c r="AE82" s="56"/>
      <c r="AF82" s="56">
        <f t="shared" si="15"/>
        <v>3000</v>
      </c>
      <c r="AG82" s="56">
        <v>0</v>
      </c>
      <c r="AH82" s="56">
        <v>0</v>
      </c>
      <c r="AI82" s="56"/>
      <c r="AJ82" s="56">
        <f t="shared" si="16"/>
        <v>3000</v>
      </c>
      <c r="AK82" s="85"/>
      <c r="AL82" s="56">
        <v>0</v>
      </c>
      <c r="AM82" s="56"/>
      <c r="AN82" s="88">
        <f>SUM(AI82:AM82)</f>
        <v>3000</v>
      </c>
      <c r="AO82" s="88">
        <v>0</v>
      </c>
      <c r="AP82" s="88">
        <v>3000</v>
      </c>
      <c r="AQ82" s="56"/>
      <c r="AR82" s="56">
        <v>0</v>
      </c>
      <c r="AS82" s="56"/>
      <c r="AT82" s="56">
        <v>0</v>
      </c>
      <c r="AU82" s="56"/>
      <c r="AV82" s="56">
        <f t="shared" si="17"/>
        <v>3000</v>
      </c>
      <c r="AW82" s="56"/>
      <c r="AX82" s="56">
        <v>0</v>
      </c>
      <c r="AY82" s="56"/>
      <c r="AZ82" s="88">
        <v>3000</v>
      </c>
      <c r="BA82" s="56">
        <v>3000</v>
      </c>
      <c r="BB82" s="214"/>
      <c r="BC82" s="56"/>
      <c r="BD82" s="84">
        <f t="shared" si="18"/>
        <v>0</v>
      </c>
      <c r="BE82" s="56"/>
      <c r="BF82" s="56"/>
      <c r="BG82" s="56"/>
      <c r="BH82" s="72"/>
    </row>
    <row r="83" spans="1:62" ht="20.100000000000001" customHeight="1" outlineLevel="1">
      <c r="A83" s="124" t="s">
        <v>43</v>
      </c>
      <c r="B83" s="124" t="s">
        <v>214</v>
      </c>
      <c r="C83" s="77" t="str">
        <f t="shared" si="19"/>
        <v>AH·</v>
      </c>
      <c r="D83" s="78" t="s">
        <v>46</v>
      </c>
      <c r="E83" s="78" t="str">
        <f t="shared" si="14"/>
        <v>000</v>
      </c>
      <c r="F83" s="3">
        <v>611213</v>
      </c>
      <c r="G83" s="102" t="s">
        <v>348</v>
      </c>
      <c r="H83" s="87"/>
      <c r="I83" s="13">
        <v>83050</v>
      </c>
      <c r="J83" s="13">
        <v>54828</v>
      </c>
      <c r="L83" s="56">
        <v>99315</v>
      </c>
      <c r="M83" s="56"/>
      <c r="N83" s="56">
        <v>160000</v>
      </c>
      <c r="O83" s="56"/>
      <c r="P83" s="56">
        <v>160000</v>
      </c>
      <c r="Q83" s="56"/>
      <c r="R83" s="56">
        <v>157710</v>
      </c>
      <c r="S83" s="56"/>
      <c r="T83" s="56">
        <v>-2500</v>
      </c>
      <c r="U83" s="56"/>
      <c r="V83" s="56">
        <v>155210</v>
      </c>
      <c r="W83" s="56"/>
      <c r="X83" s="56">
        <v>108525</v>
      </c>
      <c r="Y83" s="56"/>
      <c r="Z83" s="56">
        <v>160000</v>
      </c>
      <c r="AA83" s="56"/>
      <c r="AB83" s="56">
        <v>0</v>
      </c>
      <c r="AC83" s="56"/>
      <c r="AD83" s="56">
        <v>0</v>
      </c>
      <c r="AE83" s="56"/>
      <c r="AF83" s="56">
        <f t="shared" si="15"/>
        <v>160000</v>
      </c>
      <c r="AG83" s="56">
        <v>0</v>
      </c>
      <c r="AH83" s="56">
        <v>0</v>
      </c>
      <c r="AI83" s="56"/>
      <c r="AJ83" s="56">
        <f t="shared" si="16"/>
        <v>160000</v>
      </c>
      <c r="AK83" s="85"/>
      <c r="AL83" s="56">
        <v>-15680</v>
      </c>
      <c r="AM83" s="56"/>
      <c r="AN83" s="88">
        <v>130632.79</v>
      </c>
      <c r="AO83" s="88">
        <v>0</v>
      </c>
      <c r="AP83" s="88">
        <v>142632.21</v>
      </c>
      <c r="AQ83" s="56"/>
      <c r="AR83" s="56">
        <v>0</v>
      </c>
      <c r="AS83" s="56"/>
      <c r="AT83" s="56">
        <v>0</v>
      </c>
      <c r="AU83" s="56"/>
      <c r="AV83" s="56">
        <f t="shared" si="17"/>
        <v>142632.21</v>
      </c>
      <c r="AW83" s="56"/>
      <c r="AX83" s="56">
        <v>0</v>
      </c>
      <c r="AY83" s="56"/>
      <c r="AZ83" s="88">
        <v>160000</v>
      </c>
      <c r="BA83" s="56">
        <v>160000</v>
      </c>
      <c r="BB83" s="214"/>
      <c r="BC83" s="56"/>
      <c r="BD83" s="84">
        <f t="shared" si="18"/>
        <v>11999.419999999998</v>
      </c>
      <c r="BE83" s="56"/>
      <c r="BF83" s="56"/>
      <c r="BG83" s="56"/>
      <c r="BH83" s="72">
        <v>0</v>
      </c>
      <c r="BJ83">
        <v>0</v>
      </c>
    </row>
    <row r="84" spans="1:62" ht="20.100000000000001" customHeight="1" outlineLevel="1">
      <c r="A84" s="77" t="s">
        <v>43</v>
      </c>
      <c r="B84" s="77" t="s">
        <v>276</v>
      </c>
      <c r="C84" s="77" t="str">
        <f t="shared" si="19"/>
        <v>AH·</v>
      </c>
      <c r="D84" s="78" t="s">
        <v>46</v>
      </c>
      <c r="E84" s="78" t="str">
        <f t="shared" si="14"/>
        <v>000</v>
      </c>
      <c r="F84" s="3">
        <v>611211</v>
      </c>
      <c r="G84" s="102" t="s">
        <v>496</v>
      </c>
      <c r="H84" s="87"/>
      <c r="I84" s="13">
        <v>0</v>
      </c>
      <c r="J84" s="13">
        <v>5240</v>
      </c>
      <c r="L84" s="56">
        <v>0</v>
      </c>
      <c r="M84" s="56"/>
      <c r="N84" s="56">
        <v>0</v>
      </c>
      <c r="O84" s="56"/>
      <c r="P84" s="56">
        <v>0</v>
      </c>
      <c r="Q84" s="56"/>
      <c r="R84" s="56">
        <v>0</v>
      </c>
      <c r="S84" s="56"/>
      <c r="T84" s="56">
        <v>0</v>
      </c>
      <c r="U84" s="56"/>
      <c r="V84" s="56">
        <v>0</v>
      </c>
      <c r="W84" s="56"/>
      <c r="X84" s="56">
        <v>0</v>
      </c>
      <c r="Y84" s="56"/>
      <c r="Z84" s="56">
        <v>0</v>
      </c>
      <c r="AA84" s="56"/>
      <c r="AB84" s="56">
        <v>0</v>
      </c>
      <c r="AC84" s="56"/>
      <c r="AD84" s="56">
        <v>0</v>
      </c>
      <c r="AE84" s="56"/>
      <c r="AF84" s="56">
        <f t="shared" si="15"/>
        <v>0</v>
      </c>
      <c r="AG84" s="56">
        <v>0</v>
      </c>
      <c r="AH84" s="56">
        <v>0</v>
      </c>
      <c r="AI84" s="56"/>
      <c r="AJ84" s="56">
        <f t="shared" si="11"/>
        <v>0</v>
      </c>
      <c r="AK84" s="85"/>
      <c r="AL84" s="56">
        <v>0</v>
      </c>
      <c r="AM84" s="56"/>
      <c r="AN84" s="88">
        <f>SUM(AI84:AM84)</f>
        <v>0</v>
      </c>
      <c r="AO84" s="88">
        <v>0</v>
      </c>
      <c r="AP84" s="88">
        <v>0</v>
      </c>
      <c r="AQ84" s="56"/>
      <c r="AR84" s="56">
        <v>0</v>
      </c>
      <c r="AS84" s="56"/>
      <c r="AT84" s="56">
        <v>0</v>
      </c>
      <c r="AU84" s="56"/>
      <c r="AV84" s="56">
        <f t="shared" si="12"/>
        <v>0</v>
      </c>
      <c r="AW84" s="56"/>
      <c r="AX84" s="56">
        <v>0</v>
      </c>
      <c r="AY84" s="56"/>
      <c r="AZ84" s="88">
        <v>0</v>
      </c>
      <c r="BA84" s="56">
        <v>0</v>
      </c>
      <c r="BB84" s="214"/>
      <c r="BC84" s="56"/>
      <c r="BD84" s="84">
        <f t="shared" si="13"/>
        <v>0</v>
      </c>
      <c r="BE84" s="56"/>
      <c r="BF84" s="56"/>
      <c r="BG84" s="56"/>
      <c r="BH84" s="72">
        <v>1</v>
      </c>
    </row>
    <row r="85" spans="1:62" ht="20.100000000000001" customHeight="1" outlineLevel="1">
      <c r="A85" s="77" t="s">
        <v>43</v>
      </c>
      <c r="B85" s="77" t="s">
        <v>279</v>
      </c>
      <c r="C85" s="77" t="str">
        <f t="shared" si="19"/>
        <v>AH·</v>
      </c>
      <c r="D85" s="78" t="s">
        <v>46</v>
      </c>
      <c r="E85" s="78" t="str">
        <f t="shared" si="14"/>
        <v>000</v>
      </c>
      <c r="F85" s="3">
        <v>611211</v>
      </c>
      <c r="G85" s="102" t="s">
        <v>280</v>
      </c>
      <c r="H85" s="87"/>
      <c r="I85" s="13">
        <v>0</v>
      </c>
      <c r="J85" s="13">
        <v>0</v>
      </c>
      <c r="L85" s="56">
        <v>0</v>
      </c>
      <c r="M85" s="56"/>
      <c r="N85" s="56">
        <v>0</v>
      </c>
      <c r="O85" s="56"/>
      <c r="P85" s="56">
        <v>0</v>
      </c>
      <c r="Q85" s="56"/>
      <c r="R85" s="56">
        <v>0</v>
      </c>
      <c r="S85" s="56"/>
      <c r="T85" s="56">
        <v>0</v>
      </c>
      <c r="U85" s="56"/>
      <c r="V85" s="56">
        <v>0</v>
      </c>
      <c r="W85" s="56"/>
      <c r="X85" s="56">
        <v>0</v>
      </c>
      <c r="Y85" s="56"/>
      <c r="Z85" s="56">
        <v>0</v>
      </c>
      <c r="AA85" s="56"/>
      <c r="AB85" s="56">
        <v>0</v>
      </c>
      <c r="AC85" s="56"/>
      <c r="AD85" s="56">
        <v>0</v>
      </c>
      <c r="AE85" s="56"/>
      <c r="AF85" s="56">
        <f t="shared" si="15"/>
        <v>0</v>
      </c>
      <c r="AG85" s="56">
        <v>0</v>
      </c>
      <c r="AH85" s="56">
        <v>0</v>
      </c>
      <c r="AI85" s="56"/>
      <c r="AJ85" s="56">
        <f t="shared" si="11"/>
        <v>0</v>
      </c>
      <c r="AK85" s="85"/>
      <c r="AL85" s="56">
        <v>0</v>
      </c>
      <c r="AM85" s="56"/>
      <c r="AN85" s="88">
        <f>SUM(AI85:AM85)</f>
        <v>0</v>
      </c>
      <c r="AO85" s="88">
        <v>0</v>
      </c>
      <c r="AP85" s="88">
        <v>0</v>
      </c>
      <c r="AQ85" s="56"/>
      <c r="AR85" s="56">
        <v>0</v>
      </c>
      <c r="AS85" s="56"/>
      <c r="AT85" s="56">
        <v>0</v>
      </c>
      <c r="AU85" s="56"/>
      <c r="AV85" s="56">
        <f t="shared" si="12"/>
        <v>0</v>
      </c>
      <c r="AW85" s="56"/>
      <c r="AX85" s="56">
        <v>0</v>
      </c>
      <c r="AY85" s="56"/>
      <c r="AZ85" s="88">
        <v>0</v>
      </c>
      <c r="BA85" s="56">
        <v>0</v>
      </c>
      <c r="BB85" s="214"/>
      <c r="BC85" s="56"/>
      <c r="BD85" s="84">
        <f t="shared" si="13"/>
        <v>0</v>
      </c>
      <c r="BE85" s="56"/>
      <c r="BF85" s="56"/>
      <c r="BG85" s="56"/>
      <c r="BH85" s="72">
        <v>1</v>
      </c>
    </row>
    <row r="86" spans="1:62" ht="20.100000000000001" customHeight="1" outlineLevel="1">
      <c r="A86" s="77" t="s">
        <v>43</v>
      </c>
      <c r="B86" s="77" t="s">
        <v>279</v>
      </c>
      <c r="C86" s="77" t="str">
        <f t="shared" si="19"/>
        <v>AH·</v>
      </c>
      <c r="D86" s="78" t="s">
        <v>46</v>
      </c>
      <c r="E86" s="78" t="str">
        <f t="shared" si="14"/>
        <v>000</v>
      </c>
      <c r="F86" s="3">
        <v>611511</v>
      </c>
      <c r="G86" s="102" t="s">
        <v>281</v>
      </c>
      <c r="H86" s="87"/>
      <c r="I86" s="13">
        <v>0</v>
      </c>
      <c r="J86" s="13">
        <v>0</v>
      </c>
      <c r="L86" s="56">
        <v>0</v>
      </c>
      <c r="M86" s="56"/>
      <c r="N86" s="56">
        <v>0</v>
      </c>
      <c r="O86" s="56"/>
      <c r="P86" s="56">
        <v>0</v>
      </c>
      <c r="Q86" s="56"/>
      <c r="R86" s="56">
        <v>0</v>
      </c>
      <c r="S86" s="56"/>
      <c r="T86" s="56">
        <v>0</v>
      </c>
      <c r="U86" s="56"/>
      <c r="V86" s="56">
        <v>0</v>
      </c>
      <c r="W86" s="56"/>
      <c r="X86" s="56">
        <v>0</v>
      </c>
      <c r="Y86" s="56"/>
      <c r="Z86" s="56">
        <v>0</v>
      </c>
      <c r="AA86" s="56"/>
      <c r="AB86" s="56">
        <v>0</v>
      </c>
      <c r="AC86" s="56"/>
      <c r="AD86" s="56">
        <v>0</v>
      </c>
      <c r="AE86" s="56"/>
      <c r="AF86" s="56">
        <f t="shared" si="15"/>
        <v>0</v>
      </c>
      <c r="AG86" s="56">
        <v>0</v>
      </c>
      <c r="AH86" s="56">
        <v>0</v>
      </c>
      <c r="AI86" s="56"/>
      <c r="AJ86" s="56">
        <f t="shared" si="11"/>
        <v>0</v>
      </c>
      <c r="AK86" s="85"/>
      <c r="AL86" s="56">
        <v>0</v>
      </c>
      <c r="AM86" s="56"/>
      <c r="AN86" s="88">
        <f>SUM(AI86:AM86)</f>
        <v>0</v>
      </c>
      <c r="AO86" s="88">
        <v>0</v>
      </c>
      <c r="AP86" s="88">
        <v>0</v>
      </c>
      <c r="AQ86" s="56"/>
      <c r="AR86" s="56">
        <v>0</v>
      </c>
      <c r="AS86" s="56"/>
      <c r="AT86" s="56">
        <v>0</v>
      </c>
      <c r="AU86" s="56"/>
      <c r="AV86" s="56">
        <f t="shared" si="12"/>
        <v>0</v>
      </c>
      <c r="AW86" s="56"/>
      <c r="AX86" s="56">
        <v>0</v>
      </c>
      <c r="AY86" s="56"/>
      <c r="AZ86" s="88">
        <v>0</v>
      </c>
      <c r="BA86" s="56">
        <v>0</v>
      </c>
      <c r="BB86" s="214"/>
      <c r="BC86" s="56"/>
      <c r="BD86" s="84">
        <f t="shared" si="13"/>
        <v>0</v>
      </c>
      <c r="BE86" s="56"/>
      <c r="BF86" s="56"/>
      <c r="BG86" s="56"/>
      <c r="BH86" s="72">
        <v>1</v>
      </c>
    </row>
    <row r="87" spans="1:62" ht="20.100000000000001" customHeight="1" outlineLevel="1">
      <c r="A87" s="77" t="s">
        <v>43</v>
      </c>
      <c r="B87" s="77" t="s">
        <v>497</v>
      </c>
      <c r="C87" s="77" t="str">
        <f t="shared" si="19"/>
        <v>AH·</v>
      </c>
      <c r="D87" s="78" t="s">
        <v>46</v>
      </c>
      <c r="E87" s="78" t="str">
        <f t="shared" si="14"/>
        <v>000</v>
      </c>
      <c r="F87" s="3">
        <v>611323</v>
      </c>
      <c r="G87" s="102" t="s">
        <v>498</v>
      </c>
      <c r="H87" s="87"/>
      <c r="I87" s="13">
        <v>0</v>
      </c>
      <c r="J87" s="13">
        <v>0</v>
      </c>
      <c r="L87" s="56">
        <v>0</v>
      </c>
      <c r="M87" s="56"/>
      <c r="N87" s="56">
        <v>0</v>
      </c>
      <c r="O87" s="56"/>
      <c r="P87" s="56">
        <v>0</v>
      </c>
      <c r="Q87" s="56"/>
      <c r="R87" s="56">
        <v>0</v>
      </c>
      <c r="S87" s="56"/>
      <c r="T87" s="56">
        <v>0</v>
      </c>
      <c r="U87" s="56"/>
      <c r="V87" s="56">
        <v>0</v>
      </c>
      <c r="W87" s="56"/>
      <c r="X87" s="56">
        <v>0</v>
      </c>
      <c r="Y87" s="56"/>
      <c r="Z87" s="56">
        <v>0</v>
      </c>
      <c r="AA87" s="56"/>
      <c r="AB87" s="56">
        <v>0</v>
      </c>
      <c r="AC87" s="56"/>
      <c r="AD87" s="56">
        <v>0</v>
      </c>
      <c r="AE87" s="56"/>
      <c r="AF87" s="56">
        <f t="shared" si="15"/>
        <v>0</v>
      </c>
      <c r="AG87" s="56">
        <v>0</v>
      </c>
      <c r="AH87" s="56">
        <v>0</v>
      </c>
      <c r="AI87" s="56"/>
      <c r="AJ87" s="56">
        <f t="shared" si="11"/>
        <v>0</v>
      </c>
      <c r="AK87" s="85"/>
      <c r="AL87" s="56">
        <v>0</v>
      </c>
      <c r="AM87" s="56"/>
      <c r="AN87" s="88">
        <f>SUM(AI87:AM87)</f>
        <v>0</v>
      </c>
      <c r="AO87" s="88">
        <v>0</v>
      </c>
      <c r="AP87" s="88">
        <v>0</v>
      </c>
      <c r="AQ87" s="56"/>
      <c r="AR87" s="56">
        <v>0</v>
      </c>
      <c r="AS87" s="56"/>
      <c r="AT87" s="56">
        <v>0</v>
      </c>
      <c r="AU87" s="56"/>
      <c r="AV87" s="56">
        <f t="shared" si="12"/>
        <v>0</v>
      </c>
      <c r="AW87" s="56"/>
      <c r="AX87" s="56">
        <v>0</v>
      </c>
      <c r="AY87" s="56"/>
      <c r="AZ87" s="88">
        <v>0</v>
      </c>
      <c r="BA87" s="56">
        <v>0</v>
      </c>
      <c r="BB87" s="214"/>
      <c r="BC87" s="56"/>
      <c r="BD87" s="84">
        <f t="shared" si="13"/>
        <v>0</v>
      </c>
      <c r="BE87" s="56"/>
      <c r="BF87" s="56"/>
      <c r="BG87" s="56"/>
      <c r="BH87" s="72">
        <v>1</v>
      </c>
    </row>
    <row r="88" spans="1:62" ht="20.100000000000001" customHeight="1" outlineLevel="1">
      <c r="A88" s="77" t="s">
        <v>43</v>
      </c>
      <c r="B88" s="77" t="s">
        <v>282</v>
      </c>
      <c r="C88" s="77" t="str">
        <f t="shared" si="19"/>
        <v>AH·</v>
      </c>
      <c r="D88" s="78" t="s">
        <v>46</v>
      </c>
      <c r="E88" s="78" t="str">
        <f t="shared" si="14"/>
        <v>000</v>
      </c>
      <c r="F88" s="3">
        <v>611352</v>
      </c>
      <c r="G88" s="102" t="s">
        <v>499</v>
      </c>
      <c r="H88" s="87"/>
      <c r="I88" s="13">
        <v>1348681</v>
      </c>
      <c r="J88" s="13">
        <v>1302378</v>
      </c>
      <c r="L88" s="56">
        <v>1429956</v>
      </c>
      <c r="M88" s="56"/>
      <c r="N88" s="56">
        <v>1500523</v>
      </c>
      <c r="O88" s="56"/>
      <c r="P88" s="56">
        <v>1500523</v>
      </c>
      <c r="Q88" s="56"/>
      <c r="R88" s="56">
        <v>1427616</v>
      </c>
      <c r="S88" s="56"/>
      <c r="T88" s="56">
        <v>0</v>
      </c>
      <c r="U88" s="56"/>
      <c r="V88" s="56">
        <v>1427616</v>
      </c>
      <c r="W88" s="56"/>
      <c r="X88" s="56">
        <v>1434109.56</v>
      </c>
      <c r="Y88" s="56"/>
      <c r="Z88" s="56">
        <v>1424115</v>
      </c>
      <c r="AA88" s="56"/>
      <c r="AB88" s="56">
        <v>0</v>
      </c>
      <c r="AC88" s="56"/>
      <c r="AD88" s="56">
        <v>0</v>
      </c>
      <c r="AE88" s="56"/>
      <c r="AF88" s="56">
        <f t="shared" si="15"/>
        <v>1424115</v>
      </c>
      <c r="AG88" s="104">
        <v>71214</v>
      </c>
      <c r="AH88" s="56">
        <v>31250</v>
      </c>
      <c r="AI88" s="56"/>
      <c r="AJ88" s="56">
        <f t="shared" si="11"/>
        <v>1526579</v>
      </c>
      <c r="AK88" s="85"/>
      <c r="AL88" s="56">
        <v>0</v>
      </c>
      <c r="AM88" s="56"/>
      <c r="AN88" s="88">
        <v>1504893.34</v>
      </c>
      <c r="AO88" s="88">
        <v>0</v>
      </c>
      <c r="AP88" s="88">
        <v>1534455.48</v>
      </c>
      <c r="AQ88" s="56"/>
      <c r="AR88" s="56">
        <v>0</v>
      </c>
      <c r="AS88" s="56"/>
      <c r="AT88" s="56">
        <v>0</v>
      </c>
      <c r="AU88" s="56"/>
      <c r="AV88" s="56">
        <f t="shared" si="12"/>
        <v>1534455.48</v>
      </c>
      <c r="AW88" s="56"/>
      <c r="AX88" s="106">
        <v>-6335</v>
      </c>
      <c r="AY88" s="56"/>
      <c r="AZ88" s="88">
        <v>1492330</v>
      </c>
      <c r="BA88" s="56">
        <v>1432392</v>
      </c>
      <c r="BB88" s="214"/>
      <c r="BC88" s="56"/>
      <c r="BD88" s="84">
        <f t="shared" si="13"/>
        <v>29562.139999999898</v>
      </c>
      <c r="BE88" s="56"/>
      <c r="BF88" s="56"/>
      <c r="BG88" s="56"/>
      <c r="BH88" s="72">
        <v>1</v>
      </c>
      <c r="BJ88">
        <v>1</v>
      </c>
    </row>
    <row r="89" spans="1:62" ht="20.100000000000001" customHeight="1" outlineLevel="1">
      <c r="A89" s="77" t="s">
        <v>43</v>
      </c>
      <c r="B89" s="77" t="s">
        <v>282</v>
      </c>
      <c r="C89" s="77" t="str">
        <f t="shared" si="19"/>
        <v>AH·</v>
      </c>
      <c r="D89" s="78" t="s">
        <v>46</v>
      </c>
      <c r="E89" s="78" t="str">
        <f t="shared" si="14"/>
        <v>000</v>
      </c>
      <c r="F89" s="3">
        <v>633941</v>
      </c>
      <c r="G89" s="102" t="s">
        <v>500</v>
      </c>
      <c r="H89" s="87"/>
      <c r="I89" s="13"/>
      <c r="J89" s="13"/>
      <c r="L89" s="56">
        <v>0</v>
      </c>
      <c r="M89" s="56"/>
      <c r="N89" s="56"/>
      <c r="O89" s="56"/>
      <c r="P89" s="56"/>
      <c r="Q89" s="56"/>
      <c r="R89" s="56"/>
      <c r="S89" s="56"/>
      <c r="T89" s="56"/>
      <c r="U89" s="56"/>
      <c r="V89" s="56"/>
      <c r="W89" s="56"/>
      <c r="X89" s="56">
        <v>0</v>
      </c>
      <c r="Y89" s="56"/>
      <c r="Z89" s="56">
        <v>0</v>
      </c>
      <c r="AA89" s="56"/>
      <c r="AB89" s="56"/>
      <c r="AC89" s="56"/>
      <c r="AD89" s="56"/>
      <c r="AE89" s="56"/>
      <c r="AF89" s="56">
        <v>0</v>
      </c>
      <c r="AG89" s="89">
        <v>30000</v>
      </c>
      <c r="AH89" s="56">
        <v>0</v>
      </c>
      <c r="AI89" s="56"/>
      <c r="AJ89" s="56">
        <f t="shared" si="11"/>
        <v>30000</v>
      </c>
      <c r="AK89" s="24"/>
      <c r="AL89" s="56">
        <v>0</v>
      </c>
      <c r="AM89" s="56"/>
      <c r="AN89" s="88">
        <f>SUM(AI89:AM89)</f>
        <v>30000</v>
      </c>
      <c r="AO89" s="88">
        <v>0</v>
      </c>
      <c r="AP89" s="88">
        <v>0</v>
      </c>
      <c r="AQ89" s="56"/>
      <c r="AR89" s="56">
        <v>0</v>
      </c>
      <c r="AS89" s="56"/>
      <c r="AT89" s="56">
        <v>0</v>
      </c>
      <c r="AU89" s="56"/>
      <c r="AV89" s="56">
        <f t="shared" si="12"/>
        <v>0</v>
      </c>
      <c r="AW89" s="56"/>
      <c r="AX89" s="56">
        <v>0</v>
      </c>
      <c r="AY89" s="56"/>
      <c r="AZ89" s="88">
        <v>30000</v>
      </c>
      <c r="BA89" s="56">
        <v>30000</v>
      </c>
      <c r="BB89" s="214"/>
      <c r="BC89" s="56"/>
      <c r="BD89" s="84">
        <f t="shared" si="13"/>
        <v>-30000</v>
      </c>
      <c r="BE89" s="56"/>
      <c r="BF89" s="56"/>
      <c r="BG89" s="56"/>
      <c r="BH89" s="72"/>
    </row>
    <row r="90" spans="1:62" ht="20.100000000000001" customHeight="1" outlineLevel="1">
      <c r="A90" s="77" t="s">
        <v>43</v>
      </c>
      <c r="B90" s="77" t="s">
        <v>284</v>
      </c>
      <c r="C90" s="77" t="str">
        <f t="shared" si="19"/>
        <v>AH·</v>
      </c>
      <c r="D90" s="78" t="s">
        <v>46</v>
      </c>
      <c r="E90" s="78" t="str">
        <f t="shared" si="14"/>
        <v>000</v>
      </c>
      <c r="F90" s="3">
        <v>611115</v>
      </c>
      <c r="G90" s="102" t="s">
        <v>370</v>
      </c>
      <c r="H90" s="87"/>
      <c r="I90" s="13">
        <v>72390</v>
      </c>
      <c r="J90" s="13">
        <v>73470</v>
      </c>
      <c r="L90" s="56">
        <v>97254</v>
      </c>
      <c r="M90" s="56"/>
      <c r="N90" s="56">
        <v>86943</v>
      </c>
      <c r="O90" s="56"/>
      <c r="P90" s="56">
        <v>86943</v>
      </c>
      <c r="Q90" s="56"/>
      <c r="R90" s="56">
        <v>88643</v>
      </c>
      <c r="S90" s="56"/>
      <c r="T90" s="56">
        <v>0</v>
      </c>
      <c r="U90" s="56"/>
      <c r="V90" s="56">
        <v>88643</v>
      </c>
      <c r="W90" s="56"/>
      <c r="X90" s="56">
        <v>88643</v>
      </c>
      <c r="Y90" s="56"/>
      <c r="Z90" s="56">
        <v>88597</v>
      </c>
      <c r="AA90" s="56"/>
      <c r="AB90" s="56">
        <v>0</v>
      </c>
      <c r="AC90" s="56"/>
      <c r="AD90" s="56">
        <v>0</v>
      </c>
      <c r="AE90" s="56"/>
      <c r="AF90" s="56">
        <f t="shared" ref="AF90:AF104" si="20">SUM(Z90:AE90)</f>
        <v>88597</v>
      </c>
      <c r="AG90" s="56">
        <v>0</v>
      </c>
      <c r="AH90" s="56">
        <v>1250</v>
      </c>
      <c r="AI90" s="56"/>
      <c r="AJ90" s="56">
        <f t="shared" si="11"/>
        <v>89847</v>
      </c>
      <c r="AK90" s="85"/>
      <c r="AL90" s="56">
        <v>0</v>
      </c>
      <c r="AM90" s="56"/>
      <c r="AN90" s="88">
        <v>89837</v>
      </c>
      <c r="AO90" s="88">
        <v>0</v>
      </c>
      <c r="AP90" s="88">
        <v>88587</v>
      </c>
      <c r="AQ90" s="56"/>
      <c r="AR90" s="56">
        <v>0</v>
      </c>
      <c r="AS90" s="56"/>
      <c r="AT90" s="56">
        <v>0</v>
      </c>
      <c r="AU90" s="56"/>
      <c r="AV90" s="56">
        <f t="shared" si="12"/>
        <v>88587</v>
      </c>
      <c r="AW90" s="56"/>
      <c r="AX90" s="56">
        <v>0</v>
      </c>
      <c r="AY90" s="56"/>
      <c r="AZ90" s="88">
        <v>88587</v>
      </c>
      <c r="BA90" s="56">
        <v>88587</v>
      </c>
      <c r="BB90" s="214"/>
      <c r="BC90" s="56"/>
      <c r="BD90" s="84">
        <f t="shared" si="13"/>
        <v>-1250</v>
      </c>
      <c r="BE90" s="56"/>
      <c r="BF90" s="56"/>
      <c r="BG90" s="56"/>
      <c r="BH90" s="72">
        <v>1</v>
      </c>
      <c r="BJ90">
        <v>1</v>
      </c>
    </row>
    <row r="91" spans="1:62" ht="20.100000000000001" customHeight="1" outlineLevel="1">
      <c r="A91" s="77" t="s">
        <v>43</v>
      </c>
      <c r="B91" s="77" t="s">
        <v>284</v>
      </c>
      <c r="C91" s="77" t="str">
        <f t="shared" si="19"/>
        <v>AH·</v>
      </c>
      <c r="D91" s="78" t="s">
        <v>46</v>
      </c>
      <c r="E91" s="78" t="str">
        <f t="shared" si="14"/>
        <v>000</v>
      </c>
      <c r="F91" s="3">
        <v>611411</v>
      </c>
      <c r="G91" s="102" t="s">
        <v>501</v>
      </c>
      <c r="H91" s="87"/>
      <c r="I91" s="13">
        <v>26211</v>
      </c>
      <c r="J91" s="13">
        <v>25411</v>
      </c>
      <c r="L91" s="56">
        <v>28611</v>
      </c>
      <c r="M91" s="56"/>
      <c r="N91" s="56">
        <v>27161</v>
      </c>
      <c r="O91" s="56"/>
      <c r="P91" s="56">
        <v>27161</v>
      </c>
      <c r="Q91" s="56"/>
      <c r="R91" s="56">
        <v>36399</v>
      </c>
      <c r="S91" s="56"/>
      <c r="T91" s="56">
        <v>0</v>
      </c>
      <c r="U91" s="56"/>
      <c r="V91" s="56">
        <v>36399</v>
      </c>
      <c r="W91" s="56"/>
      <c r="X91" s="56">
        <v>36019.35</v>
      </c>
      <c r="Y91" s="56"/>
      <c r="Z91" s="56">
        <v>24057</v>
      </c>
      <c r="AA91" s="56"/>
      <c r="AB91" s="56">
        <v>0</v>
      </c>
      <c r="AC91" s="56"/>
      <c r="AD91" s="56">
        <v>0</v>
      </c>
      <c r="AE91" s="56"/>
      <c r="AF91" s="56">
        <f t="shared" si="20"/>
        <v>24057</v>
      </c>
      <c r="AG91" s="56">
        <v>0</v>
      </c>
      <c r="AH91" s="56">
        <v>2250</v>
      </c>
      <c r="AI91" s="56"/>
      <c r="AJ91" s="56">
        <f t="shared" si="11"/>
        <v>26307</v>
      </c>
      <c r="AK91" s="85"/>
      <c r="AL91" s="56">
        <v>0</v>
      </c>
      <c r="AM91" s="56"/>
      <c r="AN91" s="88">
        <f>SUM(AI91:AM91)</f>
        <v>26307</v>
      </c>
      <c r="AO91" s="88">
        <v>0</v>
      </c>
      <c r="AP91" s="88">
        <v>24447.96</v>
      </c>
      <c r="AQ91" s="56"/>
      <c r="AR91" s="56">
        <v>0</v>
      </c>
      <c r="AS91" s="56"/>
      <c r="AT91" s="56">
        <v>0</v>
      </c>
      <c r="AU91" s="56"/>
      <c r="AV91" s="56">
        <f t="shared" si="12"/>
        <v>24447.96</v>
      </c>
      <c r="AW91" s="56"/>
      <c r="AX91" s="56">
        <v>0</v>
      </c>
      <c r="AY91" s="56"/>
      <c r="AZ91" s="88">
        <v>24852</v>
      </c>
      <c r="BA91" s="56">
        <v>24852</v>
      </c>
      <c r="BB91" s="214"/>
      <c r="BC91" s="56"/>
      <c r="BD91" s="84">
        <f t="shared" si="13"/>
        <v>-1859.0400000000009</v>
      </c>
      <c r="BE91" s="56"/>
      <c r="BF91" s="56"/>
      <c r="BG91" s="56"/>
      <c r="BH91" s="72">
        <v>1</v>
      </c>
      <c r="BJ91">
        <v>1</v>
      </c>
    </row>
    <row r="92" spans="1:62" ht="20.100000000000001" customHeight="1" outlineLevel="1">
      <c r="A92" s="77" t="s">
        <v>43</v>
      </c>
      <c r="B92" s="77" t="s">
        <v>284</v>
      </c>
      <c r="C92" s="77" t="str">
        <f t="shared" si="19"/>
        <v>AH·</v>
      </c>
      <c r="D92" s="78" t="s">
        <v>46</v>
      </c>
      <c r="E92" s="78" t="str">
        <f t="shared" si="14"/>
        <v>000</v>
      </c>
      <c r="F92" s="3">
        <v>658211</v>
      </c>
      <c r="G92" s="102" t="s">
        <v>502</v>
      </c>
      <c r="H92" s="87"/>
      <c r="I92" s="13">
        <v>1169</v>
      </c>
      <c r="J92" s="13">
        <v>1557</v>
      </c>
      <c r="L92" s="56">
        <v>224</v>
      </c>
      <c r="M92" s="56"/>
      <c r="N92" s="56">
        <v>3000</v>
      </c>
      <c r="O92" s="56"/>
      <c r="P92" s="56">
        <v>3000</v>
      </c>
      <c r="Q92" s="56"/>
      <c r="R92" s="56">
        <v>4200</v>
      </c>
      <c r="S92" s="56"/>
      <c r="T92" s="56">
        <v>0</v>
      </c>
      <c r="U92" s="56"/>
      <c r="V92" s="56">
        <v>4200</v>
      </c>
      <c r="W92" s="56"/>
      <c r="X92" s="56">
        <v>0</v>
      </c>
      <c r="Y92" s="56"/>
      <c r="Z92" s="56">
        <v>3000</v>
      </c>
      <c r="AA92" s="56"/>
      <c r="AB92" s="56">
        <v>0</v>
      </c>
      <c r="AC92" s="56"/>
      <c r="AD92" s="56">
        <v>0</v>
      </c>
      <c r="AE92" s="56"/>
      <c r="AF92" s="56">
        <f t="shared" si="20"/>
        <v>3000</v>
      </c>
      <c r="AG92" s="56">
        <v>0</v>
      </c>
      <c r="AH92" s="56">
        <v>0</v>
      </c>
      <c r="AI92" s="56"/>
      <c r="AJ92" s="56">
        <f t="shared" si="11"/>
        <v>3000</v>
      </c>
      <c r="AK92" s="85"/>
      <c r="AL92" s="56">
        <v>0</v>
      </c>
      <c r="AM92" s="56"/>
      <c r="AN92" s="88">
        <v>0</v>
      </c>
      <c r="AO92" s="88">
        <v>0</v>
      </c>
      <c r="AP92" s="88">
        <v>769.3</v>
      </c>
      <c r="AQ92" s="56"/>
      <c r="AR92" s="56">
        <v>0</v>
      </c>
      <c r="AS92" s="56"/>
      <c r="AT92" s="56">
        <v>0</v>
      </c>
      <c r="AU92" s="56"/>
      <c r="AV92" s="56">
        <f t="shared" si="12"/>
        <v>769.3</v>
      </c>
      <c r="AW92" s="56"/>
      <c r="AX92" s="56">
        <v>0</v>
      </c>
      <c r="AY92" s="56"/>
      <c r="AZ92" s="88">
        <v>2000</v>
      </c>
      <c r="BA92" s="56">
        <v>2000</v>
      </c>
      <c r="BB92" s="214"/>
      <c r="BC92" s="56"/>
      <c r="BD92" s="84">
        <f t="shared" si="13"/>
        <v>769.3</v>
      </c>
      <c r="BE92" s="56"/>
      <c r="BF92" s="56"/>
      <c r="BG92" s="56"/>
      <c r="BH92" s="72"/>
    </row>
    <row r="93" spans="1:62" ht="20.100000000000001" customHeight="1" outlineLevel="1">
      <c r="A93" s="77" t="s">
        <v>43</v>
      </c>
      <c r="B93" s="77" t="s">
        <v>218</v>
      </c>
      <c r="C93" s="77" t="str">
        <f t="shared" si="19"/>
        <v>AH·</v>
      </c>
      <c r="D93" s="78" t="s">
        <v>46</v>
      </c>
      <c r="E93" s="78" t="str">
        <f t="shared" si="14"/>
        <v>000</v>
      </c>
      <c r="F93" s="3">
        <v>661101</v>
      </c>
      <c r="G93" s="102" t="s">
        <v>503</v>
      </c>
      <c r="H93" s="87"/>
      <c r="I93" s="13">
        <v>803</v>
      </c>
      <c r="J93" s="13">
        <v>989</v>
      </c>
      <c r="L93" s="56">
        <v>852</v>
      </c>
      <c r="M93" s="56"/>
      <c r="N93" s="56">
        <v>1000</v>
      </c>
      <c r="O93" s="56"/>
      <c r="P93" s="56">
        <v>1000</v>
      </c>
      <c r="Q93" s="56"/>
      <c r="R93" s="56">
        <v>1000</v>
      </c>
      <c r="S93" s="56"/>
      <c r="T93" s="56">
        <v>0</v>
      </c>
      <c r="U93" s="56"/>
      <c r="V93" s="56">
        <v>1000</v>
      </c>
      <c r="W93" s="56"/>
      <c r="X93" s="56">
        <v>997.85</v>
      </c>
      <c r="Y93" s="56"/>
      <c r="Z93" s="56">
        <v>1000</v>
      </c>
      <c r="AA93" s="56"/>
      <c r="AB93" s="56">
        <v>0</v>
      </c>
      <c r="AC93" s="56"/>
      <c r="AD93" s="56">
        <v>0</v>
      </c>
      <c r="AE93" s="56"/>
      <c r="AF93" s="56">
        <f t="shared" si="20"/>
        <v>1000</v>
      </c>
      <c r="AG93" s="56">
        <v>0</v>
      </c>
      <c r="AH93" s="56">
        <v>0</v>
      </c>
      <c r="AI93" s="56"/>
      <c r="AJ93" s="56">
        <f t="shared" si="11"/>
        <v>1000</v>
      </c>
      <c r="AK93" s="85"/>
      <c r="AL93" s="56">
        <v>0</v>
      </c>
      <c r="AM93" s="56"/>
      <c r="AN93" s="88">
        <v>0</v>
      </c>
      <c r="AO93" s="88">
        <v>0</v>
      </c>
      <c r="AP93" s="88">
        <v>416.02</v>
      </c>
      <c r="AQ93" s="56"/>
      <c r="AR93" s="56">
        <v>0</v>
      </c>
      <c r="AS93" s="56"/>
      <c r="AT93" s="56">
        <v>0</v>
      </c>
      <c r="AU93" s="56"/>
      <c r="AV93" s="56">
        <f t="shared" si="12"/>
        <v>416.02</v>
      </c>
      <c r="AW93" s="56"/>
      <c r="AX93" s="56">
        <v>0</v>
      </c>
      <c r="AY93" s="56"/>
      <c r="AZ93" s="88">
        <v>1000</v>
      </c>
      <c r="BA93" s="56">
        <v>1000</v>
      </c>
      <c r="BB93" s="214"/>
      <c r="BC93" s="56"/>
      <c r="BD93" s="84">
        <f t="shared" si="13"/>
        <v>416.02</v>
      </c>
      <c r="BE93" s="56"/>
      <c r="BF93" s="56"/>
      <c r="BG93" s="56"/>
      <c r="BH93" s="72"/>
    </row>
    <row r="94" spans="1:62" ht="20.100000000000001" customHeight="1" outlineLevel="1">
      <c r="A94" s="77" t="s">
        <v>43</v>
      </c>
      <c r="B94" s="77" t="s">
        <v>218</v>
      </c>
      <c r="C94" s="77" t="str">
        <f t="shared" si="19"/>
        <v>AH·</v>
      </c>
      <c r="D94" s="78" t="s">
        <v>46</v>
      </c>
      <c r="E94" s="78" t="str">
        <f t="shared" si="14"/>
        <v>000</v>
      </c>
      <c r="F94" s="3">
        <v>611116</v>
      </c>
      <c r="G94" s="102" t="s">
        <v>504</v>
      </c>
      <c r="H94" s="87"/>
      <c r="I94" s="13"/>
      <c r="J94" s="13">
        <v>0</v>
      </c>
      <c r="L94" s="56">
        <v>35082</v>
      </c>
      <c r="M94" s="56"/>
      <c r="N94" s="56">
        <v>82579</v>
      </c>
      <c r="O94" s="56"/>
      <c r="P94" s="56">
        <v>82579</v>
      </c>
      <c r="Q94" s="56"/>
      <c r="R94" s="56">
        <v>84279</v>
      </c>
      <c r="S94" s="56"/>
      <c r="T94" s="56">
        <v>0</v>
      </c>
      <c r="U94" s="56"/>
      <c r="V94" s="56">
        <v>84279</v>
      </c>
      <c r="W94" s="56"/>
      <c r="X94" s="56">
        <v>84278.96</v>
      </c>
      <c r="Y94" s="56"/>
      <c r="Z94" s="56">
        <v>84143</v>
      </c>
      <c r="AA94" s="56"/>
      <c r="AB94" s="56">
        <v>0</v>
      </c>
      <c r="AC94" s="56"/>
      <c r="AD94" s="56">
        <v>0</v>
      </c>
      <c r="AE94" s="56"/>
      <c r="AF94" s="56">
        <f t="shared" si="20"/>
        <v>84143</v>
      </c>
      <c r="AG94" s="56">
        <v>0</v>
      </c>
      <c r="AH94" s="56">
        <v>1250</v>
      </c>
      <c r="AI94" s="56"/>
      <c r="AJ94" s="56">
        <f t="shared" si="11"/>
        <v>85393</v>
      </c>
      <c r="AK94" s="85"/>
      <c r="AL94" s="56">
        <v>0</v>
      </c>
      <c r="AM94" s="56"/>
      <c r="AN94" s="88">
        <v>85392.92</v>
      </c>
      <c r="AO94" s="88">
        <v>0</v>
      </c>
      <c r="AP94" s="88">
        <v>84142.92</v>
      </c>
      <c r="AQ94" s="56"/>
      <c r="AR94" s="56">
        <v>0</v>
      </c>
      <c r="AS94" s="56"/>
      <c r="AT94" s="56">
        <v>0</v>
      </c>
      <c r="AU94" s="56"/>
      <c r="AV94" s="56">
        <f t="shared" si="12"/>
        <v>84142.92</v>
      </c>
      <c r="AW94" s="56"/>
      <c r="AX94" s="56">
        <v>0</v>
      </c>
      <c r="AY94" s="56"/>
      <c r="AZ94" s="88">
        <v>84143</v>
      </c>
      <c r="BA94" s="56">
        <v>84143</v>
      </c>
      <c r="BB94" s="214"/>
      <c r="BC94" s="56"/>
      <c r="BD94" s="84">
        <f t="shared" si="13"/>
        <v>-1250</v>
      </c>
      <c r="BE94" s="56"/>
      <c r="BF94" s="56"/>
      <c r="BG94" s="56"/>
      <c r="BH94" s="72">
        <v>1</v>
      </c>
      <c r="BJ94">
        <v>1</v>
      </c>
    </row>
    <row r="95" spans="1:62" ht="20.100000000000001" customHeight="1" outlineLevel="1">
      <c r="A95" s="77" t="s">
        <v>43</v>
      </c>
      <c r="B95" s="77" t="s">
        <v>218</v>
      </c>
      <c r="C95" s="77" t="str">
        <f t="shared" si="19"/>
        <v>AH·</v>
      </c>
      <c r="D95" s="78" t="s">
        <v>46</v>
      </c>
      <c r="E95" s="78" t="str">
        <f t="shared" si="14"/>
        <v>000</v>
      </c>
      <c r="F95" s="3">
        <v>611341</v>
      </c>
      <c r="G95" s="102" t="s">
        <v>505</v>
      </c>
      <c r="H95" s="87"/>
      <c r="I95" s="13">
        <v>66649</v>
      </c>
      <c r="J95" s="13">
        <v>67515</v>
      </c>
      <c r="L95" s="56">
        <v>73313</v>
      </c>
      <c r="M95" s="56"/>
      <c r="N95" s="56">
        <v>81026</v>
      </c>
      <c r="O95" s="56"/>
      <c r="P95" s="56">
        <v>81026</v>
      </c>
      <c r="Q95" s="56"/>
      <c r="R95" s="56">
        <v>82726</v>
      </c>
      <c r="S95" s="56"/>
      <c r="T95" s="56">
        <v>0</v>
      </c>
      <c r="U95" s="56"/>
      <c r="V95" s="56">
        <v>82726</v>
      </c>
      <c r="W95" s="56"/>
      <c r="X95" s="56">
        <v>82726</v>
      </c>
      <c r="Y95" s="56"/>
      <c r="Z95" s="56">
        <v>82536</v>
      </c>
      <c r="AA95" s="56"/>
      <c r="AB95" s="56">
        <v>0</v>
      </c>
      <c r="AC95" s="56"/>
      <c r="AD95" s="56">
        <v>0</v>
      </c>
      <c r="AE95" s="56"/>
      <c r="AF95" s="56">
        <f t="shared" si="20"/>
        <v>82536</v>
      </c>
      <c r="AG95" s="56">
        <v>0</v>
      </c>
      <c r="AH95" s="56">
        <v>1250</v>
      </c>
      <c r="AI95" s="56"/>
      <c r="AJ95" s="56">
        <f t="shared" si="11"/>
        <v>83786</v>
      </c>
      <c r="AK95" s="85"/>
      <c r="AL95" s="56">
        <v>0</v>
      </c>
      <c r="AM95" s="56"/>
      <c r="AN95" s="88">
        <v>83785.960000000006</v>
      </c>
      <c r="AO95" s="88">
        <v>0</v>
      </c>
      <c r="AP95" s="88">
        <v>82535.960000000006</v>
      </c>
      <c r="AQ95" s="56"/>
      <c r="AR95" s="56">
        <v>0</v>
      </c>
      <c r="AS95" s="56"/>
      <c r="AT95" s="56">
        <v>0</v>
      </c>
      <c r="AU95" s="56"/>
      <c r="AV95" s="56">
        <f t="shared" si="12"/>
        <v>82535.960000000006</v>
      </c>
      <c r="AW95" s="56"/>
      <c r="AX95" s="56">
        <v>0</v>
      </c>
      <c r="AY95" s="56"/>
      <c r="AZ95" s="88">
        <v>82536</v>
      </c>
      <c r="BA95" s="56">
        <v>82536</v>
      </c>
      <c r="BB95" s="214"/>
      <c r="BC95" s="56"/>
      <c r="BD95" s="84">
        <f t="shared" si="13"/>
        <v>-1250</v>
      </c>
      <c r="BE95" s="56"/>
      <c r="BF95" s="56"/>
      <c r="BG95" s="56"/>
      <c r="BH95" s="72">
        <v>1</v>
      </c>
      <c r="BJ95">
        <v>1</v>
      </c>
    </row>
    <row r="96" spans="1:62" ht="20.100000000000001" customHeight="1" outlineLevel="1">
      <c r="A96" s="77" t="s">
        <v>43</v>
      </c>
      <c r="B96" s="77" t="s">
        <v>218</v>
      </c>
      <c r="C96" s="77" t="str">
        <f t="shared" si="19"/>
        <v>AH·</v>
      </c>
      <c r="D96" s="78" t="s">
        <v>46</v>
      </c>
      <c r="E96" s="78" t="str">
        <f t="shared" si="14"/>
        <v>000</v>
      </c>
      <c r="F96" s="3">
        <v>611342</v>
      </c>
      <c r="G96" s="102" t="s">
        <v>506</v>
      </c>
      <c r="H96" s="87"/>
      <c r="I96" s="13">
        <v>403019</v>
      </c>
      <c r="J96" s="13">
        <v>403869</v>
      </c>
      <c r="L96" s="56">
        <v>415443</v>
      </c>
      <c r="M96" s="56"/>
      <c r="N96" s="56">
        <v>389296</v>
      </c>
      <c r="O96" s="56"/>
      <c r="P96" s="56">
        <v>389296</v>
      </c>
      <c r="Q96" s="56"/>
      <c r="R96" s="56">
        <v>385200</v>
      </c>
      <c r="S96" s="56"/>
      <c r="T96" s="56">
        <v>0</v>
      </c>
      <c r="U96" s="56"/>
      <c r="V96" s="56">
        <v>385200</v>
      </c>
      <c r="W96" s="56"/>
      <c r="X96" s="56">
        <v>391597.62</v>
      </c>
      <c r="Y96" s="56"/>
      <c r="Z96" s="56">
        <v>383704</v>
      </c>
      <c r="AA96" s="56"/>
      <c r="AB96" s="56">
        <v>0</v>
      </c>
      <c r="AC96" s="56"/>
      <c r="AD96" s="56">
        <v>0</v>
      </c>
      <c r="AE96" s="56"/>
      <c r="AF96" s="56">
        <f t="shared" si="20"/>
        <v>383704</v>
      </c>
      <c r="AG96" s="104">
        <v>85431</v>
      </c>
      <c r="AH96" s="56">
        <v>5000</v>
      </c>
      <c r="AI96" s="56"/>
      <c r="AJ96" s="56">
        <f t="shared" si="11"/>
        <v>474135</v>
      </c>
      <c r="AK96" s="85"/>
      <c r="AL96" s="56">
        <v>0</v>
      </c>
      <c r="AM96" s="56"/>
      <c r="AN96" s="88">
        <v>466512.16</v>
      </c>
      <c r="AO96" s="88">
        <v>0</v>
      </c>
      <c r="AP96" s="88">
        <v>439793.37</v>
      </c>
      <c r="AQ96" s="56"/>
      <c r="AR96" s="56">
        <v>0</v>
      </c>
      <c r="AS96" s="56"/>
      <c r="AT96" s="56">
        <v>0</v>
      </c>
      <c r="AU96" s="56"/>
      <c r="AV96" s="56">
        <f t="shared" si="12"/>
        <v>439793.37</v>
      </c>
      <c r="AW96" s="56"/>
      <c r="AX96" s="106">
        <v>22714</v>
      </c>
      <c r="AY96" s="56"/>
      <c r="AZ96" s="88">
        <v>389039</v>
      </c>
      <c r="BA96" s="56">
        <v>355833</v>
      </c>
      <c r="BB96" s="214"/>
      <c r="BC96" s="56"/>
      <c r="BD96" s="84">
        <f t="shared" si="13"/>
        <v>-26718.789999999979</v>
      </c>
      <c r="BE96" s="56"/>
      <c r="BF96" s="56"/>
      <c r="BG96" s="56"/>
      <c r="BH96" s="72">
        <v>1</v>
      </c>
      <c r="BJ96">
        <v>1</v>
      </c>
    </row>
    <row r="97" spans="1:62" ht="20.100000000000001" customHeight="1" outlineLevel="1">
      <c r="A97" s="77" t="s">
        <v>43</v>
      </c>
      <c r="B97" s="77" t="s">
        <v>218</v>
      </c>
      <c r="C97" s="77" t="str">
        <f t="shared" si="19"/>
        <v>AH·</v>
      </c>
      <c r="D97" s="78" t="s">
        <v>46</v>
      </c>
      <c r="E97" s="78" t="str">
        <f t="shared" si="14"/>
        <v>000</v>
      </c>
      <c r="F97" s="3">
        <v>611361</v>
      </c>
      <c r="G97" s="102" t="s">
        <v>507</v>
      </c>
      <c r="H97" s="87"/>
      <c r="I97" s="13">
        <v>9162</v>
      </c>
      <c r="J97" s="13">
        <v>17220</v>
      </c>
      <c r="L97" s="56">
        <v>45342</v>
      </c>
      <c r="M97" s="56"/>
      <c r="N97" s="56">
        <v>50000</v>
      </c>
      <c r="O97" s="56"/>
      <c r="P97" s="56">
        <v>48000</v>
      </c>
      <c r="Q97" s="56"/>
      <c r="R97" s="56">
        <v>54311</v>
      </c>
      <c r="S97" s="89"/>
      <c r="T97" s="56">
        <v>0</v>
      </c>
      <c r="U97" s="56"/>
      <c r="V97" s="56">
        <v>54311</v>
      </c>
      <c r="W97" s="56"/>
      <c r="X97" s="56">
        <v>87150.78</v>
      </c>
      <c r="Y97" s="56"/>
      <c r="Z97" s="56">
        <v>50000</v>
      </c>
      <c r="AA97" s="56"/>
      <c r="AB97" s="56">
        <v>-5000</v>
      </c>
      <c r="AC97" s="56"/>
      <c r="AD97" s="56">
        <v>0</v>
      </c>
      <c r="AE97" s="56"/>
      <c r="AF97" s="56">
        <f t="shared" si="20"/>
        <v>45000</v>
      </c>
      <c r="AG97" s="56">
        <v>-800</v>
      </c>
      <c r="AH97" s="56">
        <v>0</v>
      </c>
      <c r="AI97" s="56"/>
      <c r="AJ97" s="56">
        <f t="shared" si="11"/>
        <v>44200</v>
      </c>
      <c r="AK97" s="85"/>
      <c r="AL97" s="56">
        <v>0</v>
      </c>
      <c r="AM97" s="56"/>
      <c r="AN97" s="88">
        <v>16907.7</v>
      </c>
      <c r="AO97" s="88">
        <v>0</v>
      </c>
      <c r="AP97" s="88">
        <v>25588</v>
      </c>
      <c r="AQ97" s="56"/>
      <c r="AR97" s="56">
        <v>0</v>
      </c>
      <c r="AS97" s="56"/>
      <c r="AT97" s="56">
        <v>0</v>
      </c>
      <c r="AU97" s="56"/>
      <c r="AV97" s="56">
        <f t="shared" si="12"/>
        <v>25588</v>
      </c>
      <c r="AW97" s="56"/>
      <c r="AX97" s="106">
        <v>-945</v>
      </c>
      <c r="AY97" s="56"/>
      <c r="AZ97" s="88">
        <v>54295</v>
      </c>
      <c r="BA97" s="56">
        <v>42295</v>
      </c>
      <c r="BB97" s="214"/>
      <c r="BC97" s="56"/>
      <c r="BD97" s="84">
        <f t="shared" si="13"/>
        <v>8680.2999999999993</v>
      </c>
      <c r="BE97" s="56"/>
      <c r="BF97" s="56"/>
      <c r="BG97" s="56"/>
      <c r="BH97" s="72">
        <v>1</v>
      </c>
      <c r="BJ97">
        <v>1</v>
      </c>
    </row>
    <row r="98" spans="1:62" ht="20.100000000000001" customHeight="1" outlineLevel="1">
      <c r="A98" s="77" t="s">
        <v>43</v>
      </c>
      <c r="B98" s="77" t="s">
        <v>218</v>
      </c>
      <c r="C98" s="77" t="str">
        <f t="shared" si="19"/>
        <v>AH·</v>
      </c>
      <c r="D98" s="78" t="s">
        <v>46</v>
      </c>
      <c r="E98" s="78" t="str">
        <f t="shared" si="14"/>
        <v>000</v>
      </c>
      <c r="F98" s="3">
        <v>611411</v>
      </c>
      <c r="G98" s="102" t="s">
        <v>508</v>
      </c>
      <c r="H98" s="87"/>
      <c r="I98" s="13">
        <v>23466</v>
      </c>
      <c r="J98" s="13">
        <v>23073</v>
      </c>
      <c r="L98" s="56">
        <v>63523</v>
      </c>
      <c r="M98" s="56"/>
      <c r="N98" s="56">
        <v>73996</v>
      </c>
      <c r="O98" s="56"/>
      <c r="P98" s="56">
        <v>73996</v>
      </c>
      <c r="Q98" s="56"/>
      <c r="R98" s="56">
        <v>74162</v>
      </c>
      <c r="S98" s="56"/>
      <c r="T98" s="56">
        <v>0</v>
      </c>
      <c r="U98" s="56"/>
      <c r="V98" s="56">
        <v>74162</v>
      </c>
      <c r="W98" s="56"/>
      <c r="X98" s="56">
        <v>29463.54</v>
      </c>
      <c r="Y98" s="56"/>
      <c r="Z98" s="56">
        <v>76005</v>
      </c>
      <c r="AA98" s="56"/>
      <c r="AB98" s="56">
        <v>0</v>
      </c>
      <c r="AC98" s="56"/>
      <c r="AD98" s="56">
        <v>0</v>
      </c>
      <c r="AE98" s="56"/>
      <c r="AF98" s="56">
        <f t="shared" si="20"/>
        <v>76005</v>
      </c>
      <c r="AG98" s="104">
        <v>-49763</v>
      </c>
      <c r="AH98" s="56">
        <v>2250</v>
      </c>
      <c r="AI98" s="56"/>
      <c r="AJ98" s="56">
        <f t="shared" si="11"/>
        <v>28492</v>
      </c>
      <c r="AK98" s="85"/>
      <c r="AL98" s="56">
        <v>0</v>
      </c>
      <c r="AM98" s="56"/>
      <c r="AN98" s="88">
        <f>28491.96+3713.69</f>
        <v>32205.649999999998</v>
      </c>
      <c r="AO98" s="88">
        <v>0</v>
      </c>
      <c r="AP98" s="88">
        <v>26241.96</v>
      </c>
      <c r="AQ98" s="56"/>
      <c r="AR98" s="56">
        <v>0</v>
      </c>
      <c r="AS98" s="56"/>
      <c r="AT98" s="56">
        <v>0</v>
      </c>
      <c r="AU98" s="56"/>
      <c r="AV98" s="56">
        <f t="shared" si="12"/>
        <v>26241.96</v>
      </c>
      <c r="AW98" s="56"/>
      <c r="AX98" s="56">
        <v>0</v>
      </c>
      <c r="AY98" s="56"/>
      <c r="AZ98" s="88">
        <v>26242</v>
      </c>
      <c r="BA98" s="56">
        <v>26242</v>
      </c>
      <c r="BB98" s="214"/>
      <c r="BC98" s="56"/>
      <c r="BD98" s="84">
        <f t="shared" si="13"/>
        <v>-5963.6899999999987</v>
      </c>
      <c r="BE98" s="56"/>
      <c r="BF98" s="56"/>
      <c r="BG98" s="56"/>
      <c r="BH98" s="72">
        <v>1</v>
      </c>
      <c r="BJ98">
        <v>1</v>
      </c>
    </row>
    <row r="99" spans="1:62" ht="20.100000000000001" customHeight="1" outlineLevel="1">
      <c r="A99" s="77" t="s">
        <v>43</v>
      </c>
      <c r="B99" s="77" t="s">
        <v>218</v>
      </c>
      <c r="C99" s="77" t="str">
        <f t="shared" si="19"/>
        <v>AH·</v>
      </c>
      <c r="D99" s="78" t="s">
        <v>46</v>
      </c>
      <c r="E99" s="78" t="str">
        <f t="shared" si="14"/>
        <v>000</v>
      </c>
      <c r="F99" s="3">
        <v>632015</v>
      </c>
      <c r="G99" s="102" t="s">
        <v>509</v>
      </c>
      <c r="H99" s="87"/>
      <c r="I99" s="13">
        <v>3520</v>
      </c>
      <c r="J99" s="13">
        <v>27681</v>
      </c>
      <c r="L99" s="56">
        <v>238</v>
      </c>
      <c r="M99" s="56"/>
      <c r="N99" s="56">
        <v>2500</v>
      </c>
      <c r="O99" s="56"/>
      <c r="P99" s="56">
        <v>2000</v>
      </c>
      <c r="Q99" s="56"/>
      <c r="R99" s="56">
        <v>2000</v>
      </c>
      <c r="S99" s="56"/>
      <c r="T99" s="56">
        <v>-500</v>
      </c>
      <c r="U99" s="56"/>
      <c r="V99" s="56">
        <v>1500</v>
      </c>
      <c r="W99" s="56"/>
      <c r="X99" s="56">
        <v>40</v>
      </c>
      <c r="Y99" s="56"/>
      <c r="Z99" s="56">
        <v>2500</v>
      </c>
      <c r="AA99" s="56"/>
      <c r="AB99" s="56">
        <v>0</v>
      </c>
      <c r="AC99" s="56"/>
      <c r="AD99" s="56">
        <v>0</v>
      </c>
      <c r="AE99" s="56"/>
      <c r="AF99" s="56">
        <f t="shared" si="20"/>
        <v>2500</v>
      </c>
      <c r="AG99" s="56">
        <v>0</v>
      </c>
      <c r="AH99" s="56">
        <v>0</v>
      </c>
      <c r="AI99" s="56"/>
      <c r="AJ99" s="56">
        <f t="shared" ref="AJ99:AJ104" si="21">SUM(AE99:AI99)</f>
        <v>2500</v>
      </c>
      <c r="AK99" s="85"/>
      <c r="AL99" s="56">
        <f>-500-1050</f>
        <v>-1550</v>
      </c>
      <c r="AM99" s="56"/>
      <c r="AN99" s="88">
        <v>0</v>
      </c>
      <c r="AO99" s="88">
        <v>0</v>
      </c>
      <c r="AP99" s="88">
        <v>0</v>
      </c>
      <c r="AQ99" s="56"/>
      <c r="AR99" s="56">
        <v>0</v>
      </c>
      <c r="AS99" s="56"/>
      <c r="AT99" s="56">
        <v>0</v>
      </c>
      <c r="AU99" s="56"/>
      <c r="AV99" s="56">
        <f t="shared" ref="AV99:AV104" si="22">SUM(AP99:AU99)</f>
        <v>0</v>
      </c>
      <c r="AW99" s="56"/>
      <c r="AX99" s="56">
        <f>-500-500</f>
        <v>-1000</v>
      </c>
      <c r="AY99" s="56"/>
      <c r="AZ99" s="88">
        <v>2500</v>
      </c>
      <c r="BA99" s="56">
        <v>1371</v>
      </c>
      <c r="BB99" s="214"/>
      <c r="BC99" s="56"/>
      <c r="BD99" s="84">
        <f t="shared" ref="BD99:BD132" si="23">+AP99-AN99</f>
        <v>0</v>
      </c>
      <c r="BE99" s="56"/>
      <c r="BF99" s="56"/>
      <c r="BG99" s="56"/>
      <c r="BH99" s="72"/>
    </row>
    <row r="100" spans="1:62" ht="20.100000000000001" customHeight="1" outlineLevel="1">
      <c r="A100" s="77" t="s">
        <v>43</v>
      </c>
      <c r="B100" s="77" t="s">
        <v>218</v>
      </c>
      <c r="C100" s="77" t="str">
        <f t="shared" si="19"/>
        <v>AH·</v>
      </c>
      <c r="D100" s="78" t="s">
        <v>46</v>
      </c>
      <c r="E100" s="78" t="str">
        <f t="shared" si="14"/>
        <v>000</v>
      </c>
      <c r="F100" s="3">
        <v>643011</v>
      </c>
      <c r="G100" s="102" t="s">
        <v>510</v>
      </c>
      <c r="H100" s="87"/>
      <c r="I100" s="13"/>
      <c r="J100" s="13">
        <v>899</v>
      </c>
      <c r="L100" s="56">
        <v>339</v>
      </c>
      <c r="M100" s="56"/>
      <c r="N100" s="56">
        <v>4000</v>
      </c>
      <c r="O100" s="56"/>
      <c r="P100" s="56">
        <v>4000</v>
      </c>
      <c r="Q100" s="56"/>
      <c r="R100" s="56">
        <v>4000</v>
      </c>
      <c r="S100" s="56"/>
      <c r="T100" s="56">
        <v>0</v>
      </c>
      <c r="U100" s="56"/>
      <c r="V100" s="56">
        <v>4000</v>
      </c>
      <c r="W100" s="56"/>
      <c r="X100" s="56">
        <v>687.3</v>
      </c>
      <c r="Y100" s="56"/>
      <c r="Z100" s="56">
        <v>4000</v>
      </c>
      <c r="AA100" s="56"/>
      <c r="AB100" s="56">
        <v>0</v>
      </c>
      <c r="AC100" s="56"/>
      <c r="AD100" s="56">
        <v>0</v>
      </c>
      <c r="AE100" s="56"/>
      <c r="AF100" s="56">
        <f t="shared" si="20"/>
        <v>4000</v>
      </c>
      <c r="AG100" s="56">
        <v>0</v>
      </c>
      <c r="AH100" s="56">
        <v>0</v>
      </c>
      <c r="AI100" s="56"/>
      <c r="AJ100" s="56">
        <f t="shared" si="21"/>
        <v>4000</v>
      </c>
      <c r="AK100" s="85"/>
      <c r="AL100" s="56">
        <v>0</v>
      </c>
      <c r="AM100" s="56"/>
      <c r="AN100" s="88">
        <v>617.42999999999995</v>
      </c>
      <c r="AO100" s="88">
        <v>0</v>
      </c>
      <c r="AP100" s="88">
        <v>683.61</v>
      </c>
      <c r="AQ100" s="56"/>
      <c r="AR100" s="56">
        <v>0</v>
      </c>
      <c r="AS100" s="56"/>
      <c r="AT100" s="56">
        <v>0</v>
      </c>
      <c r="AU100" s="56"/>
      <c r="AV100" s="56">
        <f t="shared" si="22"/>
        <v>683.61</v>
      </c>
      <c r="AW100" s="56"/>
      <c r="AX100" s="56">
        <v>0</v>
      </c>
      <c r="AY100" s="56"/>
      <c r="AZ100" s="88">
        <v>4000</v>
      </c>
      <c r="BA100" s="56">
        <v>4000</v>
      </c>
      <c r="BB100" s="214"/>
      <c r="BC100" s="56"/>
      <c r="BD100" s="84">
        <f t="shared" si="23"/>
        <v>66.180000000000064</v>
      </c>
      <c r="BE100" s="56"/>
      <c r="BF100" s="56"/>
      <c r="BG100" s="56"/>
      <c r="BH100" s="72"/>
    </row>
    <row r="101" spans="1:62" ht="20.100000000000001" customHeight="1" outlineLevel="1">
      <c r="A101" s="77" t="s">
        <v>43</v>
      </c>
      <c r="B101" s="77" t="s">
        <v>218</v>
      </c>
      <c r="C101" s="77" t="str">
        <f t="shared" si="19"/>
        <v>AH·</v>
      </c>
      <c r="D101" s="78" t="s">
        <v>46</v>
      </c>
      <c r="E101" s="78" t="str">
        <f t="shared" si="14"/>
        <v>000</v>
      </c>
      <c r="F101" s="3">
        <v>658211</v>
      </c>
      <c r="G101" s="149" t="s">
        <v>511</v>
      </c>
      <c r="H101" s="87"/>
      <c r="I101" s="13">
        <v>5805</v>
      </c>
      <c r="J101" s="13">
        <v>5622</v>
      </c>
      <c r="L101" s="56">
        <v>9219</v>
      </c>
      <c r="M101" s="56"/>
      <c r="N101" s="56">
        <v>12000</v>
      </c>
      <c r="O101" s="56"/>
      <c r="P101" s="56">
        <v>12000</v>
      </c>
      <c r="Q101" s="56"/>
      <c r="R101" s="56">
        <v>12000</v>
      </c>
      <c r="S101" s="56"/>
      <c r="T101" s="56">
        <v>0</v>
      </c>
      <c r="U101" s="56"/>
      <c r="V101" s="56">
        <v>12000</v>
      </c>
      <c r="W101" s="56"/>
      <c r="X101" s="56">
        <v>9807.2800000000007</v>
      </c>
      <c r="Y101" s="56"/>
      <c r="Z101" s="56">
        <v>12000</v>
      </c>
      <c r="AA101" s="56"/>
      <c r="AB101" s="56">
        <v>0</v>
      </c>
      <c r="AC101" s="56"/>
      <c r="AD101" s="56">
        <v>0</v>
      </c>
      <c r="AE101" s="56"/>
      <c r="AF101" s="56">
        <f t="shared" si="20"/>
        <v>12000</v>
      </c>
      <c r="AG101" s="56">
        <v>0</v>
      </c>
      <c r="AH101" s="56">
        <v>0</v>
      </c>
      <c r="AI101" s="56"/>
      <c r="AJ101" s="56">
        <f t="shared" si="21"/>
        <v>12000</v>
      </c>
      <c r="AK101" s="85"/>
      <c r="AL101" s="56">
        <v>0</v>
      </c>
      <c r="AM101" s="56"/>
      <c r="AN101" s="88">
        <v>10213.01</v>
      </c>
      <c r="AO101" s="88">
        <v>0</v>
      </c>
      <c r="AP101" s="88">
        <v>7981.55</v>
      </c>
      <c r="AQ101" s="56"/>
      <c r="AR101" s="56">
        <v>0</v>
      </c>
      <c r="AS101" s="56"/>
      <c r="AT101" s="56">
        <v>0</v>
      </c>
      <c r="AU101" s="56"/>
      <c r="AV101" s="56">
        <f t="shared" si="22"/>
        <v>7981.55</v>
      </c>
      <c r="AW101" s="56"/>
      <c r="AX101" s="56">
        <v>0</v>
      </c>
      <c r="AY101" s="56"/>
      <c r="AZ101" s="88">
        <v>9600</v>
      </c>
      <c r="BA101" s="56">
        <v>9600</v>
      </c>
      <c r="BB101" s="214"/>
      <c r="BC101" s="56"/>
      <c r="BD101" s="84">
        <f t="shared" si="23"/>
        <v>-2231.46</v>
      </c>
      <c r="BE101" s="56"/>
      <c r="BF101" s="56"/>
      <c r="BG101" s="56"/>
      <c r="BH101" s="72"/>
    </row>
    <row r="102" spans="1:62" ht="20.100000000000001" customHeight="1" outlineLevel="1">
      <c r="A102" s="77" t="s">
        <v>43</v>
      </c>
      <c r="B102" s="77" t="s">
        <v>218</v>
      </c>
      <c r="C102" s="77" t="str">
        <f t="shared" si="19"/>
        <v>AH·</v>
      </c>
      <c r="D102" s="78" t="s">
        <v>46</v>
      </c>
      <c r="E102" s="78" t="str">
        <f t="shared" si="14"/>
        <v>000</v>
      </c>
      <c r="F102" s="3">
        <v>658212</v>
      </c>
      <c r="G102" s="102" t="s">
        <v>512</v>
      </c>
      <c r="H102" s="87"/>
      <c r="I102" s="13">
        <v>38761</v>
      </c>
      <c r="J102" s="13">
        <v>53148</v>
      </c>
      <c r="L102" s="56">
        <v>21043</v>
      </c>
      <c r="M102" s="56"/>
      <c r="N102" s="56">
        <v>44400</v>
      </c>
      <c r="O102" s="56"/>
      <c r="P102" s="56">
        <v>44400</v>
      </c>
      <c r="Q102" s="56"/>
      <c r="R102" s="56">
        <v>43078</v>
      </c>
      <c r="S102" s="56"/>
      <c r="T102" s="56">
        <v>-3131</v>
      </c>
      <c r="U102" s="56"/>
      <c r="V102" s="56">
        <v>39947</v>
      </c>
      <c r="W102" s="56"/>
      <c r="X102" s="56">
        <v>20961.509999999998</v>
      </c>
      <c r="Y102" s="56"/>
      <c r="Z102" s="56">
        <v>44400</v>
      </c>
      <c r="AA102" s="56"/>
      <c r="AB102" s="56">
        <v>0</v>
      </c>
      <c r="AC102" s="56"/>
      <c r="AD102" s="56">
        <v>0</v>
      </c>
      <c r="AE102" s="56"/>
      <c r="AF102" s="56">
        <f t="shared" si="20"/>
        <v>44400</v>
      </c>
      <c r="AG102" s="56">
        <v>0</v>
      </c>
      <c r="AH102" s="56">
        <v>0</v>
      </c>
      <c r="AI102" s="56"/>
      <c r="AJ102" s="56">
        <f t="shared" si="21"/>
        <v>44400</v>
      </c>
      <c r="AK102" s="85"/>
      <c r="AL102" s="56">
        <v>0</v>
      </c>
      <c r="AM102" s="56"/>
      <c r="AN102" s="88">
        <v>26532.99</v>
      </c>
      <c r="AO102" s="88">
        <v>0</v>
      </c>
      <c r="AP102" s="88">
        <v>19521.55</v>
      </c>
      <c r="AQ102" s="56"/>
      <c r="AR102" s="56">
        <v>0</v>
      </c>
      <c r="AS102" s="56"/>
      <c r="AT102" s="56">
        <v>0</v>
      </c>
      <c r="AU102" s="56"/>
      <c r="AV102" s="56">
        <f t="shared" si="22"/>
        <v>19521.55</v>
      </c>
      <c r="AW102" s="56"/>
      <c r="AX102" s="56">
        <v>-2545</v>
      </c>
      <c r="AY102" s="56"/>
      <c r="AZ102" s="88">
        <v>25484</v>
      </c>
      <c r="BA102" s="56">
        <v>17484</v>
      </c>
      <c r="BB102" s="214"/>
      <c r="BC102" s="56"/>
      <c r="BD102" s="84">
        <f t="shared" si="23"/>
        <v>-7011.4400000000023</v>
      </c>
      <c r="BE102" s="56"/>
      <c r="BF102" s="56"/>
      <c r="BG102" s="56"/>
      <c r="BH102" s="72"/>
    </row>
    <row r="103" spans="1:62" ht="20.100000000000001" customHeight="1" outlineLevel="1">
      <c r="A103" s="77" t="s">
        <v>43</v>
      </c>
      <c r="B103" s="77" t="s">
        <v>218</v>
      </c>
      <c r="C103" s="77" t="str">
        <f t="shared" si="19"/>
        <v>AH·</v>
      </c>
      <c r="D103" s="78" t="s">
        <v>46</v>
      </c>
      <c r="E103" s="78" t="str">
        <f t="shared" si="14"/>
        <v>000</v>
      </c>
      <c r="F103" s="3">
        <v>658214</v>
      </c>
      <c r="G103" s="102" t="s">
        <v>513</v>
      </c>
      <c r="H103" s="87"/>
      <c r="I103" s="13">
        <v>0</v>
      </c>
      <c r="J103" s="139">
        <v>0</v>
      </c>
      <c r="L103" s="146">
        <v>0</v>
      </c>
      <c r="M103" s="56"/>
      <c r="N103" s="56">
        <v>0</v>
      </c>
      <c r="O103" s="56"/>
      <c r="P103" s="56">
        <v>2000</v>
      </c>
      <c r="Q103" s="56"/>
      <c r="R103" s="56">
        <v>1000</v>
      </c>
      <c r="S103" s="56"/>
      <c r="T103" s="56">
        <v>0</v>
      </c>
      <c r="U103" s="56"/>
      <c r="V103" s="56">
        <v>1000</v>
      </c>
      <c r="W103" s="56"/>
      <c r="X103" s="56">
        <v>1253.46</v>
      </c>
      <c r="Y103" s="56"/>
      <c r="Z103" s="56">
        <v>2000</v>
      </c>
      <c r="AA103" s="56"/>
      <c r="AB103" s="56">
        <v>0</v>
      </c>
      <c r="AC103" s="56"/>
      <c r="AD103" s="56">
        <v>0</v>
      </c>
      <c r="AE103" s="56"/>
      <c r="AF103" s="56">
        <f t="shared" si="20"/>
        <v>2000</v>
      </c>
      <c r="AG103" s="56">
        <v>0</v>
      </c>
      <c r="AH103" s="56">
        <v>0</v>
      </c>
      <c r="AI103" s="56"/>
      <c r="AJ103" s="56">
        <f t="shared" si="21"/>
        <v>2000</v>
      </c>
      <c r="AK103" s="85"/>
      <c r="AL103" s="56">
        <v>0</v>
      </c>
      <c r="AM103" s="56"/>
      <c r="AN103" s="88">
        <v>0</v>
      </c>
      <c r="AO103" s="88">
        <v>0</v>
      </c>
      <c r="AP103" s="88">
        <v>0</v>
      </c>
      <c r="AQ103" s="56"/>
      <c r="AR103" s="56">
        <v>0</v>
      </c>
      <c r="AS103" s="56"/>
      <c r="AT103" s="56">
        <v>0</v>
      </c>
      <c r="AU103" s="56"/>
      <c r="AV103" s="56">
        <f t="shared" si="22"/>
        <v>0</v>
      </c>
      <c r="AW103" s="56"/>
      <c r="AX103" s="56">
        <v>0</v>
      </c>
      <c r="AY103" s="56"/>
      <c r="AZ103" s="88">
        <v>2000</v>
      </c>
      <c r="BA103" s="56">
        <v>2000</v>
      </c>
      <c r="BB103" s="214"/>
      <c r="BC103" s="56"/>
      <c r="BD103" s="84">
        <f t="shared" si="23"/>
        <v>0</v>
      </c>
      <c r="BE103" s="56"/>
      <c r="BF103" s="56"/>
      <c r="BG103" s="56"/>
      <c r="BH103" s="72"/>
    </row>
    <row r="104" spans="1:62" ht="20.100000000000001" customHeight="1" outlineLevel="1">
      <c r="A104" s="77" t="s">
        <v>43</v>
      </c>
      <c r="B104" s="77" t="s">
        <v>218</v>
      </c>
      <c r="C104" s="77" t="str">
        <f t="shared" si="19"/>
        <v>AH·</v>
      </c>
      <c r="D104" s="78" t="s">
        <v>46</v>
      </c>
      <c r="E104" s="78" t="str">
        <f t="shared" si="14"/>
        <v>000</v>
      </c>
      <c r="F104" s="3">
        <v>661001</v>
      </c>
      <c r="G104" s="102" t="s">
        <v>514</v>
      </c>
      <c r="H104" s="87"/>
      <c r="I104" s="13">
        <v>4763</v>
      </c>
      <c r="J104" s="13">
        <v>4926</v>
      </c>
      <c r="L104" s="56">
        <v>9060</v>
      </c>
      <c r="M104" s="56"/>
      <c r="N104" s="56">
        <v>8167</v>
      </c>
      <c r="O104" s="56"/>
      <c r="P104" s="56">
        <v>8167</v>
      </c>
      <c r="Q104" s="56"/>
      <c r="R104" s="56">
        <v>8167</v>
      </c>
      <c r="S104" s="56"/>
      <c r="T104" s="56">
        <v>0</v>
      </c>
      <c r="U104" s="56"/>
      <c r="V104" s="56">
        <v>8167</v>
      </c>
      <c r="W104" s="56"/>
      <c r="X104" s="56">
        <v>5115.16</v>
      </c>
      <c r="Y104" s="56"/>
      <c r="Z104" s="56">
        <v>8167</v>
      </c>
      <c r="AA104" s="56"/>
      <c r="AB104" s="56">
        <v>0</v>
      </c>
      <c r="AC104" s="56"/>
      <c r="AD104" s="56">
        <v>0</v>
      </c>
      <c r="AE104" s="56"/>
      <c r="AF104" s="56">
        <f t="shared" si="20"/>
        <v>8167</v>
      </c>
      <c r="AG104" s="56">
        <v>0</v>
      </c>
      <c r="AH104" s="56">
        <v>0</v>
      </c>
      <c r="AI104" s="56"/>
      <c r="AJ104" s="56">
        <f t="shared" si="21"/>
        <v>8167</v>
      </c>
      <c r="AK104" s="85"/>
      <c r="AL104" s="56">
        <v>0</v>
      </c>
      <c r="AM104" s="56"/>
      <c r="AN104" s="88">
        <f>7316+447</f>
        <v>7763</v>
      </c>
      <c r="AO104" s="88">
        <v>0</v>
      </c>
      <c r="AP104" s="88">
        <v>18416.04</v>
      </c>
      <c r="AQ104" s="56"/>
      <c r="AR104" s="56">
        <v>0</v>
      </c>
      <c r="AS104" s="56"/>
      <c r="AT104" s="56">
        <v>0</v>
      </c>
      <c r="AU104" s="56"/>
      <c r="AV104" s="56">
        <f t="shared" si="22"/>
        <v>18416.04</v>
      </c>
      <c r="AW104" s="56"/>
      <c r="AX104" s="56">
        <v>0</v>
      </c>
      <c r="AY104" s="56"/>
      <c r="AZ104" s="88">
        <v>21988</v>
      </c>
      <c r="BA104" s="56">
        <v>35392</v>
      </c>
      <c r="BB104" s="214"/>
      <c r="BC104" s="56"/>
      <c r="BD104" s="84">
        <f t="shared" si="23"/>
        <v>10653.04</v>
      </c>
      <c r="BE104" s="56"/>
      <c r="BF104" s="56"/>
      <c r="BG104" s="56"/>
      <c r="BH104" s="72"/>
    </row>
    <row r="105" spans="1:62" ht="20.100000000000001" customHeight="1" outlineLevel="1">
      <c r="A105" s="77" t="s">
        <v>43</v>
      </c>
      <c r="B105" s="77" t="s">
        <v>218</v>
      </c>
      <c r="C105" s="77" t="str">
        <f t="shared" si="19"/>
        <v>AH·</v>
      </c>
      <c r="D105" s="78" t="s">
        <v>46</v>
      </c>
      <c r="E105" s="78" t="str">
        <f t="shared" si="14"/>
        <v>000</v>
      </c>
      <c r="F105" s="3">
        <v>661023</v>
      </c>
      <c r="G105" s="149" t="s">
        <v>295</v>
      </c>
      <c r="H105" s="87"/>
      <c r="I105" s="13">
        <v>15245</v>
      </c>
      <c r="J105" s="13">
        <v>21973</v>
      </c>
      <c r="L105" s="56">
        <v>25719</v>
      </c>
      <c r="M105" s="56"/>
      <c r="N105" s="56">
        <v>15040</v>
      </c>
      <c r="O105" s="56"/>
      <c r="P105" s="56">
        <v>16460</v>
      </c>
      <c r="Q105" s="56"/>
      <c r="R105" s="56">
        <v>16460</v>
      </c>
      <c r="S105" s="56"/>
      <c r="T105" s="56">
        <v>0</v>
      </c>
      <c r="U105" s="56"/>
      <c r="V105" s="56">
        <v>16460</v>
      </c>
      <c r="W105" s="56"/>
      <c r="X105" s="56">
        <v>20427.650000000001</v>
      </c>
      <c r="Y105" s="56"/>
      <c r="Z105" s="56">
        <v>15040</v>
      </c>
      <c r="AA105" s="56"/>
      <c r="AB105" s="56">
        <v>0</v>
      </c>
      <c r="AC105" s="56"/>
      <c r="AD105" s="56">
        <v>343</v>
      </c>
      <c r="AE105" s="56"/>
      <c r="AF105" s="56">
        <f t="shared" ref="AF105:AF131" si="24">SUM(Z105:AE105)</f>
        <v>15383</v>
      </c>
      <c r="AG105" s="56">
        <v>0</v>
      </c>
      <c r="AH105" s="56">
        <v>0</v>
      </c>
      <c r="AI105" s="56"/>
      <c r="AJ105" s="56">
        <f t="shared" ref="AJ105:AJ110" si="25">SUM(AE105:AI105)</f>
        <v>15383</v>
      </c>
      <c r="AK105" s="85"/>
      <c r="AL105" s="56">
        <f>10000+6920</f>
        <v>16920</v>
      </c>
      <c r="AM105" s="56"/>
      <c r="AN105" s="88">
        <v>39231.39</v>
      </c>
      <c r="AO105" s="88">
        <v>0</v>
      </c>
      <c r="AP105" s="88">
        <v>32414.85</v>
      </c>
      <c r="AQ105" s="56"/>
      <c r="AR105" s="56">
        <v>0</v>
      </c>
      <c r="AS105" s="56"/>
      <c r="AT105" s="56">
        <v>65.5</v>
      </c>
      <c r="AU105" s="56"/>
      <c r="AV105" s="56">
        <f t="shared" ref="AV105:AV131" si="26">SUM(AP105:AU105)</f>
        <v>32480.35</v>
      </c>
      <c r="AW105" s="56"/>
      <c r="AX105" s="89">
        <f>2000+16920</f>
        <v>18920</v>
      </c>
      <c r="AY105" s="56"/>
      <c r="AZ105" s="88">
        <v>15040</v>
      </c>
      <c r="BA105" s="56">
        <v>17325</v>
      </c>
      <c r="BB105" s="214"/>
      <c r="BC105" s="56"/>
      <c r="BD105" s="84">
        <f t="shared" si="23"/>
        <v>-6816.5400000000009</v>
      </c>
      <c r="BE105" s="56"/>
      <c r="BF105" s="56"/>
      <c r="BG105" s="56"/>
      <c r="BH105" s="72"/>
    </row>
    <row r="106" spans="1:62" ht="20.100000000000001" customHeight="1" outlineLevel="1">
      <c r="A106" s="77" t="s">
        <v>43</v>
      </c>
      <c r="B106" s="77" t="s">
        <v>218</v>
      </c>
      <c r="C106" s="77" t="str">
        <f t="shared" si="19"/>
        <v>AH·</v>
      </c>
      <c r="D106" s="78" t="s">
        <v>46</v>
      </c>
      <c r="E106" s="78" t="str">
        <f t="shared" si="14"/>
        <v>000</v>
      </c>
      <c r="F106" s="3">
        <v>661025</v>
      </c>
      <c r="G106" s="102" t="s">
        <v>515</v>
      </c>
      <c r="H106" s="87"/>
      <c r="I106" s="13">
        <v>13765</v>
      </c>
      <c r="J106" s="13">
        <v>10764</v>
      </c>
      <c r="L106" s="56">
        <v>11159</v>
      </c>
      <c r="M106" s="56"/>
      <c r="N106" s="56">
        <v>17000</v>
      </c>
      <c r="O106" s="56"/>
      <c r="P106" s="56">
        <v>17000</v>
      </c>
      <c r="Q106" s="56"/>
      <c r="R106" s="56">
        <v>18322</v>
      </c>
      <c r="S106" s="56"/>
      <c r="T106" s="56">
        <v>0</v>
      </c>
      <c r="U106" s="56"/>
      <c r="V106" s="56">
        <v>18322</v>
      </c>
      <c r="W106" s="56"/>
      <c r="X106" s="56">
        <v>18944.189999999999</v>
      </c>
      <c r="Y106" s="56"/>
      <c r="Z106" s="56">
        <v>17000</v>
      </c>
      <c r="AA106" s="56"/>
      <c r="AB106" s="56">
        <v>0</v>
      </c>
      <c r="AC106" s="56"/>
      <c r="AD106" s="56">
        <v>0</v>
      </c>
      <c r="AE106" s="56"/>
      <c r="AF106" s="56">
        <f t="shared" si="24"/>
        <v>17000</v>
      </c>
      <c r="AG106" s="56">
        <v>800</v>
      </c>
      <c r="AH106" s="56">
        <v>0</v>
      </c>
      <c r="AI106" s="56"/>
      <c r="AJ106" s="56">
        <f t="shared" si="25"/>
        <v>17800</v>
      </c>
      <c r="AK106" s="85"/>
      <c r="AL106" s="56">
        <v>100</v>
      </c>
      <c r="AM106" s="56"/>
      <c r="AN106" s="88">
        <v>12438.32</v>
      </c>
      <c r="AO106" s="88">
        <v>0</v>
      </c>
      <c r="AP106" s="88">
        <v>19247.88</v>
      </c>
      <c r="AQ106" s="56"/>
      <c r="AR106" s="56">
        <v>0</v>
      </c>
      <c r="AS106" s="56"/>
      <c r="AT106" s="56">
        <v>1250</v>
      </c>
      <c r="AU106" s="56"/>
      <c r="AV106" s="56">
        <f t="shared" si="26"/>
        <v>20497.88</v>
      </c>
      <c r="AW106" s="56"/>
      <c r="AX106" s="56">
        <f>500+1273+400+1600</f>
        <v>3773</v>
      </c>
      <c r="AY106" s="56"/>
      <c r="AZ106" s="88">
        <v>17000</v>
      </c>
      <c r="BA106" s="56">
        <v>20500</v>
      </c>
      <c r="BB106" s="214"/>
      <c r="BC106" s="56"/>
      <c r="BD106" s="84">
        <f t="shared" si="23"/>
        <v>6809.5600000000013</v>
      </c>
      <c r="BE106" s="56"/>
      <c r="BF106" s="56"/>
      <c r="BG106" s="56"/>
      <c r="BH106" s="72"/>
    </row>
    <row r="107" spans="1:62" ht="20.100000000000001" customHeight="1" outlineLevel="1">
      <c r="A107" s="77" t="s">
        <v>43</v>
      </c>
      <c r="B107" s="77" t="s">
        <v>218</v>
      </c>
      <c r="C107" s="77" t="str">
        <f t="shared" si="19"/>
        <v>AH·</v>
      </c>
      <c r="D107" s="78" t="s">
        <v>46</v>
      </c>
      <c r="E107" s="78" t="str">
        <f t="shared" si="14"/>
        <v>000</v>
      </c>
      <c r="F107" s="3">
        <v>661104</v>
      </c>
      <c r="G107" s="102" t="s">
        <v>516</v>
      </c>
      <c r="H107" s="87"/>
      <c r="I107" s="13">
        <v>0</v>
      </c>
      <c r="J107" s="139">
        <v>0</v>
      </c>
      <c r="L107" s="146">
        <v>0</v>
      </c>
      <c r="M107" s="56"/>
      <c r="N107" s="56">
        <v>0</v>
      </c>
      <c r="O107" s="56"/>
      <c r="P107" s="56">
        <v>1000</v>
      </c>
      <c r="Q107" s="56"/>
      <c r="R107" s="56">
        <v>2000</v>
      </c>
      <c r="S107" s="56"/>
      <c r="T107" s="56">
        <v>0</v>
      </c>
      <c r="U107" s="56"/>
      <c r="V107" s="56">
        <v>2000</v>
      </c>
      <c r="W107" s="56"/>
      <c r="X107" s="56">
        <v>847.3</v>
      </c>
      <c r="Y107" s="56"/>
      <c r="Z107" s="56">
        <v>1000</v>
      </c>
      <c r="AA107" s="56"/>
      <c r="AB107" s="56">
        <v>0</v>
      </c>
      <c r="AC107" s="56"/>
      <c r="AD107" s="56">
        <v>0</v>
      </c>
      <c r="AE107" s="56"/>
      <c r="AF107" s="56">
        <f t="shared" si="24"/>
        <v>1000</v>
      </c>
      <c r="AG107" s="56">
        <v>0</v>
      </c>
      <c r="AH107" s="56">
        <v>0</v>
      </c>
      <c r="AI107" s="56"/>
      <c r="AJ107" s="56">
        <f t="shared" si="25"/>
        <v>1000</v>
      </c>
      <c r="AK107" s="85"/>
      <c r="AL107" s="56">
        <v>0</v>
      </c>
      <c r="AM107" s="56"/>
      <c r="AN107" s="88">
        <v>198.14</v>
      </c>
      <c r="AO107" s="88">
        <v>0</v>
      </c>
      <c r="AP107" s="88">
        <v>0</v>
      </c>
      <c r="AQ107" s="56"/>
      <c r="AR107" s="56">
        <v>0</v>
      </c>
      <c r="AS107" s="56"/>
      <c r="AT107" s="56">
        <v>0</v>
      </c>
      <c r="AU107" s="56"/>
      <c r="AV107" s="56">
        <f t="shared" si="26"/>
        <v>0</v>
      </c>
      <c r="AW107" s="56"/>
      <c r="AX107" s="56">
        <v>0</v>
      </c>
      <c r="AY107" s="56"/>
      <c r="AZ107" s="88">
        <v>1000</v>
      </c>
      <c r="BA107" s="56">
        <v>1000</v>
      </c>
      <c r="BB107" s="214"/>
      <c r="BC107" s="56"/>
      <c r="BD107" s="84">
        <f t="shared" si="23"/>
        <v>-198.14</v>
      </c>
      <c r="BE107" s="56"/>
      <c r="BF107" s="56"/>
      <c r="BG107" s="56"/>
      <c r="BH107" s="72"/>
    </row>
    <row r="108" spans="1:62" ht="20.100000000000001" customHeight="1" outlineLevel="1">
      <c r="A108" s="77" t="s">
        <v>43</v>
      </c>
      <c r="B108" s="77" t="s">
        <v>218</v>
      </c>
      <c r="C108" s="77" t="str">
        <f t="shared" si="19"/>
        <v>AH·</v>
      </c>
      <c r="D108" s="78" t="s">
        <v>46</v>
      </c>
      <c r="E108" s="78" t="str">
        <f t="shared" si="14"/>
        <v>000</v>
      </c>
      <c r="F108" s="3">
        <v>673021</v>
      </c>
      <c r="G108" s="102" t="s">
        <v>517</v>
      </c>
      <c r="H108" s="87"/>
      <c r="I108" s="13">
        <v>11744</v>
      </c>
      <c r="J108" s="13">
        <v>3030</v>
      </c>
      <c r="L108" s="56">
        <v>11532</v>
      </c>
      <c r="M108" s="56"/>
      <c r="N108" s="56">
        <v>11532</v>
      </c>
      <c r="O108" s="56"/>
      <c r="P108" s="56">
        <v>11532</v>
      </c>
      <c r="Q108" s="56"/>
      <c r="R108" s="56">
        <v>11532</v>
      </c>
      <c r="S108" s="56"/>
      <c r="T108" s="56">
        <v>0</v>
      </c>
      <c r="U108" s="56"/>
      <c r="V108" s="56">
        <v>11532</v>
      </c>
      <c r="W108" s="56"/>
      <c r="X108" s="56">
        <v>8569.76</v>
      </c>
      <c r="Y108" s="56"/>
      <c r="Z108" s="56">
        <v>11532</v>
      </c>
      <c r="AA108" s="56"/>
      <c r="AB108" s="56">
        <v>0</v>
      </c>
      <c r="AC108" s="56"/>
      <c r="AD108" s="56">
        <v>0</v>
      </c>
      <c r="AE108" s="56"/>
      <c r="AF108" s="56">
        <f t="shared" si="24"/>
        <v>11532</v>
      </c>
      <c r="AG108" s="56">
        <v>0</v>
      </c>
      <c r="AH108" s="56">
        <v>0</v>
      </c>
      <c r="AI108" s="56"/>
      <c r="AJ108" s="56">
        <f t="shared" si="25"/>
        <v>11532</v>
      </c>
      <c r="AK108" s="85"/>
      <c r="AL108" s="56">
        <v>-11532</v>
      </c>
      <c r="AM108" s="56"/>
      <c r="AN108" s="88">
        <f>SUM(AI108:AM108)</f>
        <v>0</v>
      </c>
      <c r="AO108" s="88">
        <v>0</v>
      </c>
      <c r="AP108" s="88">
        <v>0</v>
      </c>
      <c r="AQ108" s="56"/>
      <c r="AR108" s="56">
        <v>0</v>
      </c>
      <c r="AS108" s="56"/>
      <c r="AT108" s="56">
        <v>0</v>
      </c>
      <c r="AU108" s="56"/>
      <c r="AV108" s="56">
        <f t="shared" si="26"/>
        <v>0</v>
      </c>
      <c r="AW108" s="56"/>
      <c r="AX108" s="56">
        <v>0</v>
      </c>
      <c r="AY108" s="56"/>
      <c r="AZ108" s="88">
        <v>0</v>
      </c>
      <c r="BA108" s="56">
        <v>0</v>
      </c>
      <c r="BB108" s="214"/>
      <c r="BC108" s="56"/>
      <c r="BD108" s="84">
        <f t="shared" si="23"/>
        <v>0</v>
      </c>
      <c r="BE108" s="56"/>
      <c r="BF108" s="56"/>
      <c r="BG108" s="56"/>
      <c r="BH108" s="72"/>
    </row>
    <row r="109" spans="1:62" ht="20.100000000000001" customHeight="1" outlineLevel="1">
      <c r="A109" s="77" t="s">
        <v>43</v>
      </c>
      <c r="B109" s="77" t="s">
        <v>218</v>
      </c>
      <c r="C109" s="77" t="str">
        <f t="shared" si="19"/>
        <v>AH·</v>
      </c>
      <c r="D109" s="78" t="s">
        <v>46</v>
      </c>
      <c r="E109" s="78" t="str">
        <f t="shared" si="14"/>
        <v>000</v>
      </c>
      <c r="F109" s="3">
        <v>673022</v>
      </c>
      <c r="G109" s="102" t="s">
        <v>518</v>
      </c>
      <c r="H109" s="87"/>
      <c r="I109" s="13"/>
      <c r="J109" s="13">
        <v>0</v>
      </c>
      <c r="L109" s="56">
        <v>1594</v>
      </c>
      <c r="M109" s="56"/>
      <c r="N109" s="56">
        <v>1600</v>
      </c>
      <c r="O109" s="56"/>
      <c r="P109" s="56">
        <v>1600</v>
      </c>
      <c r="Q109" s="56"/>
      <c r="R109" s="56">
        <v>1600</v>
      </c>
      <c r="S109" s="56"/>
      <c r="T109" s="56">
        <v>0</v>
      </c>
      <c r="U109" s="56"/>
      <c r="V109" s="56">
        <v>1600</v>
      </c>
      <c r="W109" s="56"/>
      <c r="X109" s="56">
        <v>0</v>
      </c>
      <c r="Y109" s="56"/>
      <c r="Z109" s="56">
        <v>1600</v>
      </c>
      <c r="AA109" s="56"/>
      <c r="AB109" s="56">
        <v>0</v>
      </c>
      <c r="AC109" s="56"/>
      <c r="AD109" s="56">
        <v>0</v>
      </c>
      <c r="AE109" s="56"/>
      <c r="AF109" s="56">
        <f t="shared" si="24"/>
        <v>1600</v>
      </c>
      <c r="AG109" s="56">
        <v>0</v>
      </c>
      <c r="AH109" s="56">
        <v>0</v>
      </c>
      <c r="AI109" s="56"/>
      <c r="AJ109" s="56">
        <f t="shared" si="25"/>
        <v>1600</v>
      </c>
      <c r="AK109" s="85"/>
      <c r="AL109" s="56">
        <v>0</v>
      </c>
      <c r="AM109" s="56"/>
      <c r="AN109" s="88">
        <v>0</v>
      </c>
      <c r="AO109" s="88">
        <v>0</v>
      </c>
      <c r="AP109" s="88">
        <v>0</v>
      </c>
      <c r="AQ109" s="56"/>
      <c r="AR109" s="56">
        <v>0</v>
      </c>
      <c r="AS109" s="56"/>
      <c r="AT109" s="56">
        <v>0</v>
      </c>
      <c r="AU109" s="56"/>
      <c r="AV109" s="56">
        <f t="shared" si="26"/>
        <v>0</v>
      </c>
      <c r="AW109" s="56"/>
      <c r="AX109" s="56">
        <v>0</v>
      </c>
      <c r="AY109" s="56"/>
      <c r="AZ109" s="88">
        <v>0</v>
      </c>
      <c r="BA109" s="56">
        <v>0</v>
      </c>
      <c r="BB109" s="214"/>
      <c r="BC109" s="56"/>
      <c r="BD109" s="84">
        <f t="shared" si="23"/>
        <v>0</v>
      </c>
      <c r="BE109" s="56"/>
      <c r="BF109" s="56"/>
      <c r="BG109" s="56"/>
      <c r="BH109" s="72"/>
    </row>
    <row r="110" spans="1:62" ht="20.100000000000001" customHeight="1" outlineLevel="1">
      <c r="A110" s="77" t="s">
        <v>43</v>
      </c>
      <c r="B110" s="77" t="s">
        <v>218</v>
      </c>
      <c r="C110" s="77" t="str">
        <f t="shared" si="19"/>
        <v>AH·</v>
      </c>
      <c r="D110" s="78" t="s">
        <v>46</v>
      </c>
      <c r="E110" s="78" t="str">
        <f t="shared" si="14"/>
        <v>000</v>
      </c>
      <c r="F110" s="3">
        <v>673061</v>
      </c>
      <c r="G110" s="149" t="s">
        <v>300</v>
      </c>
      <c r="H110" s="87"/>
      <c r="I110" s="13">
        <v>4588</v>
      </c>
      <c r="J110" s="13">
        <v>9674</v>
      </c>
      <c r="L110" s="56">
        <v>3871</v>
      </c>
      <c r="M110" s="56"/>
      <c r="N110" s="56">
        <v>16920</v>
      </c>
      <c r="O110" s="56"/>
      <c r="P110" s="56">
        <v>16920</v>
      </c>
      <c r="Q110" s="56"/>
      <c r="R110" s="56">
        <v>16920</v>
      </c>
      <c r="S110" s="56"/>
      <c r="T110" s="56">
        <v>0</v>
      </c>
      <c r="U110" s="56"/>
      <c r="V110" s="56">
        <v>16920</v>
      </c>
      <c r="W110" s="56"/>
      <c r="X110" s="56">
        <v>11988.59</v>
      </c>
      <c r="Y110" s="56"/>
      <c r="Z110" s="56">
        <v>16920</v>
      </c>
      <c r="AA110" s="56"/>
      <c r="AB110" s="56">
        <v>0</v>
      </c>
      <c r="AC110" s="56"/>
      <c r="AD110" s="56">
        <v>0</v>
      </c>
      <c r="AE110" s="56"/>
      <c r="AF110" s="56">
        <f t="shared" si="24"/>
        <v>16920</v>
      </c>
      <c r="AG110" s="56">
        <v>0</v>
      </c>
      <c r="AH110" s="56">
        <v>0</v>
      </c>
      <c r="AI110" s="56"/>
      <c r="AJ110" s="56">
        <f t="shared" si="25"/>
        <v>16920</v>
      </c>
      <c r="AK110" s="85"/>
      <c r="AL110" s="56">
        <f>-10000-6920</f>
        <v>-16920</v>
      </c>
      <c r="AM110" s="56"/>
      <c r="AN110" s="88">
        <f>SUM(AI110:AM110)</f>
        <v>0</v>
      </c>
      <c r="AO110" s="88">
        <v>0</v>
      </c>
      <c r="AP110" s="88">
        <v>0</v>
      </c>
      <c r="AQ110" s="56"/>
      <c r="AR110" s="56">
        <v>0</v>
      </c>
      <c r="AS110" s="56"/>
      <c r="AT110" s="56">
        <v>0</v>
      </c>
      <c r="AU110" s="56"/>
      <c r="AV110" s="56">
        <f t="shared" si="26"/>
        <v>0</v>
      </c>
      <c r="AW110" s="56"/>
      <c r="AX110" s="56">
        <v>-16920</v>
      </c>
      <c r="AY110" s="56"/>
      <c r="AZ110" s="88">
        <v>0</v>
      </c>
      <c r="BA110" s="56">
        <v>13840</v>
      </c>
      <c r="BB110" s="214"/>
      <c r="BC110" s="56"/>
      <c r="BD110" s="84">
        <f t="shared" si="23"/>
        <v>0</v>
      </c>
      <c r="BE110" s="56"/>
      <c r="BF110" s="56"/>
      <c r="BG110" s="56"/>
      <c r="BH110" s="72"/>
    </row>
    <row r="111" spans="1:62" ht="20.100000000000001" customHeight="1" outlineLevel="1">
      <c r="A111" s="77" t="s">
        <v>43</v>
      </c>
      <c r="B111" s="77" t="s">
        <v>225</v>
      </c>
      <c r="C111" s="77" t="str">
        <f t="shared" si="19"/>
        <v>AH·</v>
      </c>
      <c r="D111" s="78" t="s">
        <v>46</v>
      </c>
      <c r="E111" s="78" t="str">
        <f t="shared" si="14"/>
        <v>000</v>
      </c>
      <c r="F111" s="3">
        <v>661177</v>
      </c>
      <c r="G111" s="149" t="s">
        <v>519</v>
      </c>
      <c r="H111" s="87"/>
      <c r="I111" s="13"/>
      <c r="J111" s="13">
        <v>0</v>
      </c>
      <c r="L111" s="56">
        <v>0</v>
      </c>
      <c r="M111" s="56"/>
      <c r="N111" s="56">
        <v>0</v>
      </c>
      <c r="O111" s="56"/>
      <c r="P111" s="56"/>
      <c r="Q111" s="56"/>
      <c r="R111" s="56"/>
      <c r="S111" s="56"/>
      <c r="T111" s="56"/>
      <c r="U111" s="56"/>
      <c r="V111" s="56">
        <v>16920</v>
      </c>
      <c r="W111" s="56"/>
      <c r="X111" s="56">
        <v>0</v>
      </c>
      <c r="Y111" s="56"/>
      <c r="Z111" s="56">
        <v>0</v>
      </c>
      <c r="AA111" s="56"/>
      <c r="AB111" s="56"/>
      <c r="AC111" s="56"/>
      <c r="AD111" s="56"/>
      <c r="AE111" s="56"/>
      <c r="AF111" s="56">
        <f t="shared" si="24"/>
        <v>0</v>
      </c>
      <c r="AG111" s="56"/>
      <c r="AH111" s="56">
        <v>0</v>
      </c>
      <c r="AI111" s="56"/>
      <c r="AJ111" s="56"/>
      <c r="AK111" s="85"/>
      <c r="AL111" s="56">
        <v>0</v>
      </c>
      <c r="AM111" s="56"/>
      <c r="AN111" s="88">
        <v>322.56</v>
      </c>
      <c r="AO111" s="88">
        <v>0</v>
      </c>
      <c r="AP111" s="88">
        <v>0</v>
      </c>
      <c r="AQ111" s="56"/>
      <c r="AR111" s="56">
        <v>0</v>
      </c>
      <c r="AS111" s="56"/>
      <c r="AT111" s="56">
        <v>0</v>
      </c>
      <c r="AU111" s="56"/>
      <c r="AV111" s="56">
        <f t="shared" si="26"/>
        <v>0</v>
      </c>
      <c r="AW111" s="56"/>
      <c r="AX111" s="56">
        <v>0</v>
      </c>
      <c r="AY111" s="56"/>
      <c r="AZ111" s="88">
        <v>0</v>
      </c>
      <c r="BA111" s="56">
        <v>0</v>
      </c>
      <c r="BB111" s="214"/>
      <c r="BC111" s="56"/>
      <c r="BD111" s="84">
        <f t="shared" si="23"/>
        <v>-322.56</v>
      </c>
      <c r="BE111" s="56"/>
      <c r="BF111" s="56"/>
      <c r="BG111" s="56"/>
      <c r="BH111" s="72"/>
    </row>
    <row r="112" spans="1:62" ht="20.100000000000001" customHeight="1" outlineLevel="1">
      <c r="A112" s="77" t="s">
        <v>43</v>
      </c>
      <c r="B112" s="77" t="s">
        <v>520</v>
      </c>
      <c r="C112" s="77" t="str">
        <f t="shared" si="19"/>
        <v>AH·</v>
      </c>
      <c r="D112" s="78" t="s">
        <v>46</v>
      </c>
      <c r="E112" s="78" t="str">
        <f t="shared" si="14"/>
        <v>000</v>
      </c>
      <c r="F112" s="3">
        <v>611117</v>
      </c>
      <c r="G112" s="150" t="s">
        <v>521</v>
      </c>
      <c r="H112" s="87"/>
      <c r="I112" s="13">
        <v>53745</v>
      </c>
      <c r="J112" s="13">
        <v>54311</v>
      </c>
      <c r="L112" s="56">
        <v>60268</v>
      </c>
      <c r="M112" s="56"/>
      <c r="N112" s="56">
        <v>63093</v>
      </c>
      <c r="O112" s="56"/>
      <c r="P112" s="56">
        <v>63093</v>
      </c>
      <c r="Q112" s="56"/>
      <c r="R112" s="56">
        <v>64793</v>
      </c>
      <c r="S112" s="56"/>
      <c r="T112" s="56">
        <v>0</v>
      </c>
      <c r="U112" s="56"/>
      <c r="V112" s="56">
        <v>64793</v>
      </c>
      <c r="W112" s="56"/>
      <c r="X112" s="56">
        <v>64793</v>
      </c>
      <c r="Y112" s="56"/>
      <c r="Z112" s="56">
        <v>64811</v>
      </c>
      <c r="AA112" s="56"/>
      <c r="AB112" s="56">
        <v>0</v>
      </c>
      <c r="AC112" s="56"/>
      <c r="AD112" s="56">
        <v>0</v>
      </c>
      <c r="AE112" s="56"/>
      <c r="AF112" s="56">
        <f t="shared" si="24"/>
        <v>64811</v>
      </c>
      <c r="AG112" s="56">
        <v>0</v>
      </c>
      <c r="AH112" s="56">
        <v>1250</v>
      </c>
      <c r="AI112" s="56"/>
      <c r="AJ112" s="56">
        <f t="shared" ref="AJ112:AJ131" si="27">SUM(AE112:AI112)</f>
        <v>66061</v>
      </c>
      <c r="AK112" s="85"/>
      <c r="AL112" s="56">
        <v>0</v>
      </c>
      <c r="AM112" s="56"/>
      <c r="AN112" s="88">
        <v>66059.960000000006</v>
      </c>
      <c r="AO112" s="88">
        <v>0</v>
      </c>
      <c r="AP112" s="88">
        <v>65237</v>
      </c>
      <c r="AQ112" s="56"/>
      <c r="AR112" s="56">
        <v>0</v>
      </c>
      <c r="AS112" s="56"/>
      <c r="AT112" s="56">
        <v>0</v>
      </c>
      <c r="AU112" s="56"/>
      <c r="AV112" s="56">
        <f t="shared" si="26"/>
        <v>65237</v>
      </c>
      <c r="AW112" s="56"/>
      <c r="AX112" s="56">
        <v>0</v>
      </c>
      <c r="AY112" s="56"/>
      <c r="AZ112" s="88">
        <v>65664</v>
      </c>
      <c r="BA112" s="56">
        <v>65664</v>
      </c>
      <c r="BB112" s="214"/>
      <c r="BC112" s="56"/>
      <c r="BD112" s="84">
        <f t="shared" si="23"/>
        <v>-822.9600000000064</v>
      </c>
      <c r="BE112" s="56"/>
      <c r="BF112" s="56"/>
      <c r="BG112" s="56"/>
      <c r="BH112" s="72">
        <v>1</v>
      </c>
      <c r="BJ112">
        <v>1</v>
      </c>
    </row>
    <row r="113" spans="1:62" ht="20.100000000000001" customHeight="1" outlineLevel="1">
      <c r="A113" s="77" t="s">
        <v>43</v>
      </c>
      <c r="B113" s="77" t="s">
        <v>301</v>
      </c>
      <c r="C113" s="77" t="str">
        <f t="shared" si="19"/>
        <v>AH·</v>
      </c>
      <c r="D113" s="78" t="s">
        <v>46</v>
      </c>
      <c r="E113" s="78" t="str">
        <f t="shared" si="14"/>
        <v>000</v>
      </c>
      <c r="F113" s="3">
        <v>611214</v>
      </c>
      <c r="G113" s="102" t="s">
        <v>302</v>
      </c>
      <c r="H113" s="87"/>
      <c r="I113" s="13">
        <v>742260</v>
      </c>
      <c r="J113" s="13">
        <v>731173</v>
      </c>
      <c r="L113" s="56">
        <v>795231</v>
      </c>
      <c r="M113" s="56"/>
      <c r="N113" s="56">
        <v>815320</v>
      </c>
      <c r="O113" s="56"/>
      <c r="P113" s="56">
        <v>815320</v>
      </c>
      <c r="Q113" s="56"/>
      <c r="R113" s="56">
        <v>807185</v>
      </c>
      <c r="S113" s="56"/>
      <c r="T113" s="56">
        <v>0</v>
      </c>
      <c r="U113" s="56"/>
      <c r="V113" s="56">
        <v>807185</v>
      </c>
      <c r="W113" s="56"/>
      <c r="X113" s="56">
        <v>803898.33</v>
      </c>
      <c r="Y113" s="56"/>
      <c r="Z113" s="56">
        <v>799789</v>
      </c>
      <c r="AA113" s="56"/>
      <c r="AB113" s="56">
        <v>0</v>
      </c>
      <c r="AC113" s="56"/>
      <c r="AD113" s="56">
        <v>0</v>
      </c>
      <c r="AE113" s="56"/>
      <c r="AF113" s="56">
        <f t="shared" si="24"/>
        <v>799789</v>
      </c>
      <c r="AG113" s="104">
        <v>-2770</v>
      </c>
      <c r="AH113" s="56">
        <v>18750</v>
      </c>
      <c r="AI113" s="56"/>
      <c r="AJ113" s="56">
        <f t="shared" si="27"/>
        <v>815769</v>
      </c>
      <c r="AK113" s="85"/>
      <c r="AL113" s="56">
        <v>0</v>
      </c>
      <c r="AM113" s="56"/>
      <c r="AN113" s="88">
        <v>815576.18</v>
      </c>
      <c r="AO113" s="88">
        <v>0</v>
      </c>
      <c r="AP113" s="88">
        <v>795573.97</v>
      </c>
      <c r="AQ113" s="56"/>
      <c r="AR113" s="56">
        <v>0</v>
      </c>
      <c r="AS113" s="56"/>
      <c r="AT113" s="56">
        <v>0</v>
      </c>
      <c r="AU113" s="56"/>
      <c r="AV113" s="56">
        <f t="shared" si="26"/>
        <v>795573.97</v>
      </c>
      <c r="AW113" s="56"/>
      <c r="AX113" s="106">
        <v>18023</v>
      </c>
      <c r="AY113" s="56"/>
      <c r="AZ113" s="88">
        <v>812000</v>
      </c>
      <c r="BA113" s="56">
        <v>776949</v>
      </c>
      <c r="BB113" s="214"/>
      <c r="BC113" s="56"/>
      <c r="BD113" s="84">
        <f t="shared" si="23"/>
        <v>-20002.210000000079</v>
      </c>
      <c r="BE113" s="56"/>
      <c r="BF113" s="56"/>
      <c r="BG113" s="56"/>
      <c r="BH113" s="72">
        <v>1</v>
      </c>
      <c r="BJ113">
        <v>1</v>
      </c>
    </row>
    <row r="114" spans="1:62" ht="20.100000000000001" customHeight="1" outlineLevel="1">
      <c r="A114" s="77" t="s">
        <v>43</v>
      </c>
      <c r="B114" s="77" t="s">
        <v>301</v>
      </c>
      <c r="C114" s="77" t="str">
        <f t="shared" si="19"/>
        <v>AH·</v>
      </c>
      <c r="D114" s="78" t="s">
        <v>46</v>
      </c>
      <c r="E114" s="78" t="str">
        <f t="shared" si="14"/>
        <v>000</v>
      </c>
      <c r="F114" s="3">
        <v>611411</v>
      </c>
      <c r="G114" s="102" t="s">
        <v>80</v>
      </c>
      <c r="H114" s="87"/>
      <c r="I114" s="13">
        <v>0</v>
      </c>
      <c r="J114" s="13">
        <v>0</v>
      </c>
      <c r="L114" s="56">
        <v>0</v>
      </c>
      <c r="M114" s="56"/>
      <c r="N114" s="56">
        <v>0</v>
      </c>
      <c r="O114" s="56"/>
      <c r="P114" s="56">
        <v>0</v>
      </c>
      <c r="Q114" s="56"/>
      <c r="R114" s="56">
        <v>85000</v>
      </c>
      <c r="S114" s="56"/>
      <c r="T114" s="56">
        <v>0</v>
      </c>
      <c r="U114" s="56"/>
      <c r="V114" s="56">
        <v>85000</v>
      </c>
      <c r="W114" s="56"/>
      <c r="X114" s="56">
        <v>1022934.14</v>
      </c>
      <c r="Y114" s="56"/>
      <c r="Z114" s="56">
        <v>0</v>
      </c>
      <c r="AA114" s="56"/>
      <c r="AB114" s="56">
        <v>0</v>
      </c>
      <c r="AC114" s="56"/>
      <c r="AD114" s="56">
        <v>0</v>
      </c>
      <c r="AE114" s="56"/>
      <c r="AF114" s="56">
        <f t="shared" si="24"/>
        <v>0</v>
      </c>
      <c r="AG114" s="56">
        <v>0</v>
      </c>
      <c r="AH114" s="56">
        <v>0</v>
      </c>
      <c r="AI114" s="56"/>
      <c r="AJ114" s="56">
        <f t="shared" si="27"/>
        <v>0</v>
      </c>
      <c r="AK114" s="85"/>
      <c r="AL114" s="56">
        <v>0</v>
      </c>
      <c r="AM114" s="56"/>
      <c r="AN114" s="88">
        <f>SUM(AI114:AM114)</f>
        <v>0</v>
      </c>
      <c r="AO114" s="88">
        <v>0</v>
      </c>
      <c r="AP114" s="88">
        <v>0</v>
      </c>
      <c r="AQ114" s="56"/>
      <c r="AR114" s="56">
        <v>0</v>
      </c>
      <c r="AS114" s="56"/>
      <c r="AT114" s="56">
        <v>0</v>
      </c>
      <c r="AU114" s="56"/>
      <c r="AV114" s="56">
        <f t="shared" si="26"/>
        <v>0</v>
      </c>
      <c r="AW114" s="56"/>
      <c r="AX114" s="56">
        <v>0</v>
      </c>
      <c r="AY114" s="56"/>
      <c r="AZ114" s="88">
        <v>0</v>
      </c>
      <c r="BA114" s="56">
        <v>0</v>
      </c>
      <c r="BB114" s="214"/>
      <c r="BC114" s="56"/>
      <c r="BD114" s="84">
        <f t="shared" si="23"/>
        <v>0</v>
      </c>
      <c r="BE114" s="56"/>
      <c r="BF114" s="56"/>
      <c r="BG114" s="56"/>
      <c r="BH114" s="72">
        <v>1</v>
      </c>
      <c r="BJ114">
        <v>1</v>
      </c>
    </row>
    <row r="115" spans="1:62" ht="20.100000000000001" customHeight="1" outlineLevel="1">
      <c r="A115" s="77" t="s">
        <v>43</v>
      </c>
      <c r="B115" s="77" t="s">
        <v>237</v>
      </c>
      <c r="C115" s="77" t="str">
        <f t="shared" si="19"/>
        <v>AH·</v>
      </c>
      <c r="D115" s="78" t="s">
        <v>46</v>
      </c>
      <c r="E115" s="78" t="str">
        <f t="shared" si="14"/>
        <v>000</v>
      </c>
      <c r="F115" s="3">
        <v>611411</v>
      </c>
      <c r="G115" s="102" t="s">
        <v>303</v>
      </c>
      <c r="H115" s="87"/>
      <c r="I115" s="13">
        <v>841663</v>
      </c>
      <c r="J115" s="13">
        <v>821599</v>
      </c>
      <c r="L115" s="56">
        <v>1040747</v>
      </c>
      <c r="M115" s="56"/>
      <c r="N115" s="56">
        <v>971897</v>
      </c>
      <c r="O115" s="56"/>
      <c r="P115" s="56">
        <v>971897</v>
      </c>
      <c r="Q115" s="56"/>
      <c r="R115" s="56">
        <v>971897</v>
      </c>
      <c r="S115" s="56"/>
      <c r="T115" s="56">
        <v>0</v>
      </c>
      <c r="U115" s="56"/>
      <c r="V115" s="56">
        <v>971897</v>
      </c>
      <c r="W115" s="56"/>
      <c r="X115" s="56">
        <v>0</v>
      </c>
      <c r="Y115" s="56"/>
      <c r="Z115" s="56">
        <v>984047</v>
      </c>
      <c r="AA115" s="56"/>
      <c r="AB115" s="56">
        <v>0</v>
      </c>
      <c r="AC115" s="56"/>
      <c r="AD115" s="56">
        <v>0</v>
      </c>
      <c r="AE115" s="56"/>
      <c r="AF115" s="56">
        <f t="shared" si="24"/>
        <v>984047</v>
      </c>
      <c r="AG115" s="104">
        <v>250</v>
      </c>
      <c r="AH115" s="56">
        <v>112500</v>
      </c>
      <c r="AI115" s="56"/>
      <c r="AJ115" s="56">
        <f t="shared" si="27"/>
        <v>1096797</v>
      </c>
      <c r="AK115" s="85"/>
      <c r="AL115" s="56">
        <v>0</v>
      </c>
      <c r="AM115" s="56"/>
      <c r="AN115" s="88">
        <v>1062655.6100000001</v>
      </c>
      <c r="AO115" s="88">
        <v>0</v>
      </c>
      <c r="AP115" s="88">
        <v>955747.12</v>
      </c>
      <c r="AQ115" s="56"/>
      <c r="AR115" s="56">
        <v>0</v>
      </c>
      <c r="AS115" s="56"/>
      <c r="AT115" s="56">
        <v>0</v>
      </c>
      <c r="AU115" s="56"/>
      <c r="AV115" s="56">
        <f t="shared" si="26"/>
        <v>955747.12</v>
      </c>
      <c r="AW115" s="56"/>
      <c r="AX115" s="56">
        <v>0</v>
      </c>
      <c r="AY115" s="56"/>
      <c r="AZ115" s="88">
        <v>985000</v>
      </c>
      <c r="BA115" s="56">
        <v>985000</v>
      </c>
      <c r="BB115" s="214"/>
      <c r="BC115" s="56"/>
      <c r="BD115" s="84">
        <f t="shared" si="23"/>
        <v>-106908.49000000011</v>
      </c>
      <c r="BE115" s="56"/>
      <c r="BF115" s="56"/>
      <c r="BG115" s="56"/>
      <c r="BH115" s="72">
        <v>1</v>
      </c>
      <c r="BJ115">
        <v>1</v>
      </c>
    </row>
    <row r="116" spans="1:62" ht="20.100000000000001" customHeight="1" outlineLevel="1">
      <c r="A116" s="77" t="s">
        <v>43</v>
      </c>
      <c r="B116" s="77" t="s">
        <v>237</v>
      </c>
      <c r="C116" s="77" t="str">
        <f t="shared" si="19"/>
        <v>AH·</v>
      </c>
      <c r="D116" s="78" t="s">
        <v>46</v>
      </c>
      <c r="E116" s="78" t="str">
        <f t="shared" si="14"/>
        <v>000</v>
      </c>
      <c r="F116" s="3">
        <v>632011</v>
      </c>
      <c r="G116" s="102" t="s">
        <v>522</v>
      </c>
      <c r="H116" s="87"/>
      <c r="I116" s="13">
        <v>10131</v>
      </c>
      <c r="J116" s="13">
        <v>10121</v>
      </c>
      <c r="L116" s="56">
        <v>161</v>
      </c>
      <c r="M116" s="56"/>
      <c r="N116" s="56">
        <v>0</v>
      </c>
      <c r="O116" s="56"/>
      <c r="P116" s="56">
        <v>0</v>
      </c>
      <c r="Q116" s="56"/>
      <c r="R116" s="56">
        <v>0</v>
      </c>
      <c r="S116" s="56"/>
      <c r="T116" s="56">
        <v>0</v>
      </c>
      <c r="U116" s="56"/>
      <c r="V116" s="56">
        <v>0</v>
      </c>
      <c r="W116" s="56"/>
      <c r="X116" s="56">
        <v>0</v>
      </c>
      <c r="Y116" s="56"/>
      <c r="Z116" s="56">
        <v>0</v>
      </c>
      <c r="AA116" s="56"/>
      <c r="AB116" s="56">
        <v>0</v>
      </c>
      <c r="AC116" s="56"/>
      <c r="AD116" s="56">
        <v>0</v>
      </c>
      <c r="AE116" s="56"/>
      <c r="AF116" s="56">
        <f t="shared" si="24"/>
        <v>0</v>
      </c>
      <c r="AG116" s="56">
        <v>0</v>
      </c>
      <c r="AH116" s="56">
        <v>0</v>
      </c>
      <c r="AI116" s="56"/>
      <c r="AJ116" s="56">
        <f t="shared" si="27"/>
        <v>0</v>
      </c>
      <c r="AK116" s="85"/>
      <c r="AL116" s="56">
        <v>0</v>
      </c>
      <c r="AM116" s="56"/>
      <c r="AN116" s="88">
        <f>SUM(AI116:AM116)</f>
        <v>0</v>
      </c>
      <c r="AO116" s="88">
        <v>0</v>
      </c>
      <c r="AP116" s="88">
        <v>0</v>
      </c>
      <c r="AQ116" s="56"/>
      <c r="AR116" s="56">
        <v>0</v>
      </c>
      <c r="AS116" s="56"/>
      <c r="AT116" s="56">
        <v>0</v>
      </c>
      <c r="AU116" s="56"/>
      <c r="AV116" s="56">
        <f t="shared" si="26"/>
        <v>0</v>
      </c>
      <c r="AW116" s="56"/>
      <c r="AX116" s="56">
        <v>0</v>
      </c>
      <c r="AY116" s="56"/>
      <c r="AZ116" s="88">
        <v>0</v>
      </c>
      <c r="BA116" s="56">
        <v>0</v>
      </c>
      <c r="BB116" s="214"/>
      <c r="BC116" s="56"/>
      <c r="BD116" s="84">
        <f t="shared" si="23"/>
        <v>0</v>
      </c>
      <c r="BE116" s="56"/>
      <c r="BF116" s="56"/>
      <c r="BG116" s="56"/>
      <c r="BH116" s="72"/>
    </row>
    <row r="117" spans="1:62" ht="20.100000000000001" customHeight="1" outlineLevel="1">
      <c r="A117" s="77" t="s">
        <v>43</v>
      </c>
      <c r="B117" s="77" t="s">
        <v>237</v>
      </c>
      <c r="C117" s="77" t="str">
        <f t="shared" si="19"/>
        <v>AH·</v>
      </c>
      <c r="D117" s="78" t="s">
        <v>46</v>
      </c>
      <c r="E117" s="78" t="str">
        <f t="shared" si="14"/>
        <v>000</v>
      </c>
      <c r="F117" s="3">
        <v>681011</v>
      </c>
      <c r="G117" s="102" t="s">
        <v>305</v>
      </c>
      <c r="H117" s="87"/>
      <c r="I117" s="13"/>
      <c r="J117" s="13">
        <v>0</v>
      </c>
      <c r="L117" s="56">
        <v>8050</v>
      </c>
      <c r="M117" s="56"/>
      <c r="N117" s="56">
        <v>9000</v>
      </c>
      <c r="O117" s="56"/>
      <c r="P117" s="56">
        <v>9000</v>
      </c>
      <c r="Q117" s="56"/>
      <c r="R117" s="56">
        <v>9000</v>
      </c>
      <c r="S117" s="56"/>
      <c r="T117" s="56">
        <v>0</v>
      </c>
      <c r="U117" s="56"/>
      <c r="V117" s="56">
        <v>9000</v>
      </c>
      <c r="W117" s="56"/>
      <c r="X117" s="56">
        <v>8675</v>
      </c>
      <c r="Y117" s="56"/>
      <c r="Z117" s="56">
        <v>9000</v>
      </c>
      <c r="AA117" s="56"/>
      <c r="AB117" s="56">
        <v>0</v>
      </c>
      <c r="AC117" s="56"/>
      <c r="AD117" s="56">
        <v>0</v>
      </c>
      <c r="AE117" s="56"/>
      <c r="AF117" s="56">
        <f t="shared" si="24"/>
        <v>9000</v>
      </c>
      <c r="AG117" s="56">
        <v>0</v>
      </c>
      <c r="AH117" s="56">
        <v>0</v>
      </c>
      <c r="AI117" s="56"/>
      <c r="AJ117" s="56">
        <f t="shared" si="27"/>
        <v>9000</v>
      </c>
      <c r="AK117" s="85"/>
      <c r="AL117" s="56">
        <v>0</v>
      </c>
      <c r="AM117" s="56"/>
      <c r="AN117" s="88">
        <v>0</v>
      </c>
      <c r="AO117" s="88">
        <v>0</v>
      </c>
      <c r="AP117" s="88">
        <v>0</v>
      </c>
      <c r="AQ117" s="56"/>
      <c r="AR117" s="56">
        <v>0</v>
      </c>
      <c r="AS117" s="56"/>
      <c r="AT117" s="56">
        <v>0</v>
      </c>
      <c r="AU117" s="56"/>
      <c r="AV117" s="56">
        <f t="shared" si="26"/>
        <v>0</v>
      </c>
      <c r="AW117" s="56"/>
      <c r="AX117" s="56">
        <v>0</v>
      </c>
      <c r="AY117" s="56"/>
      <c r="AZ117" s="88">
        <v>0</v>
      </c>
      <c r="BA117" s="56">
        <v>0</v>
      </c>
      <c r="BB117" s="214"/>
      <c r="BC117" s="56"/>
      <c r="BD117" s="84">
        <f t="shared" si="23"/>
        <v>0</v>
      </c>
      <c r="BE117" s="56"/>
      <c r="BF117" s="56"/>
      <c r="BG117" s="56"/>
      <c r="BH117" s="72"/>
    </row>
    <row r="118" spans="1:62" ht="20.100000000000001" customHeight="1" outlineLevel="1">
      <c r="A118" s="77" t="s">
        <v>43</v>
      </c>
      <c r="B118" s="77" t="s">
        <v>237</v>
      </c>
      <c r="C118" s="77" t="str">
        <f t="shared" si="19"/>
        <v>AH·</v>
      </c>
      <c r="D118" s="78" t="s">
        <v>46</v>
      </c>
      <c r="E118" s="78" t="str">
        <f t="shared" si="14"/>
        <v>000</v>
      </c>
      <c r="F118" s="3">
        <v>633945</v>
      </c>
      <c r="G118" s="102" t="s">
        <v>271</v>
      </c>
      <c r="H118" s="87"/>
      <c r="I118" s="13">
        <v>0</v>
      </c>
      <c r="J118" s="13">
        <v>0</v>
      </c>
      <c r="L118" s="56">
        <v>568</v>
      </c>
      <c r="M118" s="56"/>
      <c r="N118" s="56">
        <v>2000</v>
      </c>
      <c r="O118" s="56"/>
      <c r="P118" s="56">
        <v>2000</v>
      </c>
      <c r="Q118" s="56"/>
      <c r="R118" s="56">
        <v>2000</v>
      </c>
      <c r="S118" s="56"/>
      <c r="T118" s="56">
        <v>0</v>
      </c>
      <c r="U118" s="56"/>
      <c r="V118" s="56">
        <v>2000</v>
      </c>
      <c r="W118" s="56"/>
      <c r="X118" s="56">
        <v>0</v>
      </c>
      <c r="Y118" s="56"/>
      <c r="Z118" s="56">
        <v>2000</v>
      </c>
      <c r="AA118" s="56"/>
      <c r="AB118" s="56">
        <v>0</v>
      </c>
      <c r="AC118" s="56"/>
      <c r="AD118" s="56">
        <v>0</v>
      </c>
      <c r="AE118" s="56"/>
      <c r="AF118" s="56">
        <f t="shared" si="24"/>
        <v>2000</v>
      </c>
      <c r="AG118" s="56">
        <v>0</v>
      </c>
      <c r="AH118" s="56">
        <v>0</v>
      </c>
      <c r="AI118" s="56"/>
      <c r="AJ118" s="56">
        <f t="shared" si="27"/>
        <v>2000</v>
      </c>
      <c r="AK118" s="85"/>
      <c r="AL118" s="56">
        <v>0</v>
      </c>
      <c r="AM118" s="56"/>
      <c r="AN118" s="88">
        <v>1663.2</v>
      </c>
      <c r="AO118" s="88">
        <v>0</v>
      </c>
      <c r="AP118" s="88">
        <v>0</v>
      </c>
      <c r="AQ118" s="56"/>
      <c r="AR118" s="56">
        <v>0</v>
      </c>
      <c r="AS118" s="56"/>
      <c r="AT118" s="56">
        <v>0</v>
      </c>
      <c r="AU118" s="56"/>
      <c r="AV118" s="56">
        <f t="shared" si="26"/>
        <v>0</v>
      </c>
      <c r="AW118" s="56"/>
      <c r="AX118" s="56">
        <v>0</v>
      </c>
      <c r="AY118" s="56"/>
      <c r="AZ118" s="88">
        <v>2000</v>
      </c>
      <c r="BA118" s="56">
        <v>2000</v>
      </c>
      <c r="BB118" s="214"/>
      <c r="BC118" s="56"/>
      <c r="BD118" s="84">
        <f t="shared" si="23"/>
        <v>-1663.2</v>
      </c>
      <c r="BE118" s="56"/>
      <c r="BF118" s="56"/>
      <c r="BG118" s="56"/>
      <c r="BH118" s="72"/>
    </row>
    <row r="119" spans="1:62" ht="20.100000000000001" customHeight="1" outlineLevel="1">
      <c r="A119" s="77" t="s">
        <v>43</v>
      </c>
      <c r="B119" s="77" t="s">
        <v>237</v>
      </c>
      <c r="C119" s="77" t="str">
        <f t="shared" si="19"/>
        <v>AH·</v>
      </c>
      <c r="D119" s="78" t="s">
        <v>46</v>
      </c>
      <c r="E119" s="78" t="str">
        <f t="shared" si="14"/>
        <v>000</v>
      </c>
      <c r="F119" s="3">
        <v>661001</v>
      </c>
      <c r="G119" s="102" t="s">
        <v>306</v>
      </c>
      <c r="H119" s="87"/>
      <c r="I119" s="13">
        <v>19781</v>
      </c>
      <c r="J119" s="13">
        <v>19705</v>
      </c>
      <c r="L119" s="56">
        <v>19950</v>
      </c>
      <c r="M119" s="56"/>
      <c r="N119" s="56">
        <v>20000</v>
      </c>
      <c r="O119" s="56"/>
      <c r="P119" s="56">
        <v>20000</v>
      </c>
      <c r="Q119" s="56"/>
      <c r="R119" s="56">
        <v>20000</v>
      </c>
      <c r="S119" s="56"/>
      <c r="T119" s="56">
        <v>0</v>
      </c>
      <c r="U119" s="56"/>
      <c r="V119" s="56">
        <v>20000</v>
      </c>
      <c r="W119" s="56"/>
      <c r="X119" s="56">
        <v>18470.490000000002</v>
      </c>
      <c r="Y119" s="56"/>
      <c r="Z119" s="56">
        <v>20000</v>
      </c>
      <c r="AA119" s="56"/>
      <c r="AB119" s="56">
        <v>0</v>
      </c>
      <c r="AC119" s="56"/>
      <c r="AD119" s="56">
        <v>0</v>
      </c>
      <c r="AE119" s="56"/>
      <c r="AF119" s="56">
        <f t="shared" si="24"/>
        <v>20000</v>
      </c>
      <c r="AG119" s="56">
        <v>0</v>
      </c>
      <c r="AH119" s="56">
        <v>0</v>
      </c>
      <c r="AI119" s="56"/>
      <c r="AJ119" s="56">
        <f t="shared" si="27"/>
        <v>20000</v>
      </c>
      <c r="AK119" s="85"/>
      <c r="AL119" s="56">
        <v>0</v>
      </c>
      <c r="AM119" s="56"/>
      <c r="AN119" s="88">
        <v>18322.91</v>
      </c>
      <c r="AO119" s="88">
        <v>0</v>
      </c>
      <c r="AP119" s="88">
        <v>16344.94</v>
      </c>
      <c r="AQ119" s="56"/>
      <c r="AR119" s="56">
        <v>0</v>
      </c>
      <c r="AS119" s="56"/>
      <c r="AT119" s="56">
        <v>0</v>
      </c>
      <c r="AU119" s="56"/>
      <c r="AV119" s="56">
        <f t="shared" si="26"/>
        <v>16344.94</v>
      </c>
      <c r="AW119" s="56"/>
      <c r="AX119" s="56">
        <v>0</v>
      </c>
      <c r="AY119" s="56"/>
      <c r="AZ119" s="88">
        <v>20000</v>
      </c>
      <c r="BA119" s="56">
        <v>20000</v>
      </c>
      <c r="BB119" s="214"/>
      <c r="BC119" s="56"/>
      <c r="BD119" s="84">
        <f t="shared" si="23"/>
        <v>-1977.9699999999993</v>
      </c>
      <c r="BE119" s="56"/>
      <c r="BF119" s="56"/>
      <c r="BG119" s="56"/>
      <c r="BH119" s="72"/>
    </row>
    <row r="120" spans="1:62" ht="20.100000000000001" customHeight="1" outlineLevel="1">
      <c r="A120" s="77" t="s">
        <v>43</v>
      </c>
      <c r="B120" s="77" t="s">
        <v>237</v>
      </c>
      <c r="C120" s="77" t="str">
        <f t="shared" si="19"/>
        <v>AH·</v>
      </c>
      <c r="D120" s="78" t="s">
        <v>46</v>
      </c>
      <c r="E120" s="78" t="str">
        <f t="shared" si="14"/>
        <v>000</v>
      </c>
      <c r="F120" s="3">
        <v>689711</v>
      </c>
      <c r="G120" s="102" t="s">
        <v>523</v>
      </c>
      <c r="H120" s="87"/>
      <c r="I120" s="13">
        <v>7000</v>
      </c>
      <c r="J120" s="13">
        <v>7000</v>
      </c>
      <c r="L120" s="56">
        <v>7000</v>
      </c>
      <c r="M120" s="56"/>
      <c r="N120" s="56">
        <v>7000</v>
      </c>
      <c r="O120" s="56"/>
      <c r="P120" s="56">
        <v>7000</v>
      </c>
      <c r="Q120" s="56"/>
      <c r="R120" s="56">
        <v>7000</v>
      </c>
      <c r="S120" s="56"/>
      <c r="T120" s="56">
        <v>0</v>
      </c>
      <c r="U120" s="56"/>
      <c r="V120" s="56">
        <v>7000</v>
      </c>
      <c r="W120" s="56"/>
      <c r="X120" s="56">
        <v>7000</v>
      </c>
      <c r="Y120" s="56"/>
      <c r="Z120" s="56">
        <v>7000</v>
      </c>
      <c r="AA120" s="56"/>
      <c r="AB120" s="56">
        <v>0</v>
      </c>
      <c r="AC120" s="56"/>
      <c r="AD120" s="56">
        <v>0</v>
      </c>
      <c r="AE120" s="56"/>
      <c r="AF120" s="56">
        <f t="shared" si="24"/>
        <v>7000</v>
      </c>
      <c r="AG120" s="56">
        <v>0</v>
      </c>
      <c r="AH120" s="56">
        <v>0</v>
      </c>
      <c r="AI120" s="56"/>
      <c r="AJ120" s="56">
        <f t="shared" si="27"/>
        <v>7000</v>
      </c>
      <c r="AK120" s="85"/>
      <c r="AL120" s="56">
        <v>0</v>
      </c>
      <c r="AM120" s="56"/>
      <c r="AN120" s="88">
        <f>SUM(AI120:AM120)</f>
        <v>7000</v>
      </c>
      <c r="AO120" s="88">
        <v>0</v>
      </c>
      <c r="AP120" s="88">
        <v>7000</v>
      </c>
      <c r="AQ120" s="56"/>
      <c r="AR120" s="56">
        <v>0</v>
      </c>
      <c r="AS120" s="56"/>
      <c r="AT120" s="56">
        <v>0</v>
      </c>
      <c r="AU120" s="56"/>
      <c r="AV120" s="56">
        <f t="shared" si="26"/>
        <v>7000</v>
      </c>
      <c r="AW120" s="56"/>
      <c r="AX120" s="56">
        <v>0</v>
      </c>
      <c r="AY120" s="56"/>
      <c r="AZ120" s="88">
        <v>7000</v>
      </c>
      <c r="BA120" s="56">
        <v>7000</v>
      </c>
      <c r="BB120" s="214"/>
      <c r="BC120" s="56"/>
      <c r="BD120" s="84">
        <f t="shared" si="23"/>
        <v>0</v>
      </c>
      <c r="BE120" s="56"/>
      <c r="BF120" s="56"/>
      <c r="BG120" s="56"/>
      <c r="BH120" s="72"/>
    </row>
    <row r="121" spans="1:62" ht="20.100000000000001" customHeight="1" outlineLevel="1">
      <c r="A121" s="77" t="s">
        <v>43</v>
      </c>
      <c r="B121" s="77" t="s">
        <v>307</v>
      </c>
      <c r="C121" s="77" t="str">
        <f t="shared" si="19"/>
        <v>AH·</v>
      </c>
      <c r="D121" s="78" t="s">
        <v>46</v>
      </c>
      <c r="E121" s="78" t="str">
        <f t="shared" si="14"/>
        <v>000</v>
      </c>
      <c r="F121" s="3">
        <v>611121</v>
      </c>
      <c r="G121" s="102" t="s">
        <v>308</v>
      </c>
      <c r="H121" s="87"/>
      <c r="I121" s="13">
        <v>837750</v>
      </c>
      <c r="J121" s="13">
        <v>841944</v>
      </c>
      <c r="L121" s="56">
        <v>938104</v>
      </c>
      <c r="M121" s="56"/>
      <c r="N121" s="56">
        <v>1015452</v>
      </c>
      <c r="O121" s="56"/>
      <c r="P121" s="56">
        <v>1015452</v>
      </c>
      <c r="Q121" s="56"/>
      <c r="R121" s="56">
        <v>1037552</v>
      </c>
      <c r="S121" s="56"/>
      <c r="T121" s="56">
        <v>0</v>
      </c>
      <c r="U121" s="56"/>
      <c r="V121" s="56">
        <v>1037552</v>
      </c>
      <c r="W121" s="56"/>
      <c r="X121" s="56">
        <v>1065919.25</v>
      </c>
      <c r="Y121" s="56"/>
      <c r="Z121" s="56">
        <v>1114034</v>
      </c>
      <c r="AA121" s="56"/>
      <c r="AB121" s="56">
        <v>0</v>
      </c>
      <c r="AC121" s="56"/>
      <c r="AD121" s="56">
        <v>0</v>
      </c>
      <c r="AE121" s="56"/>
      <c r="AF121" s="56">
        <f t="shared" si="24"/>
        <v>1114034</v>
      </c>
      <c r="AG121" s="104">
        <v>74697</v>
      </c>
      <c r="AH121" s="56">
        <v>18750</v>
      </c>
      <c r="AI121" s="56"/>
      <c r="AJ121" s="56">
        <f t="shared" si="27"/>
        <v>1207481</v>
      </c>
      <c r="AK121" s="85"/>
      <c r="AL121" s="56">
        <v>0</v>
      </c>
      <c r="AM121" s="56"/>
      <c r="AN121" s="88">
        <v>1208087</v>
      </c>
      <c r="AO121" s="88">
        <v>0</v>
      </c>
      <c r="AP121" s="88">
        <v>1018313.12</v>
      </c>
      <c r="AQ121" s="56"/>
      <c r="AR121" s="56">
        <v>0</v>
      </c>
      <c r="AS121" s="56"/>
      <c r="AT121" s="56">
        <v>0</v>
      </c>
      <c r="AU121" s="56"/>
      <c r="AV121" s="56">
        <f t="shared" si="26"/>
        <v>1018313.12</v>
      </c>
      <c r="AW121" s="56"/>
      <c r="AX121" s="106">
        <v>-17608</v>
      </c>
      <c r="AY121" s="56"/>
      <c r="AZ121" s="88">
        <v>1027659</v>
      </c>
      <c r="BA121" s="56">
        <v>1030000</v>
      </c>
      <c r="BB121" s="214"/>
      <c r="BC121" s="56"/>
      <c r="BD121" s="84">
        <f t="shared" si="23"/>
        <v>-189773.88</v>
      </c>
      <c r="BE121" s="56"/>
      <c r="BF121" s="56"/>
      <c r="BG121" s="56"/>
      <c r="BH121" s="72">
        <v>1</v>
      </c>
    </row>
    <row r="122" spans="1:62" ht="20.100000000000001" customHeight="1" outlineLevel="1">
      <c r="A122" s="77" t="s">
        <v>43</v>
      </c>
      <c r="B122" s="77" t="s">
        <v>309</v>
      </c>
      <c r="C122" s="77" t="str">
        <f t="shared" si="19"/>
        <v>AH·</v>
      </c>
      <c r="D122" s="78" t="s">
        <v>46</v>
      </c>
      <c r="E122" s="78" t="str">
        <f t="shared" si="14"/>
        <v>000</v>
      </c>
      <c r="F122" s="3">
        <v>611123</v>
      </c>
      <c r="G122" s="102" t="s">
        <v>310</v>
      </c>
      <c r="H122" s="87"/>
      <c r="I122" s="13">
        <v>1358713</v>
      </c>
      <c r="J122" s="13">
        <v>1371120</v>
      </c>
      <c r="L122" s="56">
        <v>1599760</v>
      </c>
      <c r="M122" s="56"/>
      <c r="N122" s="56">
        <v>2100535</v>
      </c>
      <c r="O122" s="56"/>
      <c r="P122" s="56">
        <v>2100535</v>
      </c>
      <c r="Q122" s="56"/>
      <c r="R122" s="56">
        <v>1854200</v>
      </c>
      <c r="S122" s="56"/>
      <c r="T122" s="56">
        <v>0</v>
      </c>
      <c r="U122" s="56"/>
      <c r="V122" s="56">
        <v>1854200</v>
      </c>
      <c r="W122" s="56"/>
      <c r="X122" s="56">
        <v>1767554.07</v>
      </c>
      <c r="Y122" s="56"/>
      <c r="Z122" s="56">
        <f>1861923+65000</f>
        <v>1926923</v>
      </c>
      <c r="AA122" s="56"/>
      <c r="AB122" s="56">
        <v>0</v>
      </c>
      <c r="AC122" s="56"/>
      <c r="AD122" s="56">
        <v>0</v>
      </c>
      <c r="AE122" s="56"/>
      <c r="AF122" s="56">
        <f t="shared" si="24"/>
        <v>1926923</v>
      </c>
      <c r="AG122" s="104">
        <v>-180505</v>
      </c>
      <c r="AH122" s="56">
        <v>28750</v>
      </c>
      <c r="AI122" s="56"/>
      <c r="AJ122" s="56">
        <f t="shared" si="27"/>
        <v>1775168</v>
      </c>
      <c r="AK122" s="85"/>
      <c r="AL122" s="56">
        <v>0</v>
      </c>
      <c r="AM122" s="56"/>
      <c r="AN122" s="88">
        <v>1803649.91</v>
      </c>
      <c r="AO122" s="88">
        <v>0</v>
      </c>
      <c r="AP122" s="88">
        <v>1917813.75</v>
      </c>
      <c r="AQ122" s="56"/>
      <c r="AR122" s="56">
        <v>0</v>
      </c>
      <c r="AS122" s="56"/>
      <c r="AT122" s="56">
        <v>0</v>
      </c>
      <c r="AU122" s="56"/>
      <c r="AV122" s="56">
        <f t="shared" si="26"/>
        <v>1917813.75</v>
      </c>
      <c r="AW122" s="56"/>
      <c r="AX122" s="106">
        <v>23578</v>
      </c>
      <c r="AY122" s="56"/>
      <c r="AZ122" s="88">
        <v>1919083</v>
      </c>
      <c r="BA122" s="56">
        <v>1958107</v>
      </c>
      <c r="BB122" s="214"/>
      <c r="BC122" s="56"/>
      <c r="BD122" s="84">
        <f t="shared" si="23"/>
        <v>114163.84000000008</v>
      </c>
      <c r="BE122" s="56"/>
      <c r="BF122" s="56"/>
      <c r="BG122" s="56"/>
      <c r="BH122" s="72">
        <v>1</v>
      </c>
      <c r="BJ122">
        <v>1</v>
      </c>
    </row>
    <row r="123" spans="1:62" ht="20.100000000000001" customHeight="1" outlineLevel="1">
      <c r="A123" s="77" t="s">
        <v>43</v>
      </c>
      <c r="B123" s="77" t="s">
        <v>524</v>
      </c>
      <c r="C123" s="77" t="str">
        <f t="shared" si="19"/>
        <v>AH·</v>
      </c>
      <c r="D123" s="78" t="s">
        <v>46</v>
      </c>
      <c r="E123" s="78" t="str">
        <f t="shared" si="14"/>
        <v>000</v>
      </c>
      <c r="F123" s="3">
        <v>611411</v>
      </c>
      <c r="G123" s="102" t="s">
        <v>80</v>
      </c>
      <c r="H123" s="87"/>
      <c r="I123" s="13">
        <v>41093</v>
      </c>
      <c r="J123" s="13">
        <v>39582</v>
      </c>
      <c r="L123" s="56">
        <v>43418</v>
      </c>
      <c r="M123" s="56"/>
      <c r="N123" s="56">
        <v>44323</v>
      </c>
      <c r="O123" s="56"/>
      <c r="P123" s="56">
        <v>44323</v>
      </c>
      <c r="Q123" s="56"/>
      <c r="R123" s="56">
        <v>48283</v>
      </c>
      <c r="S123" s="56"/>
      <c r="T123" s="56">
        <v>0</v>
      </c>
      <c r="U123" s="56"/>
      <c r="V123" s="56">
        <v>48283</v>
      </c>
      <c r="W123" s="56"/>
      <c r="X123" s="56">
        <v>50524.93</v>
      </c>
      <c r="Y123" s="56"/>
      <c r="Z123" s="56">
        <v>45538</v>
      </c>
      <c r="AA123" s="56"/>
      <c r="AB123" s="56">
        <v>0</v>
      </c>
      <c r="AC123" s="56"/>
      <c r="AD123" s="56">
        <v>0</v>
      </c>
      <c r="AE123" s="56"/>
      <c r="AF123" s="56">
        <f t="shared" si="24"/>
        <v>45538</v>
      </c>
      <c r="AG123" s="104">
        <v>950</v>
      </c>
      <c r="AH123" s="56">
        <v>4500</v>
      </c>
      <c r="AI123" s="56"/>
      <c r="AJ123" s="56">
        <f t="shared" si="27"/>
        <v>50988</v>
      </c>
      <c r="AK123" s="85"/>
      <c r="AL123" s="56">
        <v>0</v>
      </c>
      <c r="AM123" s="56"/>
      <c r="AN123" s="88">
        <v>51789.31</v>
      </c>
      <c r="AO123" s="88">
        <v>0</v>
      </c>
      <c r="AP123" s="88">
        <v>47243.68</v>
      </c>
      <c r="AQ123" s="56"/>
      <c r="AR123" s="56">
        <v>0</v>
      </c>
      <c r="AS123" s="56"/>
      <c r="AT123" s="56">
        <v>0</v>
      </c>
      <c r="AU123" s="56"/>
      <c r="AV123" s="56">
        <f t="shared" si="26"/>
        <v>47243.68</v>
      </c>
      <c r="AW123" s="56"/>
      <c r="AX123" s="106">
        <v>2328</v>
      </c>
      <c r="AY123" s="56"/>
      <c r="AZ123" s="88">
        <v>48600</v>
      </c>
      <c r="BA123" s="56">
        <v>48600</v>
      </c>
      <c r="BB123" s="214"/>
      <c r="BC123" s="56"/>
      <c r="BD123" s="84">
        <f t="shared" si="23"/>
        <v>-4545.6299999999974</v>
      </c>
      <c r="BE123" s="56"/>
      <c r="BF123" s="56"/>
      <c r="BG123" s="56"/>
      <c r="BH123" s="72">
        <v>1</v>
      </c>
      <c r="BJ123">
        <v>1</v>
      </c>
    </row>
    <row r="124" spans="1:62" ht="20.100000000000001" customHeight="1" outlineLevel="1">
      <c r="A124" s="77" t="s">
        <v>43</v>
      </c>
      <c r="B124" s="77" t="s">
        <v>525</v>
      </c>
      <c r="C124" s="77" t="str">
        <f t="shared" si="19"/>
        <v>AH·</v>
      </c>
      <c r="D124" s="78" t="s">
        <v>46</v>
      </c>
      <c r="E124" s="78" t="str">
        <f t="shared" si="14"/>
        <v>000</v>
      </c>
      <c r="F124" s="3">
        <v>643011</v>
      </c>
      <c r="G124" s="102" t="s">
        <v>526</v>
      </c>
      <c r="H124" s="87"/>
      <c r="I124" s="13">
        <v>5556</v>
      </c>
      <c r="J124" s="13">
        <v>3354</v>
      </c>
      <c r="L124" s="56">
        <v>6194</v>
      </c>
      <c r="M124" s="56"/>
      <c r="N124" s="56">
        <v>4755</v>
      </c>
      <c r="O124" s="56"/>
      <c r="P124" s="56">
        <v>4755</v>
      </c>
      <c r="Q124" s="56"/>
      <c r="R124" s="56">
        <v>4755</v>
      </c>
      <c r="S124" s="56"/>
      <c r="T124" s="56">
        <v>0</v>
      </c>
      <c r="U124" s="56"/>
      <c r="V124" s="56">
        <v>4755</v>
      </c>
      <c r="W124" s="56"/>
      <c r="X124" s="56">
        <v>4437.46</v>
      </c>
      <c r="Y124" s="56"/>
      <c r="Z124" s="56">
        <v>4755</v>
      </c>
      <c r="AA124" s="56"/>
      <c r="AB124" s="56">
        <v>0</v>
      </c>
      <c r="AC124" s="56"/>
      <c r="AD124" s="56">
        <v>0</v>
      </c>
      <c r="AE124" s="56"/>
      <c r="AF124" s="56">
        <f t="shared" si="24"/>
        <v>4755</v>
      </c>
      <c r="AG124" s="56">
        <v>0</v>
      </c>
      <c r="AH124" s="56">
        <v>0</v>
      </c>
      <c r="AI124" s="56"/>
      <c r="AJ124" s="56">
        <f t="shared" si="27"/>
        <v>4755</v>
      </c>
      <c r="AK124" s="85"/>
      <c r="AL124" s="56">
        <v>0</v>
      </c>
      <c r="AM124" s="56"/>
      <c r="AN124" s="88">
        <v>4660.7700000000004</v>
      </c>
      <c r="AO124" s="88">
        <v>0</v>
      </c>
      <c r="AP124" s="88">
        <v>3823.23</v>
      </c>
      <c r="AQ124" s="56"/>
      <c r="AR124" s="56">
        <v>0</v>
      </c>
      <c r="AS124" s="56"/>
      <c r="AT124" s="56">
        <v>0</v>
      </c>
      <c r="AU124" s="56"/>
      <c r="AV124" s="56">
        <f t="shared" si="26"/>
        <v>3823.23</v>
      </c>
      <c r="AW124" s="56"/>
      <c r="AX124" s="56">
        <v>0</v>
      </c>
      <c r="AY124" s="56"/>
      <c r="AZ124" s="88">
        <v>4755</v>
      </c>
      <c r="BA124" s="56">
        <v>4755</v>
      </c>
      <c r="BB124" s="214"/>
      <c r="BC124" s="56"/>
      <c r="BD124" s="84">
        <f t="shared" si="23"/>
        <v>-837.54000000000042</v>
      </c>
      <c r="BE124" s="56"/>
      <c r="BF124" s="56"/>
      <c r="BG124" s="56"/>
      <c r="BH124" s="72"/>
    </row>
    <row r="125" spans="1:62" ht="20.100000000000001" customHeight="1" outlineLevel="1">
      <c r="A125" s="77" t="s">
        <v>43</v>
      </c>
      <c r="B125" s="77" t="s">
        <v>524</v>
      </c>
      <c r="C125" s="77" t="str">
        <f t="shared" si="19"/>
        <v>AH·</v>
      </c>
      <c r="D125" s="78" t="s">
        <v>46</v>
      </c>
      <c r="E125" s="78" t="str">
        <f t="shared" si="14"/>
        <v>000</v>
      </c>
      <c r="F125" s="3">
        <v>655011</v>
      </c>
      <c r="G125" s="102" t="s">
        <v>527</v>
      </c>
      <c r="H125" s="87"/>
      <c r="I125" s="13">
        <v>18256</v>
      </c>
      <c r="J125" s="13">
        <v>17329</v>
      </c>
      <c r="L125" s="56">
        <v>13615</v>
      </c>
      <c r="M125" s="56"/>
      <c r="N125" s="56">
        <v>16000</v>
      </c>
      <c r="O125" s="56"/>
      <c r="P125" s="56">
        <v>16000</v>
      </c>
      <c r="Q125" s="56"/>
      <c r="R125" s="56">
        <v>21000</v>
      </c>
      <c r="S125" s="56"/>
      <c r="T125" s="56">
        <v>0</v>
      </c>
      <c r="U125" s="56"/>
      <c r="V125" s="56">
        <v>21000</v>
      </c>
      <c r="W125" s="56"/>
      <c r="X125" s="56">
        <v>21717.86</v>
      </c>
      <c r="Y125" s="56"/>
      <c r="Z125" s="56">
        <v>24500</v>
      </c>
      <c r="AA125" s="56"/>
      <c r="AB125" s="56">
        <v>0</v>
      </c>
      <c r="AC125" s="56"/>
      <c r="AD125" s="56">
        <v>0</v>
      </c>
      <c r="AE125" s="56"/>
      <c r="AF125" s="56">
        <f t="shared" si="24"/>
        <v>24500</v>
      </c>
      <c r="AG125" s="56">
        <v>0</v>
      </c>
      <c r="AH125" s="56">
        <v>0</v>
      </c>
      <c r="AI125" s="56"/>
      <c r="AJ125" s="56">
        <f t="shared" si="27"/>
        <v>24500</v>
      </c>
      <c r="AK125" s="85"/>
      <c r="AL125" s="56">
        <v>0</v>
      </c>
      <c r="AM125" s="56"/>
      <c r="AN125" s="88">
        <v>19703.439999999999</v>
      </c>
      <c r="AO125" s="88">
        <v>0</v>
      </c>
      <c r="AP125" s="88">
        <v>23003.68</v>
      </c>
      <c r="AQ125" s="56"/>
      <c r="AR125" s="56">
        <v>0</v>
      </c>
      <c r="AS125" s="56"/>
      <c r="AT125" s="56">
        <v>2429.17</v>
      </c>
      <c r="AU125" s="56"/>
      <c r="AV125" s="56">
        <f t="shared" si="26"/>
        <v>25432.85</v>
      </c>
      <c r="AW125" s="56"/>
      <c r="AX125" s="56">
        <v>0</v>
      </c>
      <c r="AY125" s="56"/>
      <c r="AZ125" s="88">
        <v>23000</v>
      </c>
      <c r="BA125" s="56">
        <v>23000</v>
      </c>
      <c r="BB125" s="214"/>
      <c r="BC125" s="56"/>
      <c r="BD125" s="84">
        <f t="shared" si="23"/>
        <v>3300.2400000000016</v>
      </c>
      <c r="BE125" s="56"/>
      <c r="BF125" s="56"/>
      <c r="BG125" s="56"/>
      <c r="BH125" s="72"/>
    </row>
    <row r="126" spans="1:62" ht="20.100000000000001" customHeight="1" outlineLevel="1">
      <c r="A126" s="77" t="s">
        <v>43</v>
      </c>
      <c r="B126" s="77" t="s">
        <v>524</v>
      </c>
      <c r="C126" s="77" t="str">
        <f t="shared" si="19"/>
        <v>AH·</v>
      </c>
      <c r="D126" s="78" t="s">
        <v>46</v>
      </c>
      <c r="E126" s="78" t="str">
        <f t="shared" si="14"/>
        <v>000</v>
      </c>
      <c r="F126" s="3">
        <v>658211</v>
      </c>
      <c r="G126" s="102" t="s">
        <v>72</v>
      </c>
      <c r="H126" s="87"/>
      <c r="I126" s="13">
        <v>2832</v>
      </c>
      <c r="J126" s="13">
        <v>3151</v>
      </c>
      <c r="L126" s="56">
        <v>4497</v>
      </c>
      <c r="M126" s="56"/>
      <c r="N126" s="56">
        <v>4500</v>
      </c>
      <c r="O126" s="56"/>
      <c r="P126" s="56">
        <v>4500</v>
      </c>
      <c r="Q126" s="56"/>
      <c r="R126" s="56">
        <v>4500</v>
      </c>
      <c r="S126" s="56"/>
      <c r="T126" s="56">
        <v>0</v>
      </c>
      <c r="U126" s="56"/>
      <c r="V126" s="56">
        <v>4500</v>
      </c>
      <c r="W126" s="56"/>
      <c r="X126" s="56">
        <v>4127.6899999999996</v>
      </c>
      <c r="Y126" s="56"/>
      <c r="Z126" s="56">
        <v>4500</v>
      </c>
      <c r="AA126" s="56"/>
      <c r="AB126" s="56">
        <v>0</v>
      </c>
      <c r="AC126" s="56"/>
      <c r="AD126" s="56">
        <v>0</v>
      </c>
      <c r="AE126" s="56"/>
      <c r="AF126" s="56">
        <f t="shared" si="24"/>
        <v>4500</v>
      </c>
      <c r="AG126" s="56">
        <v>0</v>
      </c>
      <c r="AH126" s="56">
        <v>0</v>
      </c>
      <c r="AI126" s="56"/>
      <c r="AJ126" s="56">
        <f t="shared" si="27"/>
        <v>4500</v>
      </c>
      <c r="AK126" s="85"/>
      <c r="AL126" s="56">
        <v>0</v>
      </c>
      <c r="AM126" s="56"/>
      <c r="AN126" s="88">
        <v>3429.77</v>
      </c>
      <c r="AO126" s="88">
        <v>0</v>
      </c>
      <c r="AP126" s="88">
        <v>3207.3</v>
      </c>
      <c r="AQ126" s="56"/>
      <c r="AR126" s="56">
        <v>0</v>
      </c>
      <c r="AS126" s="56"/>
      <c r="AT126" s="56">
        <v>0</v>
      </c>
      <c r="AU126" s="56"/>
      <c r="AV126" s="56">
        <f t="shared" si="26"/>
        <v>3207.3</v>
      </c>
      <c r="AW126" s="56"/>
      <c r="AX126" s="56">
        <v>0</v>
      </c>
      <c r="AY126" s="56"/>
      <c r="AZ126" s="88">
        <v>3000</v>
      </c>
      <c r="BA126" s="56">
        <v>3000</v>
      </c>
      <c r="BB126" s="214"/>
      <c r="BC126" s="56"/>
      <c r="BD126" s="84">
        <f t="shared" si="23"/>
        <v>-222.4699999999998</v>
      </c>
      <c r="BE126" s="56"/>
      <c r="BF126" s="56"/>
      <c r="BG126" s="56"/>
      <c r="BH126" s="72"/>
    </row>
    <row r="127" spans="1:62" ht="20.100000000000001" customHeight="1" outlineLevel="1">
      <c r="A127" s="77" t="s">
        <v>43</v>
      </c>
      <c r="B127" s="77" t="s">
        <v>524</v>
      </c>
      <c r="C127" s="77" t="str">
        <f t="shared" si="19"/>
        <v>AH·</v>
      </c>
      <c r="D127" s="78" t="s">
        <v>46</v>
      </c>
      <c r="E127" s="78" t="str">
        <f t="shared" si="14"/>
        <v>000</v>
      </c>
      <c r="F127" s="3">
        <v>661001</v>
      </c>
      <c r="G127" s="102" t="s">
        <v>528</v>
      </c>
      <c r="H127" s="87"/>
      <c r="I127" s="13">
        <v>1127</v>
      </c>
      <c r="J127" s="13">
        <v>0</v>
      </c>
      <c r="L127" s="56">
        <v>7033</v>
      </c>
      <c r="M127" s="56"/>
      <c r="N127" s="56">
        <v>9000</v>
      </c>
      <c r="O127" s="56"/>
      <c r="P127" s="56">
        <v>9000</v>
      </c>
      <c r="Q127" s="56"/>
      <c r="R127" s="56">
        <v>14000</v>
      </c>
      <c r="S127" s="89"/>
      <c r="T127" s="56">
        <v>0</v>
      </c>
      <c r="U127" s="56"/>
      <c r="V127" s="56">
        <v>14000</v>
      </c>
      <c r="W127" s="56"/>
      <c r="X127" s="56">
        <v>12864.82</v>
      </c>
      <c r="Y127" s="56"/>
      <c r="Z127" s="56">
        <v>9000</v>
      </c>
      <c r="AA127" s="56"/>
      <c r="AB127" s="56">
        <v>0</v>
      </c>
      <c r="AC127" s="56"/>
      <c r="AD127" s="56">
        <v>0</v>
      </c>
      <c r="AE127" s="56"/>
      <c r="AF127" s="56">
        <f t="shared" si="24"/>
        <v>9000</v>
      </c>
      <c r="AG127" s="56">
        <v>0</v>
      </c>
      <c r="AH127" s="56">
        <v>0</v>
      </c>
      <c r="AI127" s="56"/>
      <c r="AJ127" s="56">
        <f t="shared" si="27"/>
        <v>9000</v>
      </c>
      <c r="AK127" s="85"/>
      <c r="AL127" s="56">
        <v>11575</v>
      </c>
      <c r="AM127" s="56"/>
      <c r="AN127" s="88">
        <v>19199.63</v>
      </c>
      <c r="AO127" s="88">
        <v>0</v>
      </c>
      <c r="AP127" s="88">
        <v>14978.57</v>
      </c>
      <c r="AQ127" s="56"/>
      <c r="AR127" s="56">
        <v>0</v>
      </c>
      <c r="AS127" s="56"/>
      <c r="AT127" s="56">
        <v>0</v>
      </c>
      <c r="AU127" s="56"/>
      <c r="AV127" s="56">
        <f t="shared" si="26"/>
        <v>14978.57</v>
      </c>
      <c r="AW127" s="56"/>
      <c r="AX127" s="89">
        <v>4500</v>
      </c>
      <c r="AY127" s="56"/>
      <c r="AZ127" s="88">
        <v>3000</v>
      </c>
      <c r="BA127" s="56">
        <v>3000</v>
      </c>
      <c r="BB127" s="214"/>
      <c r="BC127" s="56"/>
      <c r="BD127" s="84">
        <f t="shared" si="23"/>
        <v>-4221.0600000000013</v>
      </c>
      <c r="BE127" s="56"/>
      <c r="BF127" s="56"/>
      <c r="BG127" s="56"/>
      <c r="BH127" s="72"/>
    </row>
    <row r="128" spans="1:62" ht="20.100000000000001" customHeight="1" outlineLevel="1">
      <c r="A128" s="77" t="s">
        <v>43</v>
      </c>
      <c r="B128" s="77" t="s">
        <v>524</v>
      </c>
      <c r="C128" s="77" t="str">
        <f t="shared" si="19"/>
        <v>AH·</v>
      </c>
      <c r="D128" s="78" t="s">
        <v>46</v>
      </c>
      <c r="E128" s="78" t="str">
        <f t="shared" si="14"/>
        <v>000</v>
      </c>
      <c r="F128" s="3">
        <v>673001</v>
      </c>
      <c r="G128" s="102" t="s">
        <v>529</v>
      </c>
      <c r="H128" s="87"/>
      <c r="I128" s="13">
        <v>0</v>
      </c>
      <c r="J128" s="13">
        <v>11271</v>
      </c>
      <c r="L128" s="56">
        <v>12660</v>
      </c>
      <c r="M128" s="56"/>
      <c r="N128" s="56">
        <v>11575</v>
      </c>
      <c r="O128" s="56"/>
      <c r="P128" s="56">
        <v>11575</v>
      </c>
      <c r="Q128" s="56"/>
      <c r="R128" s="56">
        <v>11575</v>
      </c>
      <c r="S128" s="56"/>
      <c r="T128" s="56">
        <v>0</v>
      </c>
      <c r="U128" s="56"/>
      <c r="V128" s="56">
        <v>11575</v>
      </c>
      <c r="W128" s="56"/>
      <c r="X128" s="56">
        <v>16133.21</v>
      </c>
      <c r="Y128" s="56"/>
      <c r="Z128" s="56">
        <v>11575</v>
      </c>
      <c r="AA128" s="56"/>
      <c r="AB128" s="56">
        <v>0</v>
      </c>
      <c r="AC128" s="56"/>
      <c r="AD128" s="56">
        <v>0</v>
      </c>
      <c r="AE128" s="56"/>
      <c r="AF128" s="56">
        <f t="shared" si="24"/>
        <v>11575</v>
      </c>
      <c r="AG128" s="56">
        <v>0</v>
      </c>
      <c r="AH128" s="56">
        <v>0</v>
      </c>
      <c r="AI128" s="56"/>
      <c r="AJ128" s="56">
        <f t="shared" si="27"/>
        <v>11575</v>
      </c>
      <c r="AK128" s="85"/>
      <c r="AL128" s="56">
        <v>-11575</v>
      </c>
      <c r="AM128" s="56"/>
      <c r="AN128" s="88">
        <f>SUM(AI128:AM128)</f>
        <v>0</v>
      </c>
      <c r="AO128" s="88">
        <v>0</v>
      </c>
      <c r="AP128" s="88">
        <v>0</v>
      </c>
      <c r="AQ128" s="56"/>
      <c r="AR128" s="56">
        <v>0</v>
      </c>
      <c r="AS128" s="56"/>
      <c r="AT128" s="56">
        <v>0</v>
      </c>
      <c r="AU128" s="56"/>
      <c r="AV128" s="56">
        <f t="shared" si="26"/>
        <v>0</v>
      </c>
      <c r="AW128" s="56"/>
      <c r="AX128" s="56">
        <v>0</v>
      </c>
      <c r="AY128" s="56"/>
      <c r="AZ128" s="88">
        <v>0</v>
      </c>
      <c r="BA128" s="56">
        <v>0</v>
      </c>
      <c r="BB128" s="214"/>
      <c r="BC128" s="56"/>
      <c r="BD128" s="84">
        <f t="shared" si="23"/>
        <v>0</v>
      </c>
      <c r="BE128" s="56"/>
      <c r="BF128" s="56"/>
      <c r="BG128" s="56"/>
      <c r="BH128" s="72"/>
    </row>
    <row r="129" spans="1:62" ht="20.100000000000001" customHeight="1" outlineLevel="1">
      <c r="A129" s="77" t="s">
        <v>43</v>
      </c>
      <c r="B129" s="77" t="s">
        <v>530</v>
      </c>
      <c r="C129" s="77" t="str">
        <f t="shared" si="19"/>
        <v>AH·</v>
      </c>
      <c r="D129" s="78" t="s">
        <v>46</v>
      </c>
      <c r="E129" s="78" t="str">
        <f t="shared" si="14"/>
        <v>000</v>
      </c>
      <c r="F129" s="3">
        <v>611124</v>
      </c>
      <c r="G129" s="102" t="s">
        <v>531</v>
      </c>
      <c r="H129" s="87"/>
      <c r="I129" s="13">
        <v>65983</v>
      </c>
      <c r="J129" s="13">
        <v>66600</v>
      </c>
      <c r="L129" s="56">
        <v>72408</v>
      </c>
      <c r="M129" s="56"/>
      <c r="N129" s="56">
        <v>80153</v>
      </c>
      <c r="O129" s="56"/>
      <c r="P129" s="56">
        <v>80153</v>
      </c>
      <c r="Q129" s="56"/>
      <c r="R129" s="56">
        <v>81853</v>
      </c>
      <c r="S129" s="56"/>
      <c r="T129" s="56">
        <v>0</v>
      </c>
      <c r="U129" s="56"/>
      <c r="V129" s="56">
        <v>81853</v>
      </c>
      <c r="W129" s="56"/>
      <c r="X129" s="56">
        <v>81853</v>
      </c>
      <c r="Y129" s="56"/>
      <c r="Z129" s="56">
        <v>81670</v>
      </c>
      <c r="AA129" s="56"/>
      <c r="AB129" s="56">
        <v>0</v>
      </c>
      <c r="AC129" s="56"/>
      <c r="AD129" s="56">
        <v>0</v>
      </c>
      <c r="AE129" s="56"/>
      <c r="AF129" s="56">
        <f t="shared" si="24"/>
        <v>81670</v>
      </c>
      <c r="AG129" s="56">
        <v>0</v>
      </c>
      <c r="AH129" s="56">
        <v>1250</v>
      </c>
      <c r="AI129" s="56"/>
      <c r="AJ129" s="56">
        <f t="shared" si="27"/>
        <v>82920</v>
      </c>
      <c r="AK129" s="85"/>
      <c r="AL129" s="56">
        <v>0</v>
      </c>
      <c r="AM129" s="56"/>
      <c r="AN129" s="88">
        <v>82920</v>
      </c>
      <c r="AO129" s="88">
        <v>0</v>
      </c>
      <c r="AP129" s="88">
        <v>81670</v>
      </c>
      <c r="AQ129" s="56"/>
      <c r="AR129" s="56">
        <v>0</v>
      </c>
      <c r="AS129" s="56"/>
      <c r="AT129" s="56">
        <v>0</v>
      </c>
      <c r="AU129" s="56"/>
      <c r="AV129" s="56">
        <f t="shared" si="26"/>
        <v>81670</v>
      </c>
      <c r="AW129" s="56"/>
      <c r="AX129" s="56">
        <v>0</v>
      </c>
      <c r="AY129" s="56"/>
      <c r="AZ129" s="88">
        <v>81670</v>
      </c>
      <c r="BA129" s="56">
        <v>81670</v>
      </c>
      <c r="BB129" s="214"/>
      <c r="BC129" s="56"/>
      <c r="BD129" s="84">
        <f t="shared" si="23"/>
        <v>-1250</v>
      </c>
      <c r="BE129" s="56"/>
      <c r="BF129" s="56"/>
      <c r="BG129" s="56"/>
      <c r="BH129" s="72">
        <v>1</v>
      </c>
      <c r="BJ129">
        <v>1</v>
      </c>
    </row>
    <row r="130" spans="1:62" ht="20.100000000000001" customHeight="1" outlineLevel="1">
      <c r="A130" s="77" t="s">
        <v>43</v>
      </c>
      <c r="B130" s="77" t="s">
        <v>532</v>
      </c>
      <c r="C130" s="77" t="str">
        <f t="shared" si="19"/>
        <v>AH·</v>
      </c>
      <c r="D130" s="78" t="s">
        <v>46</v>
      </c>
      <c r="E130" s="78" t="str">
        <f t="shared" si="14"/>
        <v>000</v>
      </c>
      <c r="F130" s="3">
        <v>611941</v>
      </c>
      <c r="G130" s="102" t="s">
        <v>231</v>
      </c>
      <c r="H130" s="87"/>
      <c r="I130" s="13">
        <v>2700</v>
      </c>
      <c r="J130" s="13">
        <v>2530</v>
      </c>
      <c r="L130" s="56">
        <v>3700</v>
      </c>
      <c r="M130" s="56"/>
      <c r="N130" s="56">
        <v>3700</v>
      </c>
      <c r="O130" s="56"/>
      <c r="P130" s="56">
        <v>3700</v>
      </c>
      <c r="Q130" s="56"/>
      <c r="R130" s="56">
        <v>3700</v>
      </c>
      <c r="S130" s="56"/>
      <c r="T130" s="56">
        <v>0</v>
      </c>
      <c r="U130" s="56"/>
      <c r="V130" s="56">
        <v>3700</v>
      </c>
      <c r="W130" s="56"/>
      <c r="X130" s="56">
        <v>3700</v>
      </c>
      <c r="Y130" s="56"/>
      <c r="Z130" s="56">
        <v>5200</v>
      </c>
      <c r="AA130" s="56"/>
      <c r="AB130" s="56">
        <v>0</v>
      </c>
      <c r="AC130" s="56"/>
      <c r="AD130" s="56">
        <v>0</v>
      </c>
      <c r="AE130" s="56"/>
      <c r="AF130" s="56">
        <f t="shared" si="24"/>
        <v>5200</v>
      </c>
      <c r="AG130" s="56">
        <v>0</v>
      </c>
      <c r="AH130" s="56">
        <v>0</v>
      </c>
      <c r="AI130" s="56"/>
      <c r="AJ130" s="56">
        <f t="shared" si="27"/>
        <v>5200</v>
      </c>
      <c r="AK130" s="85"/>
      <c r="AL130" s="56">
        <v>0</v>
      </c>
      <c r="AM130" s="56"/>
      <c r="AN130" s="88">
        <v>4300</v>
      </c>
      <c r="AO130" s="88">
        <v>0</v>
      </c>
      <c r="AP130" s="88">
        <v>3500</v>
      </c>
      <c r="AQ130" s="56"/>
      <c r="AR130" s="56">
        <v>0</v>
      </c>
      <c r="AS130" s="56"/>
      <c r="AT130" s="56">
        <v>0</v>
      </c>
      <c r="AU130" s="56"/>
      <c r="AV130" s="56">
        <f t="shared" si="26"/>
        <v>3500</v>
      </c>
      <c r="AW130" s="56"/>
      <c r="AX130" s="56">
        <v>0</v>
      </c>
      <c r="AY130" s="56"/>
      <c r="AZ130" s="88">
        <v>1200</v>
      </c>
      <c r="BA130" s="56">
        <v>5200</v>
      </c>
      <c r="BB130" s="214"/>
      <c r="BC130" s="56"/>
      <c r="BD130" s="84">
        <f t="shared" si="23"/>
        <v>-800</v>
      </c>
      <c r="BE130" s="56"/>
      <c r="BF130" s="56"/>
      <c r="BG130" s="56"/>
      <c r="BH130" s="72">
        <v>1</v>
      </c>
      <c r="BJ130">
        <v>1</v>
      </c>
    </row>
    <row r="131" spans="1:62" ht="20.100000000000001" customHeight="1" outlineLevel="1">
      <c r="A131" s="77" t="s">
        <v>43</v>
      </c>
      <c r="B131" s="77" t="s">
        <v>533</v>
      </c>
      <c r="C131" s="77" t="str">
        <f t="shared" si="19"/>
        <v>AH·</v>
      </c>
      <c r="D131" s="78" t="s">
        <v>46</v>
      </c>
      <c r="E131" s="78" t="str">
        <f t="shared" si="14"/>
        <v>000</v>
      </c>
      <c r="F131" s="3">
        <v>633525</v>
      </c>
      <c r="G131" s="102" t="s">
        <v>534</v>
      </c>
      <c r="H131" s="87"/>
      <c r="I131" s="13">
        <v>4491</v>
      </c>
      <c r="J131" s="13">
        <v>4070</v>
      </c>
      <c r="L131" s="56">
        <v>4620</v>
      </c>
      <c r="M131" s="56"/>
      <c r="N131" s="56">
        <v>6000</v>
      </c>
      <c r="O131" s="56"/>
      <c r="P131" s="56">
        <v>6000</v>
      </c>
      <c r="Q131" s="56"/>
      <c r="R131" s="56">
        <v>8290</v>
      </c>
      <c r="S131" s="56"/>
      <c r="T131" s="56">
        <v>2500</v>
      </c>
      <c r="U131" s="56"/>
      <c r="V131" s="56">
        <v>10790</v>
      </c>
      <c r="W131" s="56"/>
      <c r="X131" s="56">
        <v>8284</v>
      </c>
      <c r="Y131" s="56"/>
      <c r="Z131" s="56">
        <v>10000</v>
      </c>
      <c r="AA131" s="56"/>
      <c r="AB131" s="56">
        <v>0</v>
      </c>
      <c r="AC131" s="56"/>
      <c r="AD131" s="56">
        <v>0</v>
      </c>
      <c r="AE131" s="56"/>
      <c r="AF131" s="56">
        <f t="shared" si="24"/>
        <v>10000</v>
      </c>
      <c r="AG131" s="56">
        <v>0</v>
      </c>
      <c r="AH131" s="56">
        <v>0</v>
      </c>
      <c r="AI131" s="56"/>
      <c r="AJ131" s="56">
        <f t="shared" si="27"/>
        <v>10000</v>
      </c>
      <c r="AK131" s="85"/>
      <c r="AL131" s="56">
        <v>0</v>
      </c>
      <c r="AM131" s="56"/>
      <c r="AN131" s="88">
        <v>6160</v>
      </c>
      <c r="AO131" s="88">
        <v>0</v>
      </c>
      <c r="AP131" s="88">
        <v>5475</v>
      </c>
      <c r="AQ131" s="56"/>
      <c r="AR131" s="56">
        <v>0</v>
      </c>
      <c r="AS131" s="56"/>
      <c r="AT131" s="56">
        <v>0</v>
      </c>
      <c r="AU131" s="56"/>
      <c r="AV131" s="56">
        <f t="shared" si="26"/>
        <v>5475</v>
      </c>
      <c r="AW131" s="56"/>
      <c r="AX131" s="56">
        <v>0</v>
      </c>
      <c r="AY131" s="56"/>
      <c r="AZ131" s="88">
        <v>10000</v>
      </c>
      <c r="BA131" s="56">
        <v>10000</v>
      </c>
      <c r="BB131" s="214"/>
      <c r="BC131" s="56"/>
      <c r="BD131" s="84">
        <f t="shared" si="23"/>
        <v>-685</v>
      </c>
      <c r="BE131" s="56"/>
      <c r="BF131" s="56"/>
      <c r="BG131" s="56"/>
      <c r="BH131" s="72"/>
    </row>
    <row r="132" spans="1:62" ht="20.100000000000001" customHeight="1">
      <c r="B132" s="77"/>
      <c r="C132" s="77"/>
      <c r="D132" s="90"/>
      <c r="E132" s="90"/>
      <c r="F132" s="3"/>
      <c r="G132" s="110" t="s">
        <v>535</v>
      </c>
      <c r="H132" s="81"/>
      <c r="I132" s="92">
        <v>28914000</v>
      </c>
      <c r="J132" s="93">
        <v>29237364</v>
      </c>
      <c r="L132" s="125">
        <v>32357092</v>
      </c>
      <c r="M132" s="126"/>
      <c r="N132" s="125">
        <v>34543559</v>
      </c>
      <c r="O132" s="126"/>
      <c r="P132" s="151">
        <v>34754176</v>
      </c>
      <c r="Q132" s="126"/>
      <c r="R132" s="151">
        <v>35833963</v>
      </c>
      <c r="S132" s="95"/>
      <c r="T132" s="94">
        <v>0</v>
      </c>
      <c r="U132" s="126"/>
      <c r="V132" s="94">
        <v>35833963</v>
      </c>
      <c r="W132" s="126"/>
      <c r="X132" s="125">
        <f>SUBTOTAL(9,X11:X131)</f>
        <v>35367814.88000001</v>
      </c>
      <c r="Y132" s="126"/>
      <c r="Z132" s="94">
        <f>SUBTOTAL(9,Z11:Z131)</f>
        <v>35969538</v>
      </c>
      <c r="AA132" s="126"/>
      <c r="AB132" s="94">
        <f>SUBTOTAL(9,AB11:AB131)</f>
        <v>0</v>
      </c>
      <c r="AC132" s="126"/>
      <c r="AD132" s="94">
        <f>SUBTOTAL(9,AD11:AD131)</f>
        <v>26259</v>
      </c>
      <c r="AE132" s="126"/>
      <c r="AF132" s="151">
        <f>SUBTOTAL(9,AF11:AF131)</f>
        <v>35995797</v>
      </c>
      <c r="AG132" s="94">
        <f>SUBTOTAL(9,AG11:AG131)</f>
        <v>1314516.1000000001</v>
      </c>
      <c r="AH132" s="94">
        <f>SUBTOTAL(9,AH11:AH131)</f>
        <v>972750</v>
      </c>
      <c r="AI132" s="126"/>
      <c r="AJ132" s="151">
        <f>SUBTOTAL(9,AJ11:AJ131)</f>
        <v>38283063.100000001</v>
      </c>
      <c r="AK132" s="115"/>
      <c r="AL132" s="94">
        <f>SUBTOTAL(9,AL11:AL131)</f>
        <v>0</v>
      </c>
      <c r="AM132" s="126"/>
      <c r="AN132" s="152">
        <f>SUBTOTAL(9,AN11:AN131)</f>
        <v>38127833.080000006</v>
      </c>
      <c r="AO132" s="152">
        <f>SUBTOTAL(9,AO11:AO131)</f>
        <v>0</v>
      </c>
      <c r="AP132" s="152">
        <f>SUBTOTAL(9,AP11:AP131)</f>
        <v>37251613.599999994</v>
      </c>
      <c r="AQ132" s="126"/>
      <c r="AR132" s="94">
        <f>SUBTOTAL(9,AR11:AR131)</f>
        <v>-1000</v>
      </c>
      <c r="AS132" s="126"/>
      <c r="AT132" s="94">
        <f>SUBTOTAL(9,AT11:AT131)</f>
        <v>35908.429999999993</v>
      </c>
      <c r="AU132" s="126"/>
      <c r="AV132" s="151">
        <f>SUBTOTAL(9,AV11:AV131)</f>
        <v>37270689.809999995</v>
      </c>
      <c r="AW132" s="146"/>
      <c r="AX132" s="151">
        <f>SUBTOTAL(9,AX11:AX131)</f>
        <v>914227</v>
      </c>
      <c r="AY132" s="146"/>
      <c r="AZ132" s="152">
        <f>SUBTOTAL(9,AZ11:AZ131)</f>
        <v>34909484</v>
      </c>
      <c r="BA132" s="151">
        <f>SUBTOTAL(9,BA11:BA131)</f>
        <v>35547219</v>
      </c>
      <c r="BB132" s="214"/>
      <c r="BC132" s="56"/>
      <c r="BD132" s="98">
        <f t="shared" si="23"/>
        <v>-876219.48000001162</v>
      </c>
      <c r="BE132" s="146"/>
      <c r="BF132" s="146"/>
      <c r="BG132" s="146"/>
      <c r="BH132" s="19"/>
    </row>
  </sheetData>
  <autoFilter ref="A9:BH131"/>
  <mergeCells count="8">
    <mergeCell ref="A6:F6"/>
    <mergeCell ref="A7:F7"/>
    <mergeCell ref="AB5:AD5"/>
    <mergeCell ref="A8:E8"/>
    <mergeCell ref="AG2:AH2"/>
    <mergeCell ref="AG3:AH3"/>
    <mergeCell ref="AG4:AH4"/>
    <mergeCell ref="AB4:AD4"/>
  </mergeCells>
  <phoneticPr fontId="3" type="noConversion"/>
  <conditionalFormatting sqref="F1:F1048576">
    <cfRule type="cellIs" dxfId="29" priority="1" stopIfTrue="1" operator="between">
      <formula>610000</formula>
      <formula>619999</formula>
    </cfRule>
  </conditionalFormatting>
  <pageMargins left="0.54" right="0.25" top="0.24" bottom="0.49" header="0.25" footer="0"/>
  <pageSetup scale="76" fitToHeight="0" orientation="landscape" r:id="rId1"/>
  <headerFooter alignWithMargins="0">
    <oddFooter>&amp;C&amp;8Detail of Expenditures Budget By Department, Page &amp;P of &amp;N</oddFooter>
  </headerFooter>
  <legacyDrawing r:id="rId2"/>
</worksheet>
</file>

<file path=xl/worksheets/sheet9.xml><?xml version="1.0" encoding="utf-8"?>
<worksheet xmlns="http://schemas.openxmlformats.org/spreadsheetml/2006/main" xmlns:r="http://schemas.openxmlformats.org/officeDocument/2006/relationships">
  <sheetPr codeName="Sheet10" enableFormatConditionsCalculation="0">
    <tabColor indexed="17"/>
    <pageSetUpPr fitToPage="1"/>
  </sheetPr>
  <dimension ref="A1:BJ66"/>
  <sheetViews>
    <sheetView zoomScale="87" zoomScaleNormal="90" workbookViewId="0">
      <pane xSplit="8" ySplit="9" topLeftCell="AP10" activePane="bottomRight" state="frozen"/>
      <selection activeCell="G20" sqref="G20"/>
      <selection pane="topRight" activeCell="G20" sqref="G20"/>
      <selection pane="bottomLeft" activeCell="G20" sqref="G20"/>
      <selection pane="bottomRight"/>
    </sheetView>
  </sheetViews>
  <sheetFormatPr defaultRowHeight="12.75" outlineLevelRow="1" outlineLevelCol="1"/>
  <cols>
    <col min="1" max="1" width="7" style="39" customWidth="1" outlineLevel="1"/>
    <col min="2" max="2" width="6.140625" style="39" customWidth="1" outlineLevel="1"/>
    <col min="3" max="3" width="3.7109375" style="39" customWidth="1" outlineLevel="1"/>
    <col min="4" max="5" width="4.85546875" style="168" customWidth="1" outlineLevel="1"/>
    <col min="6" max="6" width="8.7109375" style="40" customWidth="1" outlineLevel="1"/>
    <col min="7" max="7" width="28.5703125" style="4" customWidth="1"/>
    <col min="8" max="8" width="16.5703125" style="4" hidden="1" customWidth="1"/>
    <col min="9" max="10" width="15.140625" style="4" hidden="1" customWidth="1" collapsed="1"/>
    <col min="11" max="11" width="39.5703125" style="4" hidden="1" customWidth="1"/>
    <col min="12" max="12" width="15.140625" style="7" bestFit="1" customWidth="1" collapsed="1"/>
    <col min="13" max="13" width="31.7109375" style="7" hidden="1" customWidth="1"/>
    <col min="14" max="14" width="35.5703125" style="7" hidden="1" customWidth="1" collapsed="1"/>
    <col min="15" max="15" width="0.140625" style="7" customWidth="1"/>
    <col min="16" max="16" width="25.28515625" style="7" hidden="1" customWidth="1" outlineLevel="1" collapsed="1"/>
    <col min="17" max="17" width="23.42578125" style="7" hidden="1" customWidth="1" outlineLevel="1"/>
    <col min="18" max="18" width="20.5703125" style="7" hidden="1" customWidth="1" outlineLevel="1" collapsed="1"/>
    <col min="19" max="19" width="18" style="7" hidden="1" customWidth="1" outlineLevel="1"/>
    <col min="20" max="20" width="19.5703125" style="7" hidden="1" customWidth="1" outlineLevel="1"/>
    <col min="21" max="21" width="18.42578125" style="7" hidden="1" customWidth="1" outlineLevel="1"/>
    <col min="22" max="22" width="13.140625" style="7" hidden="1" customWidth="1"/>
    <col min="23" max="23" width="14.140625" style="7" hidden="1" customWidth="1"/>
    <col min="24" max="24" width="14.5703125" style="7" customWidth="1" collapsed="1"/>
    <col min="25" max="25" width="0.85546875" style="7" hidden="1" customWidth="1"/>
    <col min="26" max="26" width="16.140625" style="7" hidden="1" customWidth="1"/>
    <col min="27" max="27" width="0.140625" style="7" hidden="1" customWidth="1"/>
    <col min="28" max="28" width="16.140625" style="7" hidden="1" customWidth="1" outlineLevel="1"/>
    <col min="29" max="29" width="0.42578125" style="7" hidden="1" customWidth="1" outlineLevel="1"/>
    <col min="30" max="30" width="17.85546875" style="7" hidden="1" customWidth="1" outlineLevel="1"/>
    <col min="31" max="31" width="0.42578125" style="7" hidden="1" customWidth="1" outlineLevel="1"/>
    <col min="32" max="32" width="16.140625" style="7" hidden="1" customWidth="1" collapsed="1"/>
    <col min="33" max="33" width="16" style="7" hidden="1" customWidth="1" outlineLevel="1"/>
    <col min="34" max="34" width="17" style="7" hidden="1" customWidth="1" outlineLevel="1"/>
    <col min="35" max="35" width="10.5703125" style="7" hidden="1" customWidth="1" outlineLevel="1"/>
    <col min="36" max="36" width="16.140625" style="7" hidden="1" customWidth="1" collapsed="1"/>
    <col min="37" max="37" width="0.7109375" style="7" hidden="1" customWidth="1"/>
    <col min="38" max="38" width="16.140625" style="7" hidden="1" customWidth="1" outlineLevel="1"/>
    <col min="39" max="39" width="4.140625" style="7" hidden="1" customWidth="1" outlineLevel="1"/>
    <col min="40" max="40" width="16.140625" style="17" customWidth="1" collapsed="1"/>
    <col min="41" max="41" width="16.140625" style="17" hidden="1" customWidth="1" collapsed="1"/>
    <col min="42" max="42" width="16.140625" style="17" customWidth="1" collapsed="1"/>
    <col min="43" max="43" width="0.7109375" style="7" hidden="1" customWidth="1" outlineLevel="1"/>
    <col min="44" max="44" width="22.140625" style="7" hidden="1" customWidth="1" outlineLevel="1"/>
    <col min="45" max="45" width="0.42578125" style="7" hidden="1" customWidth="1" outlineLevel="1"/>
    <col min="46" max="46" width="17.85546875" style="7" hidden="1" customWidth="1" outlineLevel="1"/>
    <col min="47" max="47" width="0.42578125" style="7" hidden="1" customWidth="1" outlineLevel="1"/>
    <col min="48" max="48" width="18" style="7" hidden="1" customWidth="1" collapsed="1"/>
    <col min="49" max="49" width="0.5703125" style="7" hidden="1" customWidth="1"/>
    <col min="50" max="50" width="18" style="7" hidden="1" customWidth="1"/>
    <col min="51" max="51" width="0.5703125" style="7" customWidth="1"/>
    <col min="52" max="52" width="16.140625" style="17" customWidth="1" collapsed="1"/>
    <col min="53" max="53" width="15.7109375" style="7" bestFit="1" customWidth="1"/>
    <col min="54" max="54" width="15.140625" style="7" customWidth="1"/>
    <col min="55" max="55" width="23.140625" style="7" customWidth="1"/>
    <col min="56" max="56" width="19.85546875" style="7" bestFit="1" customWidth="1"/>
    <col min="57" max="59" width="12.42578125" style="7" customWidth="1"/>
    <col min="60" max="60" width="3.85546875" style="76" customWidth="1"/>
    <col min="61" max="61" width="14.5703125" style="12" bestFit="1" customWidth="1"/>
  </cols>
  <sheetData>
    <row r="1" spans="1:61" ht="15">
      <c r="A1" s="1" t="s">
        <v>0</v>
      </c>
      <c r="B1" s="2"/>
      <c r="C1" s="2"/>
      <c r="D1" s="1"/>
      <c r="E1" s="1"/>
      <c r="F1" s="3"/>
      <c r="H1" s="5"/>
      <c r="I1" s="6"/>
      <c r="T1" s="8"/>
      <c r="Z1" s="9"/>
      <c r="AB1" s="9"/>
      <c r="AD1" s="9"/>
      <c r="AF1" s="9"/>
      <c r="AH1" s="10" t="e">
        <f>+#REF!</f>
        <v>#REF!</v>
      </c>
      <c r="AJ1" s="9"/>
      <c r="AK1" s="9"/>
      <c r="AN1" s="9"/>
      <c r="AO1" s="9"/>
      <c r="AP1" s="9"/>
      <c r="AR1" s="9"/>
      <c r="AT1" s="9"/>
      <c r="AV1" s="9"/>
      <c r="AW1" s="9"/>
      <c r="AX1" s="9"/>
      <c r="AY1" s="9"/>
      <c r="AZ1" s="9"/>
      <c r="BA1" s="9"/>
      <c r="BB1" s="9"/>
      <c r="BC1" s="9"/>
      <c r="BD1" s="9"/>
      <c r="BE1" s="9"/>
      <c r="BF1" s="9"/>
      <c r="BG1" s="9"/>
      <c r="BH1" s="11"/>
    </row>
    <row r="2" spans="1:61" ht="15">
      <c r="A2" s="1" t="s">
        <v>1053</v>
      </c>
      <c r="B2" s="2"/>
      <c r="C2" s="2"/>
      <c r="D2" s="1"/>
      <c r="E2" s="1"/>
      <c r="F2" s="3"/>
      <c r="H2" s="5"/>
      <c r="I2" s="13"/>
      <c r="J2" s="14"/>
      <c r="K2" s="14"/>
      <c r="L2" s="15"/>
      <c r="M2" s="15"/>
      <c r="N2" s="15"/>
      <c r="O2" s="15"/>
      <c r="P2" s="15"/>
      <c r="R2" s="15"/>
      <c r="T2" s="8"/>
      <c r="V2" s="15"/>
      <c r="X2" s="15"/>
      <c r="Z2" s="15"/>
      <c r="AB2" s="15"/>
      <c r="AD2" s="15"/>
      <c r="AF2" s="15"/>
      <c r="AG2" s="238" t="s">
        <v>1</v>
      </c>
      <c r="AH2" s="238"/>
      <c r="AI2" s="17"/>
      <c r="AJ2" s="18"/>
      <c r="AK2" s="15"/>
      <c r="AL2" s="10" t="e">
        <f>+#REF!</f>
        <v>#REF!</v>
      </c>
      <c r="AN2" s="18"/>
      <c r="AO2" s="18"/>
      <c r="AP2" s="18"/>
      <c r="AR2" s="15"/>
      <c r="AT2" s="15"/>
      <c r="AV2" s="15"/>
      <c r="AW2" s="15"/>
      <c r="AX2" s="15"/>
      <c r="AY2" s="15"/>
      <c r="AZ2" s="18"/>
      <c r="BA2" s="15"/>
      <c r="BB2" s="15"/>
      <c r="BC2" s="15"/>
      <c r="BD2" s="15"/>
      <c r="BE2" s="15"/>
      <c r="BF2" s="15"/>
      <c r="BG2" s="15"/>
      <c r="BH2" s="19"/>
    </row>
    <row r="3" spans="1:61">
      <c r="A3" s="20" t="str">
        <f>IF(G7=1,"DETAIL OF EXPENDITURES BUDGET BY DEPARTMENT WITH COMPARATIVE AMOUNTS", "SUMMARY OF EXPENDITURES BUDGET BY DEPARTMENT WITH COMPARATIVE AMOUNTS")</f>
        <v>DETAIL OF EXPENDITURES BUDGET BY DEPARTMENT WITH COMPARATIVE AMOUNTS</v>
      </c>
      <c r="B3" s="21"/>
      <c r="C3" s="21"/>
      <c r="D3" s="22"/>
      <c r="E3" s="22"/>
      <c r="F3" s="3"/>
      <c r="H3" s="5"/>
      <c r="I3" s="23"/>
      <c r="J3" s="15"/>
      <c r="L3" s="15"/>
      <c r="M3" s="10"/>
      <c r="N3" s="10"/>
      <c r="O3" s="10"/>
      <c r="P3" s="24"/>
      <c r="R3" s="24"/>
      <c r="V3" s="24"/>
      <c r="W3" s="24"/>
      <c r="X3" s="15"/>
      <c r="Y3" s="24"/>
      <c r="AA3" s="24"/>
      <c r="AB3" s="24" t="e">
        <f>+#REF!</f>
        <v>#REF!</v>
      </c>
      <c r="AC3" s="24"/>
      <c r="AD3" s="24" t="e">
        <f>+#REF!</f>
        <v>#REF!</v>
      </c>
      <c r="AE3" s="24"/>
      <c r="AF3" s="10" t="e">
        <f>+#REF!</f>
        <v>#REF!</v>
      </c>
      <c r="AG3" s="239" t="s">
        <v>2</v>
      </c>
      <c r="AH3" s="239"/>
      <c r="AI3" s="25"/>
      <c r="AJ3" s="25" t="e">
        <f>+#REF!</f>
        <v>#REF!</v>
      </c>
      <c r="AK3" s="24"/>
      <c r="AL3" s="16" t="s">
        <v>1</v>
      </c>
      <c r="AM3" s="25"/>
      <c r="AN3" s="25"/>
      <c r="AO3" s="25"/>
      <c r="AP3" s="25"/>
      <c r="AQ3" s="24"/>
      <c r="AR3" s="24" t="e">
        <f>+#REF!</f>
        <v>#REF!</v>
      </c>
      <c r="AS3" s="24"/>
      <c r="AT3" s="24" t="e">
        <f>+#REF!</f>
        <v>#REF!</v>
      </c>
      <c r="AU3" s="24"/>
      <c r="AV3" s="24" t="e">
        <f>+#REF!</f>
        <v>#REF!</v>
      </c>
      <c r="AW3" s="24"/>
      <c r="AX3" s="24" t="e">
        <f>+#REF!</f>
        <v>#REF!</v>
      </c>
      <c r="AY3" s="24"/>
      <c r="AZ3" s="25"/>
      <c r="BA3" s="24"/>
      <c r="BB3" s="24"/>
      <c r="BC3" s="24"/>
      <c r="BD3" s="26"/>
      <c r="BE3" s="26"/>
      <c r="BF3" s="26"/>
      <c r="BG3" s="26"/>
      <c r="BH3" s="27"/>
    </row>
    <row r="4" spans="1:61" ht="15">
      <c r="A4" s="28" t="s">
        <v>1070</v>
      </c>
      <c r="B4" s="29"/>
      <c r="C4" s="29"/>
      <c r="D4" s="28"/>
      <c r="E4" s="28"/>
      <c r="F4" s="3"/>
      <c r="H4" s="30"/>
      <c r="I4" s="31" t="e">
        <f>+#REF!</f>
        <v>#REF!</v>
      </c>
      <c r="J4" s="31" t="e">
        <f>+#REF!</f>
        <v>#REF!</v>
      </c>
      <c r="L4" s="31"/>
      <c r="M4" s="32"/>
      <c r="N4" s="33"/>
      <c r="O4" s="32"/>
      <c r="P4" s="33"/>
      <c r="R4" s="33"/>
      <c r="T4" s="33"/>
      <c r="X4" s="31"/>
      <c r="Z4" s="10"/>
      <c r="AB4" s="241"/>
      <c r="AC4" s="241"/>
      <c r="AD4" s="241"/>
      <c r="AE4" s="35"/>
      <c r="AF4" s="34"/>
      <c r="AG4" s="240"/>
      <c r="AH4" s="240"/>
      <c r="AI4" s="17"/>
      <c r="AJ4" s="16"/>
      <c r="AK4" s="24"/>
      <c r="AL4" s="16"/>
      <c r="AM4" s="17"/>
      <c r="AN4" s="31"/>
      <c r="AO4" s="31"/>
      <c r="AP4" s="31"/>
      <c r="AR4" s="34" t="s">
        <v>5</v>
      </c>
      <c r="AU4" s="35"/>
      <c r="AV4" s="34"/>
      <c r="AW4" s="34"/>
      <c r="AX4" s="34" t="s">
        <v>5</v>
      </c>
      <c r="AY4" s="34"/>
      <c r="AZ4" s="31"/>
      <c r="BA4" s="34"/>
      <c r="BB4" s="34"/>
      <c r="BC4" s="34"/>
      <c r="BD4" s="37"/>
      <c r="BE4" s="37"/>
      <c r="BF4" s="37"/>
      <c r="BG4" s="37"/>
      <c r="BH4" s="38"/>
    </row>
    <row r="5" spans="1:61" ht="15">
      <c r="B5" s="29"/>
      <c r="C5" s="29"/>
      <c r="D5" s="28"/>
      <c r="E5" s="28"/>
      <c r="G5" s="28"/>
      <c r="H5" s="5"/>
      <c r="I5" s="41" t="s">
        <v>6</v>
      </c>
      <c r="J5" s="42" t="s">
        <v>7</v>
      </c>
      <c r="L5" s="16" t="s">
        <v>8</v>
      </c>
      <c r="M5" s="16"/>
      <c r="N5" s="16" t="s">
        <v>9</v>
      </c>
      <c r="O5" s="16"/>
      <c r="P5" s="16" t="s">
        <v>9</v>
      </c>
      <c r="Q5" s="17"/>
      <c r="R5" s="43"/>
      <c r="S5" s="17"/>
      <c r="T5" s="16"/>
      <c r="U5" s="17"/>
      <c r="V5" s="16" t="s">
        <v>9</v>
      </c>
      <c r="X5" s="16" t="s">
        <v>9</v>
      </c>
      <c r="Z5" s="34" t="s">
        <v>1</v>
      </c>
      <c r="AB5" s="243" t="s">
        <v>10</v>
      </c>
      <c r="AC5" s="243"/>
      <c r="AD5" s="243"/>
      <c r="AE5" s="35"/>
      <c r="AF5" s="34" t="s">
        <v>1</v>
      </c>
      <c r="AG5" s="17"/>
      <c r="AH5" s="16" t="s">
        <v>11</v>
      </c>
      <c r="AI5" s="17"/>
      <c r="AJ5" s="16" t="s">
        <v>1</v>
      </c>
      <c r="AK5" s="24"/>
      <c r="AL5" s="43" t="s">
        <v>12</v>
      </c>
      <c r="AM5" s="17"/>
      <c r="AN5" s="16" t="s">
        <v>1</v>
      </c>
      <c r="AO5" s="45" t="s">
        <v>1</v>
      </c>
      <c r="AP5" s="46" t="s">
        <v>5</v>
      </c>
      <c r="AQ5" s="47"/>
      <c r="AR5" s="48" t="s">
        <v>10</v>
      </c>
      <c r="AS5" s="47"/>
      <c r="AT5" s="47"/>
      <c r="AU5" s="47"/>
      <c r="AV5" s="46" t="s">
        <v>5</v>
      </c>
      <c r="AW5" s="34"/>
      <c r="AX5" s="49" t="s">
        <v>3</v>
      </c>
      <c r="AY5" s="34"/>
      <c r="AZ5" s="46" t="s">
        <v>1054</v>
      </c>
      <c r="BA5" s="46" t="s">
        <v>1054</v>
      </c>
      <c r="BB5" s="34" t="s">
        <v>1069</v>
      </c>
      <c r="BC5" s="34"/>
      <c r="BD5" s="50" t="s">
        <v>13</v>
      </c>
      <c r="BE5" s="37"/>
      <c r="BF5" s="37"/>
      <c r="BG5" s="37"/>
      <c r="BH5" s="51"/>
    </row>
    <row r="6" spans="1:61">
      <c r="A6" s="242"/>
      <c r="B6" s="242"/>
      <c r="C6" s="242"/>
      <c r="D6" s="242"/>
      <c r="E6" s="242"/>
      <c r="F6" s="242"/>
      <c r="G6" s="22"/>
      <c r="H6" s="5"/>
      <c r="I6" s="52" t="s">
        <v>14</v>
      </c>
      <c r="J6" s="52" t="s">
        <v>14</v>
      </c>
      <c r="L6" s="43" t="s">
        <v>14</v>
      </c>
      <c r="M6" s="43"/>
      <c r="N6" s="43" t="s">
        <v>15</v>
      </c>
      <c r="O6" s="43"/>
      <c r="P6" s="43" t="s">
        <v>4</v>
      </c>
      <c r="Q6" s="17"/>
      <c r="R6" s="43" t="s">
        <v>4</v>
      </c>
      <c r="S6" s="43"/>
      <c r="T6" s="43" t="s">
        <v>16</v>
      </c>
      <c r="U6" s="43"/>
      <c r="V6" s="43" t="s">
        <v>4</v>
      </c>
      <c r="W6" s="43"/>
      <c r="X6" s="43" t="s">
        <v>14</v>
      </c>
      <c r="Y6" s="43"/>
      <c r="Z6" s="34" t="s">
        <v>17</v>
      </c>
      <c r="AA6" s="43"/>
      <c r="AB6" s="53" t="s">
        <v>16</v>
      </c>
      <c r="AC6" s="53"/>
      <c r="AD6" s="34"/>
      <c r="AE6" s="53"/>
      <c r="AF6" s="34" t="s">
        <v>17</v>
      </c>
      <c r="AG6" s="43" t="s">
        <v>16</v>
      </c>
      <c r="AH6" s="16" t="s">
        <v>18</v>
      </c>
      <c r="AI6" s="43"/>
      <c r="AJ6" s="16" t="s">
        <v>19</v>
      </c>
      <c r="AK6" s="24"/>
      <c r="AL6" s="43" t="s">
        <v>16</v>
      </c>
      <c r="AM6" s="43"/>
      <c r="AN6" s="43" t="s">
        <v>14</v>
      </c>
      <c r="AO6" s="45" t="s">
        <v>20</v>
      </c>
      <c r="AP6" s="43" t="s">
        <v>14</v>
      </c>
      <c r="AQ6" s="54"/>
      <c r="AR6" s="54" t="s">
        <v>16</v>
      </c>
      <c r="AS6" s="54"/>
      <c r="AT6" s="46"/>
      <c r="AU6" s="54"/>
      <c r="AV6" s="46" t="s">
        <v>19</v>
      </c>
      <c r="AW6" s="34"/>
      <c r="AX6" s="55" t="s">
        <v>16</v>
      </c>
      <c r="AY6" s="34"/>
      <c r="AZ6" s="54" t="s">
        <v>17</v>
      </c>
      <c r="BA6" s="46" t="s">
        <v>17</v>
      </c>
      <c r="BB6" s="34" t="s">
        <v>19</v>
      </c>
      <c r="BC6" s="56"/>
      <c r="BD6" s="50" t="s">
        <v>21</v>
      </c>
      <c r="BE6" s="37"/>
      <c r="BF6" s="37"/>
      <c r="BG6" s="37"/>
      <c r="BH6" s="57"/>
    </row>
    <row r="7" spans="1:61" ht="15">
      <c r="A7" s="237"/>
      <c r="B7" s="237"/>
      <c r="C7" s="237"/>
      <c r="D7" s="237"/>
      <c r="E7" s="237"/>
      <c r="F7" s="237"/>
      <c r="G7" s="59">
        <v>1</v>
      </c>
      <c r="H7" s="60"/>
      <c r="I7" s="52" t="s">
        <v>22</v>
      </c>
      <c r="J7" s="52" t="s">
        <v>22</v>
      </c>
      <c r="L7" s="43" t="s">
        <v>22</v>
      </c>
      <c r="M7" s="43"/>
      <c r="N7" s="43" t="s">
        <v>23</v>
      </c>
      <c r="O7" s="43"/>
      <c r="P7" s="43" t="s">
        <v>24</v>
      </c>
      <c r="Q7" s="43"/>
      <c r="R7" s="43" t="s">
        <v>24</v>
      </c>
      <c r="S7" s="43"/>
      <c r="T7" s="43" t="s">
        <v>25</v>
      </c>
      <c r="U7" s="43"/>
      <c r="V7" s="43" t="s">
        <v>24</v>
      </c>
      <c r="W7" s="43"/>
      <c r="X7" s="43" t="s">
        <v>22</v>
      </c>
      <c r="Y7" s="43"/>
      <c r="Z7" s="53" t="s">
        <v>15</v>
      </c>
      <c r="AA7" s="43"/>
      <c r="AB7" s="53" t="s">
        <v>26</v>
      </c>
      <c r="AC7" s="53"/>
      <c r="AD7" s="53"/>
      <c r="AE7" s="53"/>
      <c r="AF7" s="53" t="s">
        <v>4</v>
      </c>
      <c r="AG7" s="43" t="s">
        <v>26</v>
      </c>
      <c r="AH7" s="43" t="s">
        <v>27</v>
      </c>
      <c r="AI7" s="43"/>
      <c r="AJ7" s="43" t="s">
        <v>4</v>
      </c>
      <c r="AK7" s="24"/>
      <c r="AL7" s="43" t="s">
        <v>26</v>
      </c>
      <c r="AM7" s="43"/>
      <c r="AN7" s="43" t="s">
        <v>22</v>
      </c>
      <c r="AO7" s="61" t="s">
        <v>22</v>
      </c>
      <c r="AP7" s="43" t="s">
        <v>22</v>
      </c>
      <c r="AQ7" s="54"/>
      <c r="AR7" s="54" t="s">
        <v>26</v>
      </c>
      <c r="AS7" s="54"/>
      <c r="AT7" s="54"/>
      <c r="AU7" s="54"/>
      <c r="AV7" s="54" t="s">
        <v>4</v>
      </c>
      <c r="AW7" s="53"/>
      <c r="AX7" s="55" t="s">
        <v>26</v>
      </c>
      <c r="AY7" s="53"/>
      <c r="AZ7" s="54" t="s">
        <v>15</v>
      </c>
      <c r="BA7" s="54" t="s">
        <v>4</v>
      </c>
      <c r="BB7" s="34" t="s">
        <v>15</v>
      </c>
      <c r="BC7" s="56"/>
      <c r="BD7" s="50" t="s">
        <v>28</v>
      </c>
      <c r="BE7" s="62"/>
      <c r="BF7" s="62"/>
      <c r="BG7" s="62"/>
      <c r="BH7" s="57"/>
      <c r="BI7" s="63"/>
    </row>
    <row r="8" spans="1:61" ht="15">
      <c r="A8" s="237" t="s">
        <v>29</v>
      </c>
      <c r="B8" s="237"/>
      <c r="C8" s="237"/>
      <c r="D8" s="237"/>
      <c r="E8" s="237"/>
      <c r="F8" s="64" t="s">
        <v>30</v>
      </c>
      <c r="G8" s="64" t="s">
        <v>31</v>
      </c>
      <c r="H8" s="60"/>
      <c r="I8" s="65" t="s">
        <v>32</v>
      </c>
      <c r="J8" s="65" t="s">
        <v>32</v>
      </c>
      <c r="L8" s="66" t="s">
        <v>32</v>
      </c>
      <c r="M8" s="36"/>
      <c r="N8" s="36" t="s">
        <v>2</v>
      </c>
      <c r="O8" s="36"/>
      <c r="P8" s="36" t="s">
        <v>33</v>
      </c>
      <c r="Q8" s="36"/>
      <c r="R8" s="36" t="s">
        <v>34</v>
      </c>
      <c r="S8" s="36"/>
      <c r="T8" s="36" t="s">
        <v>35</v>
      </c>
      <c r="U8" s="36"/>
      <c r="V8" s="36" t="s">
        <v>36</v>
      </c>
      <c r="W8" s="36"/>
      <c r="X8" s="66" t="s">
        <v>32</v>
      </c>
      <c r="Y8" s="36"/>
      <c r="Z8" s="44" t="s">
        <v>24</v>
      </c>
      <c r="AA8" s="36"/>
      <c r="AB8" s="44" t="s">
        <v>35</v>
      </c>
      <c r="AC8" s="44"/>
      <c r="AD8" s="44" t="s">
        <v>37</v>
      </c>
      <c r="AE8" s="44"/>
      <c r="AF8" s="44" t="s">
        <v>38</v>
      </c>
      <c r="AG8" s="36" t="s">
        <v>35</v>
      </c>
      <c r="AH8" s="36" t="s">
        <v>39</v>
      </c>
      <c r="AI8" s="36"/>
      <c r="AJ8" s="36" t="s">
        <v>40</v>
      </c>
      <c r="AK8" s="24"/>
      <c r="AL8" s="36" t="s">
        <v>35</v>
      </c>
      <c r="AM8" s="36"/>
      <c r="AN8" s="36" t="s">
        <v>32</v>
      </c>
      <c r="AO8" s="67" t="s">
        <v>32</v>
      </c>
      <c r="AP8" s="36" t="s">
        <v>32</v>
      </c>
      <c r="AQ8" s="48"/>
      <c r="AR8" s="48" t="s">
        <v>35</v>
      </c>
      <c r="AS8" s="48"/>
      <c r="AT8" s="48" t="s">
        <v>37</v>
      </c>
      <c r="AU8" s="48"/>
      <c r="AV8" s="48" t="s">
        <v>38</v>
      </c>
      <c r="AW8" s="44"/>
      <c r="AX8" s="49" t="s">
        <v>35</v>
      </c>
      <c r="AY8" s="44"/>
      <c r="AZ8" s="48" t="s">
        <v>2</v>
      </c>
      <c r="BA8" s="48" t="s">
        <v>40</v>
      </c>
      <c r="BB8" s="44" t="s">
        <v>2</v>
      </c>
      <c r="BC8" s="56"/>
      <c r="BD8" s="50" t="s">
        <v>41</v>
      </c>
      <c r="BE8" s="68"/>
      <c r="BF8" s="68"/>
      <c r="BG8" s="68"/>
      <c r="BH8" s="69"/>
    </row>
    <row r="9" spans="1:61" ht="15">
      <c r="A9" s="58"/>
      <c r="B9" s="58"/>
      <c r="C9" s="58"/>
      <c r="D9" s="64"/>
      <c r="E9" s="64"/>
      <c r="F9" s="64"/>
      <c r="G9" s="70"/>
      <c r="H9" s="60"/>
      <c r="J9" s="71"/>
      <c r="AK9" s="24"/>
      <c r="BB9" s="34"/>
      <c r="BC9" s="56"/>
      <c r="BH9" s="72">
        <v>2</v>
      </c>
    </row>
    <row r="10" spans="1:61" ht="15" outlineLevel="1">
      <c r="A10" s="75" t="s">
        <v>1051</v>
      </c>
      <c r="B10" s="77"/>
      <c r="C10" s="77"/>
      <c r="D10" s="90"/>
      <c r="E10" s="90"/>
      <c r="F10" s="3"/>
      <c r="H10" s="87"/>
      <c r="L10" s="44"/>
      <c r="AK10" s="85"/>
      <c r="BB10" s="83"/>
      <c r="BC10" s="56"/>
    </row>
    <row r="11" spans="1:61" ht="18.95" customHeight="1" outlineLevel="1">
      <c r="A11" s="77" t="s">
        <v>43</v>
      </c>
      <c r="B11" s="77" t="s">
        <v>378</v>
      </c>
      <c r="C11" s="77" t="s">
        <v>1083</v>
      </c>
      <c r="D11" s="78" t="s">
        <v>46</v>
      </c>
      <c r="E11" s="78" t="str">
        <f>+D11</f>
        <v>000</v>
      </c>
      <c r="F11" s="3">
        <v>634031</v>
      </c>
      <c r="G11" s="102" t="s">
        <v>379</v>
      </c>
      <c r="H11" s="87"/>
      <c r="I11" s="82">
        <v>812</v>
      </c>
      <c r="J11" s="82">
        <v>510</v>
      </c>
      <c r="L11" s="83">
        <v>810</v>
      </c>
      <c r="M11" s="83"/>
      <c r="N11" s="83">
        <v>2000</v>
      </c>
      <c r="O11" s="83"/>
      <c r="P11" s="83">
        <v>2000</v>
      </c>
      <c r="Q11" s="83"/>
      <c r="R11" s="83">
        <v>2000</v>
      </c>
      <c r="S11" s="83"/>
      <c r="T11" s="83">
        <v>0</v>
      </c>
      <c r="U11" s="83"/>
      <c r="V11" s="83">
        <v>2000</v>
      </c>
      <c r="W11" s="83"/>
      <c r="X11" s="83">
        <v>1973.18</v>
      </c>
      <c r="Y11" s="83"/>
      <c r="Z11" s="84">
        <v>2000</v>
      </c>
      <c r="AA11" s="83"/>
      <c r="AB11" s="84"/>
      <c r="AC11" s="83"/>
      <c r="AD11" s="84"/>
      <c r="AE11" s="83"/>
      <c r="AF11" s="84">
        <f t="shared" ref="AF11:AF43" si="0">SUM(Z11:AE11)</f>
        <v>2000</v>
      </c>
      <c r="AG11" s="84">
        <v>0</v>
      </c>
      <c r="AH11" s="84">
        <v>0</v>
      </c>
      <c r="AI11" s="83"/>
      <c r="AJ11" s="84">
        <f t="shared" ref="AJ11:AJ43" si="1">SUM(AE11:AI11)</f>
        <v>2000</v>
      </c>
      <c r="AK11" s="85"/>
      <c r="AL11" s="84">
        <v>0</v>
      </c>
      <c r="AM11" s="83"/>
      <c r="AN11" s="86">
        <v>522.84</v>
      </c>
      <c r="AO11" s="86">
        <v>0</v>
      </c>
      <c r="AP11" s="86">
        <v>240</v>
      </c>
      <c r="AQ11" s="83"/>
      <c r="AR11" s="84">
        <v>0</v>
      </c>
      <c r="AS11" s="83"/>
      <c r="AT11" s="84">
        <v>0</v>
      </c>
      <c r="AU11" s="83"/>
      <c r="AV11" s="84">
        <f t="shared" ref="AV11:AV43" si="2">SUM(AP11:AU11)</f>
        <v>240</v>
      </c>
      <c r="AW11" s="84"/>
      <c r="AX11" s="84">
        <v>0</v>
      </c>
      <c r="AY11" s="84"/>
      <c r="AZ11" s="86">
        <v>2000</v>
      </c>
      <c r="BA11" s="84">
        <v>2000</v>
      </c>
      <c r="BB11" s="214"/>
      <c r="BC11" s="56"/>
      <c r="BD11" s="84">
        <f t="shared" ref="BD11:BD43" si="3">+AP11-AN11</f>
        <v>-282.84000000000003</v>
      </c>
      <c r="BE11" s="84"/>
      <c r="BF11" s="84"/>
      <c r="BG11" s="84"/>
      <c r="BH11" s="72"/>
    </row>
    <row r="12" spans="1:61" ht="18.95" customHeight="1" outlineLevel="1">
      <c r="A12" s="77" t="s">
        <v>43</v>
      </c>
      <c r="B12" s="77" t="s">
        <v>378</v>
      </c>
      <c r="C12" s="77" t="str">
        <f>+C11</f>
        <v>AI·</v>
      </c>
      <c r="D12" s="78" t="s">
        <v>46</v>
      </c>
      <c r="E12" s="78" t="str">
        <f t="shared" ref="E12:E64" si="4">+D12</f>
        <v>000</v>
      </c>
      <c r="F12" s="3">
        <v>658231</v>
      </c>
      <c r="G12" s="102" t="s">
        <v>380</v>
      </c>
      <c r="H12" s="87"/>
      <c r="I12" s="13">
        <v>9420</v>
      </c>
      <c r="J12" s="13">
        <v>10132</v>
      </c>
      <c r="L12" s="56">
        <v>8371</v>
      </c>
      <c r="M12" s="56"/>
      <c r="N12" s="56">
        <v>10000</v>
      </c>
      <c r="O12" s="56"/>
      <c r="P12" s="56">
        <v>10000</v>
      </c>
      <c r="Q12" s="56"/>
      <c r="R12" s="56">
        <v>13500</v>
      </c>
      <c r="S12" s="56"/>
      <c r="T12" s="56">
        <v>0</v>
      </c>
      <c r="U12" s="56"/>
      <c r="V12" s="56">
        <v>13500</v>
      </c>
      <c r="W12" s="56"/>
      <c r="X12" s="56">
        <v>11589.09</v>
      </c>
      <c r="Y12" s="56"/>
      <c r="Z12" s="56">
        <v>13500</v>
      </c>
      <c r="AA12" s="56"/>
      <c r="AB12" s="56"/>
      <c r="AC12" s="56"/>
      <c r="AD12" s="56"/>
      <c r="AE12" s="56"/>
      <c r="AF12" s="56">
        <f t="shared" si="0"/>
        <v>13500</v>
      </c>
      <c r="AG12" s="56">
        <v>0</v>
      </c>
      <c r="AH12" s="56">
        <v>0</v>
      </c>
      <c r="AI12" s="56"/>
      <c r="AJ12" s="56">
        <f t="shared" si="1"/>
        <v>13500</v>
      </c>
      <c r="AK12" s="85"/>
      <c r="AL12" s="56">
        <v>0</v>
      </c>
      <c r="AM12" s="56"/>
      <c r="AN12" s="88">
        <v>12186.86</v>
      </c>
      <c r="AO12" s="88">
        <v>0</v>
      </c>
      <c r="AP12" s="88">
        <v>20329.560000000001</v>
      </c>
      <c r="AQ12" s="56"/>
      <c r="AR12" s="56">
        <v>0</v>
      </c>
      <c r="AS12" s="56"/>
      <c r="AT12" s="56">
        <v>0</v>
      </c>
      <c r="AU12" s="56"/>
      <c r="AV12" s="56">
        <f t="shared" si="2"/>
        <v>20329.560000000001</v>
      </c>
      <c r="AW12" s="56"/>
      <c r="AX12" s="56">
        <v>0</v>
      </c>
      <c r="AY12" s="56"/>
      <c r="AZ12" s="88">
        <v>13500</v>
      </c>
      <c r="BA12" s="56">
        <v>13500</v>
      </c>
      <c r="BB12" s="214"/>
      <c r="BC12" s="56"/>
      <c r="BD12" s="84">
        <f t="shared" si="3"/>
        <v>8142.7000000000007</v>
      </c>
      <c r="BE12" s="56"/>
      <c r="BF12" s="56"/>
      <c r="BG12" s="56"/>
      <c r="BH12" s="72"/>
    </row>
    <row r="13" spans="1:61" ht="18.95" customHeight="1" outlineLevel="1">
      <c r="A13" s="77" t="s">
        <v>43</v>
      </c>
      <c r="B13" s="77" t="s">
        <v>378</v>
      </c>
      <c r="C13" s="77" t="str">
        <f t="shared" ref="C13:C64" si="5">+C12</f>
        <v>AI·</v>
      </c>
      <c r="D13" s="78" t="s">
        <v>46</v>
      </c>
      <c r="E13" s="78" t="str">
        <f t="shared" si="4"/>
        <v>000</v>
      </c>
      <c r="F13" s="3">
        <v>661041</v>
      </c>
      <c r="G13" s="102" t="s">
        <v>381</v>
      </c>
      <c r="H13" s="87"/>
      <c r="I13" s="13">
        <v>40668</v>
      </c>
      <c r="J13" s="13">
        <v>44010</v>
      </c>
      <c r="L13" s="56">
        <v>44440</v>
      </c>
      <c r="M13" s="56"/>
      <c r="N13" s="56">
        <v>50272</v>
      </c>
      <c r="O13" s="56"/>
      <c r="P13" s="56">
        <v>53150</v>
      </c>
      <c r="Q13" s="56"/>
      <c r="R13" s="56">
        <v>53150</v>
      </c>
      <c r="S13" s="56"/>
      <c r="T13" s="56">
        <v>0</v>
      </c>
      <c r="U13" s="56"/>
      <c r="V13" s="56">
        <v>53150</v>
      </c>
      <c r="W13" s="56"/>
      <c r="X13" s="56">
        <v>52896.52</v>
      </c>
      <c r="Y13" s="56"/>
      <c r="Z13" s="56">
        <v>53150</v>
      </c>
      <c r="AA13" s="56"/>
      <c r="AB13" s="56"/>
      <c r="AC13" s="56"/>
      <c r="AD13" s="56"/>
      <c r="AE13" s="56"/>
      <c r="AF13" s="56">
        <f t="shared" si="0"/>
        <v>53150</v>
      </c>
      <c r="AG13" s="56">
        <v>0</v>
      </c>
      <c r="AH13" s="56">
        <v>0</v>
      </c>
      <c r="AI13" s="56"/>
      <c r="AJ13" s="56">
        <f t="shared" si="1"/>
        <v>53150</v>
      </c>
      <c r="AK13" s="85"/>
      <c r="AL13" s="56">
        <v>0</v>
      </c>
      <c r="AM13" s="56"/>
      <c r="AN13" s="88">
        <v>55518.18</v>
      </c>
      <c r="AO13" s="88">
        <v>0</v>
      </c>
      <c r="AP13" s="88">
        <v>43208.49</v>
      </c>
      <c r="AQ13" s="56"/>
      <c r="AR13" s="56">
        <v>0</v>
      </c>
      <c r="AS13" s="56"/>
      <c r="AT13" s="56">
        <v>0</v>
      </c>
      <c r="AU13" s="56"/>
      <c r="AV13" s="56">
        <f t="shared" si="2"/>
        <v>43208.49</v>
      </c>
      <c r="AW13" s="56"/>
      <c r="AX13" s="56">
        <v>0</v>
      </c>
      <c r="AY13" s="56"/>
      <c r="AZ13" s="88">
        <v>55300</v>
      </c>
      <c r="BA13" s="56">
        <v>58909</v>
      </c>
      <c r="BB13" s="214"/>
      <c r="BC13" s="56"/>
      <c r="BD13" s="84">
        <f t="shared" si="3"/>
        <v>-12309.690000000002</v>
      </c>
      <c r="BE13" s="56"/>
      <c r="BF13" s="56"/>
      <c r="BG13" s="56"/>
      <c r="BH13" s="72"/>
    </row>
    <row r="14" spans="1:61" ht="18.95" customHeight="1" outlineLevel="1">
      <c r="A14" s="77" t="s">
        <v>43</v>
      </c>
      <c r="B14" s="77" t="s">
        <v>378</v>
      </c>
      <c r="C14" s="77" t="str">
        <f t="shared" si="5"/>
        <v>AI·</v>
      </c>
      <c r="D14" s="78" t="s">
        <v>46</v>
      </c>
      <c r="E14" s="78" t="str">
        <f t="shared" si="4"/>
        <v>000</v>
      </c>
      <c r="F14" s="3">
        <v>673041</v>
      </c>
      <c r="G14" s="102" t="s">
        <v>382</v>
      </c>
      <c r="H14" s="87"/>
      <c r="I14" s="13">
        <v>3275</v>
      </c>
      <c r="J14" s="13">
        <v>3301</v>
      </c>
      <c r="L14" s="56">
        <v>1251</v>
      </c>
      <c r="M14" s="56"/>
      <c r="N14" s="56">
        <v>3725</v>
      </c>
      <c r="O14" s="56"/>
      <c r="P14" s="56">
        <v>3725</v>
      </c>
      <c r="Q14" s="56"/>
      <c r="R14" s="56">
        <v>3725</v>
      </c>
      <c r="S14" s="56"/>
      <c r="T14" s="56">
        <v>0</v>
      </c>
      <c r="U14" s="56"/>
      <c r="V14" s="56">
        <v>3725</v>
      </c>
      <c r="W14" s="56"/>
      <c r="X14" s="56">
        <v>3725</v>
      </c>
      <c r="Y14" s="56"/>
      <c r="Z14" s="56">
        <v>3725</v>
      </c>
      <c r="AA14" s="56"/>
      <c r="AB14" s="56"/>
      <c r="AC14" s="56"/>
      <c r="AD14" s="56"/>
      <c r="AE14" s="56"/>
      <c r="AF14" s="56">
        <f t="shared" si="0"/>
        <v>3725</v>
      </c>
      <c r="AG14" s="56">
        <v>0</v>
      </c>
      <c r="AH14" s="56">
        <v>0</v>
      </c>
      <c r="AI14" s="56"/>
      <c r="AJ14" s="56">
        <f t="shared" si="1"/>
        <v>3725</v>
      </c>
      <c r="AK14" s="85"/>
      <c r="AL14" s="56">
        <v>0</v>
      </c>
      <c r="AM14" s="56"/>
      <c r="AN14" s="88">
        <v>0</v>
      </c>
      <c r="AO14" s="88">
        <v>0</v>
      </c>
      <c r="AP14" s="88">
        <v>0</v>
      </c>
      <c r="AQ14" s="56"/>
      <c r="AR14" s="56">
        <v>0</v>
      </c>
      <c r="AS14" s="56"/>
      <c r="AT14" s="56">
        <v>0</v>
      </c>
      <c r="AU14" s="56"/>
      <c r="AV14" s="56">
        <f t="shared" si="2"/>
        <v>0</v>
      </c>
      <c r="AW14" s="56"/>
      <c r="AX14" s="56">
        <v>0</v>
      </c>
      <c r="AY14" s="56"/>
      <c r="AZ14" s="88">
        <v>0</v>
      </c>
      <c r="BA14" s="56">
        <v>0</v>
      </c>
      <c r="BB14" s="214"/>
      <c r="BC14" s="56"/>
      <c r="BD14" s="84">
        <f t="shared" si="3"/>
        <v>0</v>
      </c>
      <c r="BE14" s="56"/>
      <c r="BF14" s="56"/>
      <c r="BG14" s="56"/>
      <c r="BH14" s="72"/>
    </row>
    <row r="15" spans="1:61" ht="18.95" customHeight="1" outlineLevel="1">
      <c r="A15" s="77" t="s">
        <v>43</v>
      </c>
      <c r="B15" s="77" t="s">
        <v>383</v>
      </c>
      <c r="C15" s="77" t="str">
        <f t="shared" si="5"/>
        <v>AI·</v>
      </c>
      <c r="D15" s="78" t="s">
        <v>46</v>
      </c>
      <c r="E15" s="78" t="str">
        <f t="shared" si="4"/>
        <v>000</v>
      </c>
      <c r="F15" s="3">
        <v>634035</v>
      </c>
      <c r="G15" s="102" t="s">
        <v>1060</v>
      </c>
      <c r="H15" s="87"/>
      <c r="I15" s="13">
        <v>1321</v>
      </c>
      <c r="J15" s="13">
        <v>1591</v>
      </c>
      <c r="L15" s="56">
        <v>1885</v>
      </c>
      <c r="M15" s="56"/>
      <c r="N15" s="56">
        <v>2000</v>
      </c>
      <c r="O15" s="56"/>
      <c r="P15" s="56">
        <v>2000</v>
      </c>
      <c r="Q15" s="56"/>
      <c r="R15" s="56">
        <v>2000</v>
      </c>
      <c r="S15" s="56"/>
      <c r="T15" s="56">
        <v>0</v>
      </c>
      <c r="U15" s="56"/>
      <c r="V15" s="56">
        <v>2000</v>
      </c>
      <c r="W15" s="56"/>
      <c r="X15" s="56">
        <v>1881.56</v>
      </c>
      <c r="Y15" s="56"/>
      <c r="Z15" s="56">
        <v>2000</v>
      </c>
      <c r="AA15" s="56"/>
      <c r="AB15" s="56"/>
      <c r="AC15" s="56"/>
      <c r="AD15" s="56"/>
      <c r="AE15" s="56"/>
      <c r="AF15" s="56">
        <f t="shared" si="0"/>
        <v>2000</v>
      </c>
      <c r="AG15" s="56">
        <v>0</v>
      </c>
      <c r="AH15" s="56">
        <v>0</v>
      </c>
      <c r="AI15" s="56"/>
      <c r="AJ15" s="56">
        <f t="shared" si="1"/>
        <v>2000</v>
      </c>
      <c r="AK15" s="85"/>
      <c r="AL15" s="56">
        <v>0</v>
      </c>
      <c r="AM15" s="56"/>
      <c r="AN15" s="88">
        <v>1246.8499999999999</v>
      </c>
      <c r="AO15" s="88">
        <v>0</v>
      </c>
      <c r="AP15" s="88">
        <v>1390.45</v>
      </c>
      <c r="AQ15" s="56"/>
      <c r="AR15" s="56">
        <v>0</v>
      </c>
      <c r="AS15" s="56"/>
      <c r="AT15" s="56">
        <v>0</v>
      </c>
      <c r="AU15" s="56"/>
      <c r="AV15" s="56">
        <f t="shared" si="2"/>
        <v>1390.45</v>
      </c>
      <c r="AW15" s="56"/>
      <c r="AX15" s="56">
        <v>0</v>
      </c>
      <c r="AY15" s="56"/>
      <c r="AZ15" s="88">
        <v>2000</v>
      </c>
      <c r="BA15" s="56">
        <v>2000</v>
      </c>
      <c r="BB15" s="214"/>
      <c r="BC15" s="56"/>
      <c r="BD15" s="84">
        <f t="shared" si="3"/>
        <v>143.60000000000014</v>
      </c>
      <c r="BE15" s="56"/>
      <c r="BF15" s="56"/>
      <c r="BG15" s="56"/>
      <c r="BH15" s="72"/>
    </row>
    <row r="16" spans="1:61" ht="18.95" customHeight="1" outlineLevel="1">
      <c r="A16" s="77" t="s">
        <v>43</v>
      </c>
      <c r="B16" s="77" t="s">
        <v>383</v>
      </c>
      <c r="C16" s="77" t="str">
        <f t="shared" si="5"/>
        <v>AI·</v>
      </c>
      <c r="D16" s="78" t="s">
        <v>46</v>
      </c>
      <c r="E16" s="78" t="str">
        <f t="shared" si="4"/>
        <v>000</v>
      </c>
      <c r="F16" s="3">
        <v>658235</v>
      </c>
      <c r="G16" s="102" t="s">
        <v>1061</v>
      </c>
      <c r="H16" s="87"/>
      <c r="I16" s="13">
        <v>898</v>
      </c>
      <c r="J16" s="13">
        <v>1238</v>
      </c>
      <c r="L16" s="56">
        <v>1357</v>
      </c>
      <c r="M16" s="56"/>
      <c r="N16" s="56">
        <v>1500</v>
      </c>
      <c r="O16" s="56"/>
      <c r="P16" s="56">
        <v>1500</v>
      </c>
      <c r="Q16" s="56"/>
      <c r="R16" s="56">
        <v>1500</v>
      </c>
      <c r="S16" s="56"/>
      <c r="T16" s="56">
        <v>0</v>
      </c>
      <c r="U16" s="56"/>
      <c r="V16" s="56">
        <v>1500</v>
      </c>
      <c r="W16" s="56"/>
      <c r="X16" s="56">
        <v>102.42</v>
      </c>
      <c r="Y16" s="56"/>
      <c r="Z16" s="56">
        <v>1500</v>
      </c>
      <c r="AA16" s="56"/>
      <c r="AB16" s="56"/>
      <c r="AC16" s="56"/>
      <c r="AD16" s="56"/>
      <c r="AE16" s="56"/>
      <c r="AF16" s="56">
        <f t="shared" si="0"/>
        <v>1500</v>
      </c>
      <c r="AG16" s="56">
        <v>0</v>
      </c>
      <c r="AH16" s="56">
        <v>0</v>
      </c>
      <c r="AI16" s="56"/>
      <c r="AJ16" s="56">
        <f t="shared" si="1"/>
        <v>1500</v>
      </c>
      <c r="AK16" s="85"/>
      <c r="AL16" s="56">
        <v>0</v>
      </c>
      <c r="AM16" s="56"/>
      <c r="AN16" s="88">
        <v>198.01</v>
      </c>
      <c r="AO16" s="88">
        <v>0</v>
      </c>
      <c r="AP16" s="88">
        <v>1124.7</v>
      </c>
      <c r="AQ16" s="56"/>
      <c r="AR16" s="56">
        <v>0</v>
      </c>
      <c r="AS16" s="56"/>
      <c r="AT16" s="56">
        <v>0</v>
      </c>
      <c r="AU16" s="56"/>
      <c r="AV16" s="56">
        <f t="shared" si="2"/>
        <v>1124.7</v>
      </c>
      <c r="AW16" s="56"/>
      <c r="AX16" s="56">
        <v>0</v>
      </c>
      <c r="AY16" s="56"/>
      <c r="AZ16" s="88">
        <v>1500</v>
      </c>
      <c r="BA16" s="56">
        <v>1500</v>
      </c>
      <c r="BB16" s="214"/>
      <c r="BC16" s="56"/>
      <c r="BD16" s="84">
        <f t="shared" si="3"/>
        <v>926.69</v>
      </c>
      <c r="BE16" s="56"/>
      <c r="BF16" s="56"/>
      <c r="BG16" s="56"/>
      <c r="BH16" s="72"/>
    </row>
    <row r="17" spans="1:60" ht="18.95" customHeight="1" outlineLevel="1">
      <c r="A17" s="77" t="s">
        <v>43</v>
      </c>
      <c r="B17" s="77" t="s">
        <v>383</v>
      </c>
      <c r="C17" s="77" t="str">
        <f t="shared" si="5"/>
        <v>AI·</v>
      </c>
      <c r="D17" s="78" t="s">
        <v>46</v>
      </c>
      <c r="E17" s="78" t="str">
        <f t="shared" si="4"/>
        <v>000</v>
      </c>
      <c r="F17" s="3">
        <v>661045</v>
      </c>
      <c r="G17" s="102" t="s">
        <v>1062</v>
      </c>
      <c r="H17" s="87"/>
      <c r="I17" s="13">
        <v>48707</v>
      </c>
      <c r="J17" s="13">
        <v>47394</v>
      </c>
      <c r="L17" s="56">
        <v>48633</v>
      </c>
      <c r="M17" s="56"/>
      <c r="N17" s="56">
        <v>48394</v>
      </c>
      <c r="O17" s="56"/>
      <c r="P17" s="56">
        <v>48649</v>
      </c>
      <c r="Q17" s="56"/>
      <c r="R17" s="56">
        <v>48649</v>
      </c>
      <c r="S17" s="56"/>
      <c r="T17" s="56">
        <v>0</v>
      </c>
      <c r="U17" s="56"/>
      <c r="V17" s="56">
        <v>48649</v>
      </c>
      <c r="W17" s="56"/>
      <c r="X17" s="56">
        <v>47553.53</v>
      </c>
      <c r="Y17" s="56"/>
      <c r="Z17" s="56">
        <v>48649</v>
      </c>
      <c r="AA17" s="56"/>
      <c r="AB17" s="56"/>
      <c r="AC17" s="56"/>
      <c r="AD17" s="56"/>
      <c r="AE17" s="56"/>
      <c r="AF17" s="56">
        <f t="shared" si="0"/>
        <v>48649</v>
      </c>
      <c r="AG17" s="56">
        <v>0</v>
      </c>
      <c r="AH17" s="56">
        <v>0</v>
      </c>
      <c r="AI17" s="56"/>
      <c r="AJ17" s="56">
        <f t="shared" si="1"/>
        <v>48649</v>
      </c>
      <c r="AK17" s="85"/>
      <c r="AL17" s="56">
        <v>0</v>
      </c>
      <c r="AM17" s="56"/>
      <c r="AN17" s="88">
        <f>47106.29+179.44</f>
        <v>47285.73</v>
      </c>
      <c r="AO17" s="88">
        <v>0</v>
      </c>
      <c r="AP17" s="88">
        <v>43915.41</v>
      </c>
      <c r="AQ17" s="56"/>
      <c r="AR17" s="56">
        <v>0</v>
      </c>
      <c r="AS17" s="56"/>
      <c r="AT17" s="56">
        <v>0</v>
      </c>
      <c r="AU17" s="56"/>
      <c r="AV17" s="56">
        <f t="shared" si="2"/>
        <v>43915.41</v>
      </c>
      <c r="AW17" s="56"/>
      <c r="AX17" s="56">
        <v>0</v>
      </c>
      <c r="AY17" s="56"/>
      <c r="AZ17" s="88">
        <v>42649</v>
      </c>
      <c r="BA17" s="56">
        <v>42649</v>
      </c>
      <c r="BB17" s="214"/>
      <c r="BC17" s="56"/>
      <c r="BD17" s="84">
        <f t="shared" si="3"/>
        <v>-3370.3199999999997</v>
      </c>
      <c r="BE17" s="56"/>
      <c r="BF17" s="56"/>
      <c r="BG17" s="56"/>
      <c r="BH17" s="72"/>
    </row>
    <row r="18" spans="1:60" ht="18.95" customHeight="1" outlineLevel="1">
      <c r="A18" s="77" t="s">
        <v>43</v>
      </c>
      <c r="B18" s="77" t="s">
        <v>383</v>
      </c>
      <c r="C18" s="77" t="str">
        <f t="shared" si="5"/>
        <v>AI·</v>
      </c>
      <c r="D18" s="78" t="s">
        <v>46</v>
      </c>
      <c r="E18" s="78" t="str">
        <f t="shared" si="4"/>
        <v>000</v>
      </c>
      <c r="F18" s="3">
        <v>673045</v>
      </c>
      <c r="G18" s="102" t="s">
        <v>1063</v>
      </c>
      <c r="H18" s="87"/>
      <c r="I18" s="13">
        <v>0</v>
      </c>
      <c r="J18" s="13">
        <v>0</v>
      </c>
      <c r="L18" s="56">
        <v>0</v>
      </c>
      <c r="M18" s="56"/>
      <c r="N18" s="56">
        <v>0</v>
      </c>
      <c r="O18" s="56"/>
      <c r="P18" s="56">
        <v>0</v>
      </c>
      <c r="Q18" s="56"/>
      <c r="R18" s="56">
        <v>0</v>
      </c>
      <c r="S18" s="56"/>
      <c r="T18" s="56">
        <v>0</v>
      </c>
      <c r="U18" s="56"/>
      <c r="V18" s="56">
        <v>0</v>
      </c>
      <c r="W18" s="56"/>
      <c r="X18" s="56">
        <v>0</v>
      </c>
      <c r="Y18" s="56"/>
      <c r="Z18" s="56">
        <v>0</v>
      </c>
      <c r="AA18" s="56"/>
      <c r="AB18" s="56"/>
      <c r="AC18" s="56"/>
      <c r="AD18" s="56"/>
      <c r="AE18" s="56"/>
      <c r="AF18" s="56">
        <f t="shared" si="0"/>
        <v>0</v>
      </c>
      <c r="AG18" s="56">
        <v>0</v>
      </c>
      <c r="AH18" s="56">
        <v>0</v>
      </c>
      <c r="AI18" s="56"/>
      <c r="AJ18" s="56">
        <f t="shared" si="1"/>
        <v>0</v>
      </c>
      <c r="AK18" s="85"/>
      <c r="AL18" s="56">
        <v>0</v>
      </c>
      <c r="AM18" s="56"/>
      <c r="AN18" s="88">
        <f>SUM(AI18:AM18)</f>
        <v>0</v>
      </c>
      <c r="AO18" s="88">
        <v>0</v>
      </c>
      <c r="AP18" s="88">
        <v>0</v>
      </c>
      <c r="AQ18" s="56"/>
      <c r="AR18" s="56">
        <v>0</v>
      </c>
      <c r="AS18" s="56"/>
      <c r="AT18" s="56">
        <v>0</v>
      </c>
      <c r="AU18" s="56"/>
      <c r="AV18" s="56">
        <f t="shared" si="2"/>
        <v>0</v>
      </c>
      <c r="AW18" s="56"/>
      <c r="AX18" s="56">
        <v>0</v>
      </c>
      <c r="AY18" s="56"/>
      <c r="AZ18" s="88">
        <v>0</v>
      </c>
      <c r="BA18" s="56">
        <v>0</v>
      </c>
      <c r="BB18" s="214"/>
      <c r="BC18" s="56"/>
      <c r="BD18" s="84">
        <f t="shared" si="3"/>
        <v>0</v>
      </c>
      <c r="BE18" s="56"/>
      <c r="BF18" s="56"/>
      <c r="BG18" s="56"/>
      <c r="BH18" s="72"/>
    </row>
    <row r="19" spans="1:60" ht="18.95" customHeight="1" outlineLevel="1">
      <c r="A19" s="77" t="s">
        <v>43</v>
      </c>
      <c r="B19" s="77" t="s">
        <v>384</v>
      </c>
      <c r="C19" s="77" t="str">
        <f t="shared" si="5"/>
        <v>AI·</v>
      </c>
      <c r="D19" s="78" t="s">
        <v>46</v>
      </c>
      <c r="E19" s="78" t="str">
        <f t="shared" si="4"/>
        <v>000</v>
      </c>
      <c r="F19" s="3">
        <v>634037</v>
      </c>
      <c r="G19" s="102" t="s">
        <v>385</v>
      </c>
      <c r="H19" s="87"/>
      <c r="I19" s="13">
        <v>4855</v>
      </c>
      <c r="J19" s="13">
        <v>4069</v>
      </c>
      <c r="L19" s="56">
        <v>3739</v>
      </c>
      <c r="M19" s="56"/>
      <c r="N19" s="56">
        <v>7562</v>
      </c>
      <c r="O19" s="56"/>
      <c r="P19" s="56">
        <v>8137</v>
      </c>
      <c r="Q19" s="56"/>
      <c r="R19" s="56">
        <v>8137</v>
      </c>
      <c r="S19" s="56"/>
      <c r="T19" s="56">
        <v>0</v>
      </c>
      <c r="U19" s="56"/>
      <c r="V19" s="56">
        <v>8137</v>
      </c>
      <c r="W19" s="56"/>
      <c r="X19" s="56">
        <v>8175.49</v>
      </c>
      <c r="Y19" s="56"/>
      <c r="Z19" s="56">
        <v>8137</v>
      </c>
      <c r="AA19" s="56"/>
      <c r="AB19" s="56"/>
      <c r="AC19" s="56"/>
      <c r="AD19" s="56"/>
      <c r="AE19" s="56"/>
      <c r="AF19" s="56">
        <f t="shared" si="0"/>
        <v>8137</v>
      </c>
      <c r="AG19" s="56">
        <v>0</v>
      </c>
      <c r="AH19" s="56">
        <v>0</v>
      </c>
      <c r="AI19" s="56"/>
      <c r="AJ19" s="56">
        <f t="shared" si="1"/>
        <v>8137</v>
      </c>
      <c r="AK19" s="85"/>
      <c r="AL19" s="56">
        <v>0</v>
      </c>
      <c r="AM19" s="56"/>
      <c r="AN19" s="88">
        <v>4123.28</v>
      </c>
      <c r="AO19" s="88">
        <v>0</v>
      </c>
      <c r="AP19" s="88">
        <v>2903.55</v>
      </c>
      <c r="AQ19" s="56"/>
      <c r="AR19" s="56">
        <v>0</v>
      </c>
      <c r="AS19" s="56"/>
      <c r="AT19" s="56">
        <v>0</v>
      </c>
      <c r="AU19" s="56"/>
      <c r="AV19" s="56">
        <f t="shared" si="2"/>
        <v>2903.55</v>
      </c>
      <c r="AW19" s="56"/>
      <c r="AX19" s="56">
        <v>0</v>
      </c>
      <c r="AY19" s="56"/>
      <c r="AZ19" s="88">
        <v>8137</v>
      </c>
      <c r="BA19" s="56">
        <v>8137</v>
      </c>
      <c r="BB19" s="214"/>
      <c r="BC19" s="56"/>
      <c r="BD19" s="84">
        <f t="shared" si="3"/>
        <v>-1219.7299999999996</v>
      </c>
      <c r="BE19" s="56"/>
      <c r="BF19" s="56"/>
      <c r="BG19" s="56"/>
      <c r="BH19" s="72"/>
    </row>
    <row r="20" spans="1:60" ht="18.95" customHeight="1" outlineLevel="1">
      <c r="A20" s="77" t="s">
        <v>43</v>
      </c>
      <c r="B20" s="77" t="s">
        <v>384</v>
      </c>
      <c r="C20" s="77" t="str">
        <f t="shared" si="5"/>
        <v>AI·</v>
      </c>
      <c r="D20" s="78" t="s">
        <v>46</v>
      </c>
      <c r="E20" s="78" t="str">
        <f t="shared" si="4"/>
        <v>000</v>
      </c>
      <c r="F20" s="3">
        <v>634038</v>
      </c>
      <c r="G20" s="102" t="s">
        <v>386</v>
      </c>
      <c r="H20" s="87"/>
      <c r="I20" s="13">
        <v>583</v>
      </c>
      <c r="J20" s="13">
        <v>734</v>
      </c>
      <c r="L20" s="56">
        <v>0</v>
      </c>
      <c r="M20" s="56"/>
      <c r="N20" s="56">
        <v>1000</v>
      </c>
      <c r="O20" s="56"/>
      <c r="P20" s="56">
        <v>1000</v>
      </c>
      <c r="Q20" s="56"/>
      <c r="R20" s="56">
        <v>1000</v>
      </c>
      <c r="S20" s="56"/>
      <c r="T20" s="56">
        <v>0</v>
      </c>
      <c r="U20" s="56"/>
      <c r="V20" s="56">
        <v>1000</v>
      </c>
      <c r="W20" s="56"/>
      <c r="X20" s="56">
        <v>676.2</v>
      </c>
      <c r="Y20" s="56"/>
      <c r="Z20" s="56">
        <v>1000</v>
      </c>
      <c r="AA20" s="56"/>
      <c r="AB20" s="56"/>
      <c r="AC20" s="56"/>
      <c r="AD20" s="56"/>
      <c r="AE20" s="56"/>
      <c r="AF20" s="56">
        <f t="shared" si="0"/>
        <v>1000</v>
      </c>
      <c r="AG20" s="56">
        <v>0</v>
      </c>
      <c r="AH20" s="56">
        <v>0</v>
      </c>
      <c r="AI20" s="56"/>
      <c r="AJ20" s="56">
        <f t="shared" si="1"/>
        <v>1000</v>
      </c>
      <c r="AK20" s="85"/>
      <c r="AL20" s="56">
        <v>0</v>
      </c>
      <c r="AM20" s="56"/>
      <c r="AN20" s="88">
        <f>396+135</f>
        <v>531</v>
      </c>
      <c r="AO20" s="88">
        <v>0</v>
      </c>
      <c r="AP20" s="88">
        <v>0</v>
      </c>
      <c r="AQ20" s="56"/>
      <c r="AR20" s="56">
        <v>0</v>
      </c>
      <c r="AS20" s="56"/>
      <c r="AT20" s="56">
        <v>0</v>
      </c>
      <c r="AU20" s="56"/>
      <c r="AV20" s="56">
        <f t="shared" si="2"/>
        <v>0</v>
      </c>
      <c r="AW20" s="56"/>
      <c r="AX20" s="56">
        <v>0</v>
      </c>
      <c r="AY20" s="56"/>
      <c r="AZ20" s="88">
        <v>1000</v>
      </c>
      <c r="BA20" s="56">
        <v>1000</v>
      </c>
      <c r="BB20" s="214"/>
      <c r="BC20" s="56"/>
      <c r="BD20" s="84">
        <f t="shared" si="3"/>
        <v>-531</v>
      </c>
      <c r="BE20" s="56"/>
      <c r="BF20" s="56"/>
      <c r="BG20" s="56"/>
      <c r="BH20" s="72"/>
    </row>
    <row r="21" spans="1:60" ht="18.95" customHeight="1" outlineLevel="1">
      <c r="A21" s="77" t="s">
        <v>43</v>
      </c>
      <c r="B21" s="77" t="s">
        <v>387</v>
      </c>
      <c r="C21" s="77" t="str">
        <f t="shared" si="5"/>
        <v>AI·</v>
      </c>
      <c r="D21" s="78" t="s">
        <v>46</v>
      </c>
      <c r="E21" s="78" t="str">
        <f t="shared" si="4"/>
        <v>000</v>
      </c>
      <c r="F21" s="3">
        <v>658234</v>
      </c>
      <c r="G21" s="102" t="s">
        <v>388</v>
      </c>
      <c r="H21" s="87"/>
      <c r="I21" s="13">
        <v>911</v>
      </c>
      <c r="J21" s="13">
        <v>707</v>
      </c>
      <c r="L21" s="56">
        <v>532</v>
      </c>
      <c r="M21" s="56"/>
      <c r="N21" s="56">
        <v>1000</v>
      </c>
      <c r="O21" s="56"/>
      <c r="P21" s="56">
        <v>1000</v>
      </c>
      <c r="Q21" s="56"/>
      <c r="R21" s="56">
        <v>1000</v>
      </c>
      <c r="S21" s="56"/>
      <c r="T21" s="56">
        <v>0</v>
      </c>
      <c r="U21" s="56"/>
      <c r="V21" s="56">
        <v>1000</v>
      </c>
      <c r="W21" s="56"/>
      <c r="X21" s="56">
        <v>722.91</v>
      </c>
      <c r="Y21" s="56"/>
      <c r="Z21" s="56">
        <v>1000</v>
      </c>
      <c r="AA21" s="56"/>
      <c r="AB21" s="56"/>
      <c r="AC21" s="56"/>
      <c r="AD21" s="56"/>
      <c r="AE21" s="56"/>
      <c r="AF21" s="56">
        <f t="shared" si="0"/>
        <v>1000</v>
      </c>
      <c r="AG21" s="56">
        <v>0</v>
      </c>
      <c r="AH21" s="56">
        <v>0</v>
      </c>
      <c r="AI21" s="56"/>
      <c r="AJ21" s="56">
        <f t="shared" si="1"/>
        <v>1000</v>
      </c>
      <c r="AK21" s="85"/>
      <c r="AL21" s="56">
        <v>0</v>
      </c>
      <c r="AM21" s="56"/>
      <c r="AN21" s="88">
        <v>287.44</v>
      </c>
      <c r="AO21" s="88">
        <v>0</v>
      </c>
      <c r="AP21" s="88">
        <v>982.75</v>
      </c>
      <c r="AQ21" s="56"/>
      <c r="AR21" s="56">
        <v>0</v>
      </c>
      <c r="AS21" s="56"/>
      <c r="AT21" s="56">
        <v>0</v>
      </c>
      <c r="AU21" s="56"/>
      <c r="AV21" s="56">
        <f t="shared" si="2"/>
        <v>982.75</v>
      </c>
      <c r="AW21" s="56"/>
      <c r="AX21" s="56">
        <v>0</v>
      </c>
      <c r="AY21" s="56"/>
      <c r="AZ21" s="88">
        <v>1000</v>
      </c>
      <c r="BA21" s="56">
        <v>1000</v>
      </c>
      <c r="BB21" s="214"/>
      <c r="BC21" s="56"/>
      <c r="BD21" s="84">
        <f t="shared" si="3"/>
        <v>695.31</v>
      </c>
      <c r="BE21" s="56"/>
      <c r="BF21" s="56"/>
      <c r="BG21" s="56"/>
      <c r="BH21" s="72"/>
    </row>
    <row r="22" spans="1:60" ht="18.95" customHeight="1" outlineLevel="1">
      <c r="A22" s="77" t="s">
        <v>43</v>
      </c>
      <c r="B22" s="77" t="s">
        <v>384</v>
      </c>
      <c r="C22" s="77" t="str">
        <f t="shared" si="5"/>
        <v>AI·</v>
      </c>
      <c r="D22" s="78" t="s">
        <v>46</v>
      </c>
      <c r="E22" s="78" t="str">
        <f t="shared" si="4"/>
        <v>000</v>
      </c>
      <c r="F22" s="3">
        <v>658237</v>
      </c>
      <c r="G22" s="102" t="s">
        <v>389</v>
      </c>
      <c r="H22" s="87"/>
      <c r="I22" s="13">
        <v>2995</v>
      </c>
      <c r="J22" s="13">
        <v>4146</v>
      </c>
      <c r="L22" s="56">
        <v>15703</v>
      </c>
      <c r="M22" s="56"/>
      <c r="N22" s="56">
        <v>10000</v>
      </c>
      <c r="O22" s="56"/>
      <c r="P22" s="56">
        <v>10000</v>
      </c>
      <c r="Q22" s="56"/>
      <c r="R22" s="56">
        <v>10000</v>
      </c>
      <c r="S22" s="56"/>
      <c r="T22" s="56">
        <v>0</v>
      </c>
      <c r="U22" s="56"/>
      <c r="V22" s="56">
        <v>10000</v>
      </c>
      <c r="W22" s="56"/>
      <c r="X22" s="56">
        <v>5777.68</v>
      </c>
      <c r="Y22" s="56"/>
      <c r="Z22" s="56">
        <v>10000</v>
      </c>
      <c r="AA22" s="56"/>
      <c r="AB22" s="56"/>
      <c r="AC22" s="56"/>
      <c r="AD22" s="56"/>
      <c r="AE22" s="56"/>
      <c r="AF22" s="56">
        <f t="shared" si="0"/>
        <v>10000</v>
      </c>
      <c r="AG22" s="56">
        <v>0</v>
      </c>
      <c r="AH22" s="56">
        <v>0</v>
      </c>
      <c r="AI22" s="56"/>
      <c r="AJ22" s="56">
        <f t="shared" si="1"/>
        <v>10000</v>
      </c>
      <c r="AK22" s="85"/>
      <c r="AL22" s="56">
        <v>0</v>
      </c>
      <c r="AM22" s="56"/>
      <c r="AN22" s="88">
        <v>4988.01</v>
      </c>
      <c r="AO22" s="88">
        <v>0</v>
      </c>
      <c r="AP22" s="88">
        <v>9992.1</v>
      </c>
      <c r="AQ22" s="56"/>
      <c r="AR22" s="56">
        <v>0</v>
      </c>
      <c r="AS22" s="56"/>
      <c r="AT22" s="56">
        <v>0</v>
      </c>
      <c r="AU22" s="56"/>
      <c r="AV22" s="56">
        <f t="shared" si="2"/>
        <v>9992.1</v>
      </c>
      <c r="AW22" s="56"/>
      <c r="AX22" s="56">
        <v>0</v>
      </c>
      <c r="AY22" s="56"/>
      <c r="AZ22" s="88">
        <v>10000</v>
      </c>
      <c r="BA22" s="56">
        <v>10000</v>
      </c>
      <c r="BB22" s="214"/>
      <c r="BC22" s="56"/>
      <c r="BD22" s="84">
        <f t="shared" si="3"/>
        <v>5004.09</v>
      </c>
      <c r="BE22" s="56"/>
      <c r="BF22" s="56"/>
      <c r="BG22" s="56"/>
      <c r="BH22" s="72"/>
    </row>
    <row r="23" spans="1:60" ht="18.95" customHeight="1" outlineLevel="1">
      <c r="A23" s="77" t="s">
        <v>43</v>
      </c>
      <c r="B23" s="77" t="s">
        <v>384</v>
      </c>
      <c r="C23" s="77" t="str">
        <f>+C22</f>
        <v>AI·</v>
      </c>
      <c r="D23" s="78" t="s">
        <v>46</v>
      </c>
      <c r="E23" s="78" t="str">
        <f t="shared" si="4"/>
        <v>000</v>
      </c>
      <c r="F23" s="3">
        <v>661035</v>
      </c>
      <c r="G23" s="102" t="s">
        <v>1128</v>
      </c>
      <c r="H23" s="87"/>
      <c r="I23" s="13"/>
      <c r="J23" s="13"/>
      <c r="L23" s="56">
        <v>0</v>
      </c>
      <c r="M23" s="56"/>
      <c r="N23" s="56"/>
      <c r="O23" s="56"/>
      <c r="P23" s="56"/>
      <c r="Q23" s="56"/>
      <c r="R23" s="56"/>
      <c r="S23" s="56"/>
      <c r="T23" s="56"/>
      <c r="U23" s="56"/>
      <c r="V23" s="56"/>
      <c r="W23" s="56"/>
      <c r="X23" s="56">
        <v>0</v>
      </c>
      <c r="Y23" s="56"/>
      <c r="Z23" s="56"/>
      <c r="AA23" s="56"/>
      <c r="AB23" s="56"/>
      <c r="AC23" s="56"/>
      <c r="AD23" s="56"/>
      <c r="AE23" s="56"/>
      <c r="AF23" s="56"/>
      <c r="AG23" s="56"/>
      <c r="AH23" s="56"/>
      <c r="AI23" s="56"/>
      <c r="AJ23" s="56"/>
      <c r="AK23" s="85"/>
      <c r="AL23" s="56"/>
      <c r="AM23" s="56"/>
      <c r="AN23" s="88">
        <v>0</v>
      </c>
      <c r="AO23" s="88"/>
      <c r="AP23" s="88">
        <v>97.32</v>
      </c>
      <c r="AQ23" s="56"/>
      <c r="AR23" s="56"/>
      <c r="AS23" s="56"/>
      <c r="AT23" s="56"/>
      <c r="AU23" s="56"/>
      <c r="AV23" s="56"/>
      <c r="AW23" s="56"/>
      <c r="AX23" s="56"/>
      <c r="AY23" s="56"/>
      <c r="AZ23" s="88">
        <v>0</v>
      </c>
      <c r="BA23" s="56">
        <v>0</v>
      </c>
      <c r="BB23" s="214"/>
      <c r="BC23" s="56"/>
      <c r="BD23" s="84">
        <f t="shared" si="3"/>
        <v>97.32</v>
      </c>
      <c r="BE23" s="56"/>
      <c r="BF23" s="56"/>
      <c r="BG23" s="56"/>
      <c r="BH23" s="72"/>
    </row>
    <row r="24" spans="1:60" ht="18.95" customHeight="1" outlineLevel="1">
      <c r="A24" s="77" t="s">
        <v>43</v>
      </c>
      <c r="B24" s="109" t="s">
        <v>1059</v>
      </c>
      <c r="C24" s="77" t="str">
        <f>+C22</f>
        <v>AI·</v>
      </c>
      <c r="D24" s="78" t="s">
        <v>46</v>
      </c>
      <c r="E24" s="78" t="str">
        <f t="shared" si="4"/>
        <v>000</v>
      </c>
      <c r="F24" s="3">
        <v>661047</v>
      </c>
      <c r="G24" s="102" t="s">
        <v>390</v>
      </c>
      <c r="H24" s="87"/>
      <c r="I24" s="13">
        <v>65009</v>
      </c>
      <c r="J24" s="13">
        <v>65085</v>
      </c>
      <c r="L24" s="56">
        <v>58512</v>
      </c>
      <c r="M24" s="56"/>
      <c r="N24" s="56">
        <v>61685</v>
      </c>
      <c r="O24" s="56"/>
      <c r="P24" s="56">
        <v>62586</v>
      </c>
      <c r="Q24" s="56"/>
      <c r="R24" s="56">
        <v>59086</v>
      </c>
      <c r="S24" s="56"/>
      <c r="T24" s="56">
        <v>0</v>
      </c>
      <c r="U24" s="56"/>
      <c r="V24" s="56">
        <v>59086</v>
      </c>
      <c r="W24" s="56"/>
      <c r="X24" s="56">
        <f>60828.28+100.65</f>
        <v>60928.93</v>
      </c>
      <c r="Y24" s="56"/>
      <c r="Z24" s="56">
        <v>70000</v>
      </c>
      <c r="AA24" s="56"/>
      <c r="AB24" s="56"/>
      <c r="AC24" s="56"/>
      <c r="AD24" s="56">
        <v>147</v>
      </c>
      <c r="AE24" s="56"/>
      <c r="AF24" s="56">
        <f t="shared" si="0"/>
        <v>70147</v>
      </c>
      <c r="AG24" s="89">
        <v>92677</v>
      </c>
      <c r="AH24" s="56">
        <v>0</v>
      </c>
      <c r="AI24" s="56"/>
      <c r="AJ24" s="56">
        <f t="shared" si="1"/>
        <v>162824</v>
      </c>
      <c r="AK24" s="85"/>
      <c r="AL24" s="56">
        <v>0</v>
      </c>
      <c r="AM24" s="56"/>
      <c r="AN24" s="88">
        <v>166308.79999999999</v>
      </c>
      <c r="AO24" s="88">
        <v>0</v>
      </c>
      <c r="AP24" s="88">
        <v>174924</v>
      </c>
      <c r="AQ24" s="56"/>
      <c r="AR24" s="56">
        <v>0</v>
      </c>
      <c r="AS24" s="56"/>
      <c r="AT24" s="56">
        <v>2628.34</v>
      </c>
      <c r="AU24" s="56"/>
      <c r="AV24" s="56">
        <f t="shared" si="2"/>
        <v>177552.34</v>
      </c>
      <c r="AW24" s="56"/>
      <c r="AX24" s="89">
        <v>33377</v>
      </c>
      <c r="AY24" s="56"/>
      <c r="AZ24" s="88">
        <v>96629</v>
      </c>
      <c r="BA24" s="56">
        <v>113177</v>
      </c>
      <c r="BB24" s="214"/>
      <c r="BC24" s="56"/>
      <c r="BD24" s="84">
        <f t="shared" si="3"/>
        <v>8615.2000000000116</v>
      </c>
      <c r="BE24" s="56"/>
      <c r="BF24" s="56"/>
      <c r="BG24" s="56"/>
      <c r="BH24" s="72"/>
    </row>
    <row r="25" spans="1:60" ht="18.95" customHeight="1" outlineLevel="1">
      <c r="A25" s="77" t="s">
        <v>43</v>
      </c>
      <c r="B25" s="77" t="s">
        <v>384</v>
      </c>
      <c r="C25" s="77" t="str">
        <f t="shared" si="5"/>
        <v>AI·</v>
      </c>
      <c r="D25" s="78" t="s">
        <v>46</v>
      </c>
      <c r="E25" s="78" t="str">
        <f t="shared" si="4"/>
        <v>000</v>
      </c>
      <c r="F25" s="3">
        <v>661048</v>
      </c>
      <c r="G25" s="102" t="s">
        <v>391</v>
      </c>
      <c r="H25" s="87"/>
      <c r="I25" s="13">
        <v>15317</v>
      </c>
      <c r="J25" s="13">
        <v>14297</v>
      </c>
      <c r="L25" s="56">
        <v>16480</v>
      </c>
      <c r="M25" s="56"/>
      <c r="N25" s="56">
        <v>20068</v>
      </c>
      <c r="O25" s="56"/>
      <c r="P25" s="56">
        <v>20386</v>
      </c>
      <c r="Q25" s="56"/>
      <c r="R25" s="56">
        <v>20386</v>
      </c>
      <c r="S25" s="56"/>
      <c r="T25" s="56">
        <v>0</v>
      </c>
      <c r="U25" s="56"/>
      <c r="V25" s="56">
        <v>20386</v>
      </c>
      <c r="W25" s="56"/>
      <c r="X25" s="56">
        <v>19945.38</v>
      </c>
      <c r="Y25" s="56"/>
      <c r="Z25" s="56">
        <v>20386</v>
      </c>
      <c r="AA25" s="56"/>
      <c r="AB25" s="56"/>
      <c r="AC25" s="56"/>
      <c r="AD25" s="56"/>
      <c r="AE25" s="56"/>
      <c r="AF25" s="56">
        <f t="shared" si="0"/>
        <v>20386</v>
      </c>
      <c r="AG25" s="56">
        <v>0</v>
      </c>
      <c r="AH25" s="56">
        <v>0</v>
      </c>
      <c r="AI25" s="56"/>
      <c r="AJ25" s="56">
        <f t="shared" si="1"/>
        <v>20386</v>
      </c>
      <c r="AK25" s="85"/>
      <c r="AL25" s="56">
        <v>0</v>
      </c>
      <c r="AM25" s="56"/>
      <c r="AN25" s="88">
        <v>22207.38</v>
      </c>
      <c r="AO25" s="88">
        <v>0</v>
      </c>
      <c r="AP25" s="88">
        <v>22928.86</v>
      </c>
      <c r="AQ25" s="56"/>
      <c r="AR25" s="56">
        <v>0</v>
      </c>
      <c r="AS25" s="56"/>
      <c r="AT25" s="56">
        <v>2370</v>
      </c>
      <c r="AU25" s="56"/>
      <c r="AV25" s="56">
        <f t="shared" si="2"/>
        <v>25298.86</v>
      </c>
      <c r="AW25" s="56"/>
      <c r="AX25" s="56">
        <v>0</v>
      </c>
      <c r="AY25" s="56"/>
      <c r="AZ25" s="88">
        <v>16756</v>
      </c>
      <c r="BA25" s="56">
        <v>16756</v>
      </c>
      <c r="BB25" s="214"/>
      <c r="BC25" s="56"/>
      <c r="BD25" s="84">
        <f t="shared" si="3"/>
        <v>721.47999999999956</v>
      </c>
      <c r="BE25" s="56"/>
      <c r="BF25" s="56"/>
      <c r="BG25" s="56"/>
      <c r="BH25" s="72"/>
    </row>
    <row r="26" spans="1:60" ht="18.95" customHeight="1" outlineLevel="1">
      <c r="A26" s="77" t="s">
        <v>43</v>
      </c>
      <c r="B26" s="109" t="s">
        <v>1059</v>
      </c>
      <c r="C26" s="77" t="str">
        <f t="shared" si="5"/>
        <v>AI·</v>
      </c>
      <c r="D26" s="78" t="s">
        <v>46</v>
      </c>
      <c r="E26" s="78" t="str">
        <f t="shared" si="4"/>
        <v>000</v>
      </c>
      <c r="F26" s="3">
        <v>673047</v>
      </c>
      <c r="G26" s="102" t="s">
        <v>392</v>
      </c>
      <c r="H26" s="87"/>
      <c r="I26" s="13">
        <v>2095</v>
      </c>
      <c r="J26" s="13">
        <v>1299</v>
      </c>
      <c r="L26" s="56">
        <v>18443</v>
      </c>
      <c r="M26" s="56"/>
      <c r="N26" s="56">
        <v>7800</v>
      </c>
      <c r="O26" s="56"/>
      <c r="P26" s="56">
        <v>7800</v>
      </c>
      <c r="Q26" s="56"/>
      <c r="R26" s="56">
        <v>7800</v>
      </c>
      <c r="S26" s="56"/>
      <c r="T26" s="56">
        <v>0</v>
      </c>
      <c r="U26" s="56"/>
      <c r="V26" s="56">
        <v>7800</v>
      </c>
      <c r="W26" s="56"/>
      <c r="X26" s="56">
        <v>7800</v>
      </c>
      <c r="Y26" s="56"/>
      <c r="Z26" s="56">
        <v>7800</v>
      </c>
      <c r="AA26" s="56"/>
      <c r="AB26" s="56"/>
      <c r="AC26" s="56"/>
      <c r="AD26" s="56"/>
      <c r="AE26" s="56"/>
      <c r="AF26" s="56">
        <f t="shared" si="0"/>
        <v>7800</v>
      </c>
      <c r="AG26" s="56">
        <v>0</v>
      </c>
      <c r="AH26" s="56">
        <v>0</v>
      </c>
      <c r="AI26" s="56"/>
      <c r="AJ26" s="56">
        <f t="shared" si="1"/>
        <v>7800</v>
      </c>
      <c r="AK26" s="85"/>
      <c r="AL26" s="56">
        <v>0</v>
      </c>
      <c r="AM26" s="56"/>
      <c r="AN26" s="88">
        <v>0</v>
      </c>
      <c r="AO26" s="88">
        <v>0</v>
      </c>
      <c r="AP26" s="88">
        <v>0</v>
      </c>
      <c r="AQ26" s="56"/>
      <c r="AR26" s="56">
        <v>0</v>
      </c>
      <c r="AS26" s="56"/>
      <c r="AT26" s="56">
        <v>0</v>
      </c>
      <c r="AU26" s="56"/>
      <c r="AV26" s="56">
        <f t="shared" si="2"/>
        <v>0</v>
      </c>
      <c r="AW26" s="56"/>
      <c r="AX26" s="56">
        <v>0</v>
      </c>
      <c r="AY26" s="56"/>
      <c r="AZ26" s="88">
        <v>0</v>
      </c>
      <c r="BA26" s="56">
        <v>43693</v>
      </c>
      <c r="BB26" s="214"/>
      <c r="BC26" s="56"/>
      <c r="BD26" s="84">
        <f t="shared" si="3"/>
        <v>0</v>
      </c>
      <c r="BE26" s="56"/>
      <c r="BF26" s="56"/>
      <c r="BG26" s="56"/>
      <c r="BH26" s="72"/>
    </row>
    <row r="27" spans="1:60" ht="18.95" customHeight="1" outlineLevel="1">
      <c r="A27" s="77" t="s">
        <v>43</v>
      </c>
      <c r="B27" s="77" t="s">
        <v>384</v>
      </c>
      <c r="C27" s="77" t="str">
        <f t="shared" si="5"/>
        <v>AI·</v>
      </c>
      <c r="D27" s="78" t="s">
        <v>46</v>
      </c>
      <c r="E27" s="78" t="str">
        <f t="shared" si="4"/>
        <v>000</v>
      </c>
      <c r="F27" s="3">
        <v>673048</v>
      </c>
      <c r="G27" s="102" t="s">
        <v>393</v>
      </c>
      <c r="H27" s="87"/>
      <c r="I27" s="13">
        <v>2778</v>
      </c>
      <c r="J27" s="13">
        <v>2674</v>
      </c>
      <c r="L27" s="56">
        <v>18955</v>
      </c>
      <c r="M27" s="56"/>
      <c r="N27" s="56">
        <v>5000</v>
      </c>
      <c r="O27" s="56"/>
      <c r="P27" s="56">
        <v>5000</v>
      </c>
      <c r="Q27" s="56"/>
      <c r="R27" s="56">
        <v>5000</v>
      </c>
      <c r="S27" s="56"/>
      <c r="T27" s="56">
        <v>0</v>
      </c>
      <c r="U27" s="56"/>
      <c r="V27" s="56">
        <v>5000</v>
      </c>
      <c r="W27" s="56"/>
      <c r="X27" s="56">
        <v>5000</v>
      </c>
      <c r="Y27" s="56"/>
      <c r="Z27" s="56">
        <v>5000</v>
      </c>
      <c r="AA27" s="56"/>
      <c r="AB27" s="56"/>
      <c r="AC27" s="56"/>
      <c r="AD27" s="56"/>
      <c r="AE27" s="56"/>
      <c r="AF27" s="56">
        <f t="shared" si="0"/>
        <v>5000</v>
      </c>
      <c r="AG27" s="56">
        <v>0</v>
      </c>
      <c r="AH27" s="56">
        <v>0</v>
      </c>
      <c r="AI27" s="56"/>
      <c r="AJ27" s="56">
        <f t="shared" si="1"/>
        <v>5000</v>
      </c>
      <c r="AK27" s="85"/>
      <c r="AL27" s="56">
        <v>0</v>
      </c>
      <c r="AM27" s="56"/>
      <c r="AN27" s="88">
        <v>0</v>
      </c>
      <c r="AO27" s="88">
        <v>0</v>
      </c>
      <c r="AP27" s="88">
        <v>0</v>
      </c>
      <c r="AQ27" s="56"/>
      <c r="AR27" s="56">
        <v>0</v>
      </c>
      <c r="AS27" s="56"/>
      <c r="AT27" s="56">
        <v>0</v>
      </c>
      <c r="AU27" s="56"/>
      <c r="AV27" s="56">
        <f t="shared" si="2"/>
        <v>0</v>
      </c>
      <c r="AW27" s="56"/>
      <c r="AX27" s="56">
        <v>0</v>
      </c>
      <c r="AY27" s="56"/>
      <c r="AZ27" s="88">
        <v>0</v>
      </c>
      <c r="BA27" s="56">
        <v>0</v>
      </c>
      <c r="BB27" s="214"/>
      <c r="BC27" s="56"/>
      <c r="BD27" s="84">
        <f t="shared" si="3"/>
        <v>0</v>
      </c>
      <c r="BE27" s="56"/>
      <c r="BF27" s="56"/>
      <c r="BG27" s="56"/>
      <c r="BH27" s="72"/>
    </row>
    <row r="28" spans="1:60" ht="18.95" customHeight="1" outlineLevel="1">
      <c r="A28" s="77" t="s">
        <v>43</v>
      </c>
      <c r="B28" s="77" t="s">
        <v>394</v>
      </c>
      <c r="C28" s="77" t="str">
        <f t="shared" si="5"/>
        <v>AI·</v>
      </c>
      <c r="D28" s="78" t="s">
        <v>46</v>
      </c>
      <c r="E28" s="78" t="str">
        <f t="shared" si="4"/>
        <v>000</v>
      </c>
      <c r="F28" s="3">
        <v>634032</v>
      </c>
      <c r="G28" s="102" t="s">
        <v>395</v>
      </c>
      <c r="H28" s="87"/>
      <c r="I28" s="13">
        <v>31373</v>
      </c>
      <c r="J28" s="13">
        <v>43057</v>
      </c>
      <c r="L28" s="56">
        <v>31716</v>
      </c>
      <c r="M28" s="56"/>
      <c r="N28" s="56">
        <v>31766</v>
      </c>
      <c r="O28" s="56"/>
      <c r="P28" s="56">
        <v>31766</v>
      </c>
      <c r="Q28" s="56"/>
      <c r="R28" s="56">
        <v>31766</v>
      </c>
      <c r="S28" s="56"/>
      <c r="T28" s="56">
        <v>0</v>
      </c>
      <c r="U28" s="56"/>
      <c r="V28" s="56">
        <v>31766</v>
      </c>
      <c r="W28" s="56"/>
      <c r="X28" s="56">
        <v>31740.57</v>
      </c>
      <c r="Y28" s="56"/>
      <c r="Z28" s="56">
        <v>31766</v>
      </c>
      <c r="AA28" s="56"/>
      <c r="AB28" s="56"/>
      <c r="AC28" s="56"/>
      <c r="AD28" s="56"/>
      <c r="AE28" s="56"/>
      <c r="AF28" s="56">
        <f t="shared" si="0"/>
        <v>31766</v>
      </c>
      <c r="AG28" s="56">
        <v>0</v>
      </c>
      <c r="AH28" s="56">
        <v>0</v>
      </c>
      <c r="AI28" s="56"/>
      <c r="AJ28" s="56">
        <f t="shared" si="1"/>
        <v>31766</v>
      </c>
      <c r="AK28" s="85"/>
      <c r="AL28" s="56">
        <v>0</v>
      </c>
      <c r="AM28" s="56"/>
      <c r="AN28" s="88">
        <v>29683.200000000001</v>
      </c>
      <c r="AO28" s="88">
        <v>0</v>
      </c>
      <c r="AP28" s="88">
        <v>7705.53</v>
      </c>
      <c r="AQ28" s="56"/>
      <c r="AR28" s="56">
        <v>0</v>
      </c>
      <c r="AS28" s="56"/>
      <c r="AT28" s="56">
        <v>0</v>
      </c>
      <c r="AU28" s="56"/>
      <c r="AV28" s="56">
        <f t="shared" si="2"/>
        <v>7705.53</v>
      </c>
      <c r="AW28" s="56"/>
      <c r="AX28" s="56">
        <v>0</v>
      </c>
      <c r="AY28" s="56"/>
      <c r="AZ28" s="88">
        <v>31766</v>
      </c>
      <c r="BA28" s="56">
        <v>48768</v>
      </c>
      <c r="BB28" s="214"/>
      <c r="BC28" s="56"/>
      <c r="BD28" s="84">
        <f t="shared" si="3"/>
        <v>-21977.670000000002</v>
      </c>
      <c r="BE28" s="56"/>
      <c r="BF28" s="56"/>
      <c r="BG28" s="56"/>
      <c r="BH28" s="72"/>
    </row>
    <row r="29" spans="1:60" ht="18.95" customHeight="1" outlineLevel="1">
      <c r="A29" s="77" t="s">
        <v>43</v>
      </c>
      <c r="B29" s="77" t="s">
        <v>394</v>
      </c>
      <c r="C29" s="77" t="str">
        <f t="shared" si="5"/>
        <v>AI·</v>
      </c>
      <c r="D29" s="78" t="s">
        <v>46</v>
      </c>
      <c r="E29" s="78" t="str">
        <f t="shared" si="4"/>
        <v>000</v>
      </c>
      <c r="F29" s="3">
        <v>658232</v>
      </c>
      <c r="G29" s="102" t="s">
        <v>396</v>
      </c>
      <c r="H29" s="87"/>
      <c r="I29" s="13">
        <v>7418</v>
      </c>
      <c r="J29" s="13">
        <v>2631</v>
      </c>
      <c r="L29" s="56">
        <v>2759</v>
      </c>
      <c r="M29" s="56"/>
      <c r="N29" s="56">
        <v>3000</v>
      </c>
      <c r="O29" s="56"/>
      <c r="P29" s="56">
        <v>3000</v>
      </c>
      <c r="Q29" s="56"/>
      <c r="R29" s="56">
        <v>3000</v>
      </c>
      <c r="S29" s="56"/>
      <c r="T29" s="56">
        <v>0</v>
      </c>
      <c r="U29" s="56"/>
      <c r="V29" s="56">
        <v>3000</v>
      </c>
      <c r="W29" s="56"/>
      <c r="X29" s="56">
        <v>1606.94</v>
      </c>
      <c r="Y29" s="56"/>
      <c r="Z29" s="56">
        <v>3000</v>
      </c>
      <c r="AA29" s="56"/>
      <c r="AB29" s="56"/>
      <c r="AC29" s="56"/>
      <c r="AD29" s="56"/>
      <c r="AE29" s="56"/>
      <c r="AF29" s="56">
        <f t="shared" si="0"/>
        <v>3000</v>
      </c>
      <c r="AG29" s="56">
        <v>0</v>
      </c>
      <c r="AH29" s="56">
        <v>0</v>
      </c>
      <c r="AI29" s="56"/>
      <c r="AJ29" s="56">
        <f t="shared" si="1"/>
        <v>3000</v>
      </c>
      <c r="AK29" s="85"/>
      <c r="AL29" s="56">
        <v>0</v>
      </c>
      <c r="AM29" s="56"/>
      <c r="AN29" s="88">
        <v>1812.71</v>
      </c>
      <c r="AO29" s="88">
        <v>0</v>
      </c>
      <c r="AP29" s="88">
        <v>2341.5100000000002</v>
      </c>
      <c r="AQ29" s="56"/>
      <c r="AR29" s="56">
        <v>0</v>
      </c>
      <c r="AS29" s="56"/>
      <c r="AT29" s="56">
        <v>0</v>
      </c>
      <c r="AU29" s="56"/>
      <c r="AV29" s="56">
        <f t="shared" si="2"/>
        <v>2341.5100000000002</v>
      </c>
      <c r="AW29" s="56"/>
      <c r="AX29" s="56">
        <v>0</v>
      </c>
      <c r="AY29" s="56"/>
      <c r="AZ29" s="88">
        <v>3000</v>
      </c>
      <c r="BA29" s="56">
        <v>3000</v>
      </c>
      <c r="BB29" s="214"/>
      <c r="BC29" s="56"/>
      <c r="BD29" s="84">
        <f t="shared" si="3"/>
        <v>528.80000000000018</v>
      </c>
      <c r="BE29" s="56"/>
      <c r="BF29" s="56"/>
      <c r="BG29" s="56"/>
      <c r="BH29" s="72"/>
    </row>
    <row r="30" spans="1:60" ht="18.95" customHeight="1" outlineLevel="1">
      <c r="A30" s="77" t="s">
        <v>43</v>
      </c>
      <c r="B30" s="77" t="s">
        <v>394</v>
      </c>
      <c r="C30" s="77" t="str">
        <f t="shared" si="5"/>
        <v>AI·</v>
      </c>
      <c r="D30" s="78" t="s">
        <v>46</v>
      </c>
      <c r="E30" s="78" t="str">
        <f t="shared" si="4"/>
        <v>000</v>
      </c>
      <c r="F30" s="3">
        <v>658233</v>
      </c>
      <c r="G30" s="102" t="s">
        <v>397</v>
      </c>
      <c r="H30" s="87"/>
      <c r="I30" s="13">
        <v>1500</v>
      </c>
      <c r="J30" s="13">
        <v>1344</v>
      </c>
      <c r="L30" s="56">
        <v>1493</v>
      </c>
      <c r="M30" s="56"/>
      <c r="N30" s="56">
        <v>1500</v>
      </c>
      <c r="O30" s="56"/>
      <c r="P30" s="56">
        <v>1500</v>
      </c>
      <c r="Q30" s="56"/>
      <c r="R30" s="56">
        <v>1500</v>
      </c>
      <c r="S30" s="56"/>
      <c r="T30" s="56">
        <v>0</v>
      </c>
      <c r="U30" s="56"/>
      <c r="V30" s="56">
        <v>1500</v>
      </c>
      <c r="W30" s="56"/>
      <c r="X30" s="56">
        <v>772.57</v>
      </c>
      <c r="Y30" s="56"/>
      <c r="Z30" s="56">
        <v>1500</v>
      </c>
      <c r="AA30" s="56"/>
      <c r="AB30" s="56"/>
      <c r="AC30" s="56"/>
      <c r="AD30" s="56"/>
      <c r="AE30" s="56"/>
      <c r="AF30" s="56">
        <f t="shared" si="0"/>
        <v>1500</v>
      </c>
      <c r="AG30" s="56">
        <v>0</v>
      </c>
      <c r="AH30" s="56">
        <v>0</v>
      </c>
      <c r="AI30" s="56"/>
      <c r="AJ30" s="56">
        <f t="shared" si="1"/>
        <v>1500</v>
      </c>
      <c r="AK30" s="85"/>
      <c r="AL30" s="56">
        <v>0</v>
      </c>
      <c r="AM30" s="56"/>
      <c r="AN30" s="88">
        <v>960.64</v>
      </c>
      <c r="AO30" s="88">
        <v>0</v>
      </c>
      <c r="AP30" s="88">
        <v>1325.84</v>
      </c>
      <c r="AQ30" s="56"/>
      <c r="AR30" s="56">
        <v>0</v>
      </c>
      <c r="AS30" s="56"/>
      <c r="AT30" s="56">
        <v>0</v>
      </c>
      <c r="AU30" s="56"/>
      <c r="AV30" s="56">
        <f t="shared" si="2"/>
        <v>1325.84</v>
      </c>
      <c r="AW30" s="56"/>
      <c r="AX30" s="56">
        <v>0</v>
      </c>
      <c r="AY30" s="56"/>
      <c r="AZ30" s="88">
        <v>1500</v>
      </c>
      <c r="BA30" s="56">
        <v>1500</v>
      </c>
      <c r="BB30" s="214"/>
      <c r="BC30" s="56"/>
      <c r="BD30" s="84">
        <f t="shared" si="3"/>
        <v>365.19999999999993</v>
      </c>
      <c r="BE30" s="56"/>
      <c r="BF30" s="56"/>
      <c r="BG30" s="56"/>
      <c r="BH30" s="72"/>
    </row>
    <row r="31" spans="1:60" ht="18.95" customHeight="1" outlineLevel="1">
      <c r="A31" s="77" t="s">
        <v>43</v>
      </c>
      <c r="B31" s="77" t="s">
        <v>394</v>
      </c>
      <c r="C31" s="77" t="str">
        <f t="shared" si="5"/>
        <v>AI·</v>
      </c>
      <c r="D31" s="78" t="s">
        <v>46</v>
      </c>
      <c r="E31" s="78" t="str">
        <f t="shared" si="4"/>
        <v>000</v>
      </c>
      <c r="F31" s="3">
        <v>661042</v>
      </c>
      <c r="G31" s="102" t="s">
        <v>398</v>
      </c>
      <c r="H31" s="87"/>
      <c r="I31" s="13">
        <v>22260</v>
      </c>
      <c r="J31" s="13">
        <v>19419</v>
      </c>
      <c r="L31" s="56">
        <v>33328</v>
      </c>
      <c r="M31" s="56"/>
      <c r="N31" s="56">
        <v>33500</v>
      </c>
      <c r="O31" s="56"/>
      <c r="P31" s="56">
        <v>33505</v>
      </c>
      <c r="Q31" s="56"/>
      <c r="R31" s="56">
        <v>33505</v>
      </c>
      <c r="S31" s="56"/>
      <c r="T31" s="56">
        <v>0</v>
      </c>
      <c r="U31" s="56"/>
      <c r="V31" s="56">
        <v>33505</v>
      </c>
      <c r="W31" s="56"/>
      <c r="X31" s="56">
        <v>32112.59</v>
      </c>
      <c r="Y31" s="56"/>
      <c r="Z31" s="56">
        <v>33505</v>
      </c>
      <c r="AA31" s="56"/>
      <c r="AB31" s="56"/>
      <c r="AC31" s="56"/>
      <c r="AD31" s="56"/>
      <c r="AE31" s="56"/>
      <c r="AF31" s="56">
        <f t="shared" si="0"/>
        <v>33505</v>
      </c>
      <c r="AG31" s="89">
        <v>50000</v>
      </c>
      <c r="AH31" s="56">
        <v>0</v>
      </c>
      <c r="AI31" s="56"/>
      <c r="AJ31" s="56">
        <f t="shared" si="1"/>
        <v>83505</v>
      </c>
      <c r="AK31" s="85"/>
      <c r="AL31" s="56">
        <v>5000</v>
      </c>
      <c r="AM31" s="56"/>
      <c r="AN31" s="88">
        <v>52804.23</v>
      </c>
      <c r="AO31" s="88">
        <v>0</v>
      </c>
      <c r="AP31" s="88">
        <v>132698.07999999999</v>
      </c>
      <c r="AQ31" s="56"/>
      <c r="AR31" s="56">
        <v>0</v>
      </c>
      <c r="AS31" s="56"/>
      <c r="AT31" s="56">
        <v>31089.75</v>
      </c>
      <c r="AU31" s="56"/>
      <c r="AV31" s="56">
        <f t="shared" si="2"/>
        <v>163787.82999999999</v>
      </c>
      <c r="AW31" s="56"/>
      <c r="AX31" s="89">
        <v>20000</v>
      </c>
      <c r="AY31" s="56"/>
      <c r="AZ31" s="88">
        <v>96595</v>
      </c>
      <c r="BA31" s="56">
        <v>100489</v>
      </c>
      <c r="BB31" s="214"/>
      <c r="BC31" s="56"/>
      <c r="BD31" s="84">
        <f t="shared" si="3"/>
        <v>79893.849999999977</v>
      </c>
      <c r="BE31" s="56"/>
      <c r="BF31" s="56"/>
      <c r="BG31" s="56"/>
      <c r="BH31" s="72"/>
    </row>
    <row r="32" spans="1:60" ht="18.95" customHeight="1" outlineLevel="1">
      <c r="A32" s="77" t="s">
        <v>43</v>
      </c>
      <c r="B32" s="77" t="s">
        <v>394</v>
      </c>
      <c r="C32" s="77" t="str">
        <f t="shared" si="5"/>
        <v>AI·</v>
      </c>
      <c r="D32" s="78" t="s">
        <v>46</v>
      </c>
      <c r="E32" s="78" t="str">
        <f t="shared" si="4"/>
        <v>000</v>
      </c>
      <c r="F32" s="3">
        <v>661043</v>
      </c>
      <c r="G32" s="102" t="s">
        <v>399</v>
      </c>
      <c r="H32" s="87"/>
      <c r="I32" s="13">
        <v>2369</v>
      </c>
      <c r="J32" s="13">
        <v>1816</v>
      </c>
      <c r="L32" s="56">
        <v>2441</v>
      </c>
      <c r="M32" s="56"/>
      <c r="N32" s="56">
        <v>2500</v>
      </c>
      <c r="O32" s="56"/>
      <c r="P32" s="56">
        <v>2500</v>
      </c>
      <c r="Q32" s="56"/>
      <c r="R32" s="56">
        <v>2500</v>
      </c>
      <c r="S32" s="56"/>
      <c r="T32" s="56">
        <v>0</v>
      </c>
      <c r="U32" s="56"/>
      <c r="V32" s="56">
        <v>2500</v>
      </c>
      <c r="W32" s="56"/>
      <c r="X32" s="56">
        <v>2280.9299999999998</v>
      </c>
      <c r="Y32" s="56"/>
      <c r="Z32" s="56">
        <v>2500</v>
      </c>
      <c r="AA32" s="56"/>
      <c r="AB32" s="56"/>
      <c r="AC32" s="56"/>
      <c r="AD32" s="56"/>
      <c r="AE32" s="56"/>
      <c r="AF32" s="56">
        <f t="shared" si="0"/>
        <v>2500</v>
      </c>
      <c r="AG32" s="56">
        <v>0</v>
      </c>
      <c r="AH32" s="56">
        <v>0</v>
      </c>
      <c r="AI32" s="56"/>
      <c r="AJ32" s="56">
        <f t="shared" si="1"/>
        <v>2500</v>
      </c>
      <c r="AK32" s="85"/>
      <c r="AL32" s="56">
        <v>0</v>
      </c>
      <c r="AM32" s="56"/>
      <c r="AN32" s="88">
        <v>2330</v>
      </c>
      <c r="AO32" s="88">
        <v>0</v>
      </c>
      <c r="AP32" s="88">
        <v>569.07000000000005</v>
      </c>
      <c r="AQ32" s="56"/>
      <c r="AR32" s="56">
        <v>0</v>
      </c>
      <c r="AS32" s="56"/>
      <c r="AT32" s="56">
        <v>0</v>
      </c>
      <c r="AU32" s="56"/>
      <c r="AV32" s="56">
        <f t="shared" si="2"/>
        <v>569.07000000000005</v>
      </c>
      <c r="AW32" s="56"/>
      <c r="AX32" s="56">
        <v>0</v>
      </c>
      <c r="AY32" s="56"/>
      <c r="AZ32" s="88">
        <v>2500</v>
      </c>
      <c r="BA32" s="56">
        <v>2500</v>
      </c>
      <c r="BB32" s="214"/>
      <c r="BC32" s="56"/>
      <c r="BD32" s="84">
        <f t="shared" si="3"/>
        <v>-1760.9299999999998</v>
      </c>
      <c r="BE32" s="56"/>
      <c r="BF32" s="56"/>
      <c r="BG32" s="56"/>
      <c r="BH32" s="72"/>
    </row>
    <row r="33" spans="1:62" ht="18.95" customHeight="1" outlineLevel="1">
      <c r="A33" s="77" t="s">
        <v>43</v>
      </c>
      <c r="B33" s="77" t="s">
        <v>394</v>
      </c>
      <c r="C33" s="77" t="str">
        <f t="shared" si="5"/>
        <v>AI·</v>
      </c>
      <c r="D33" s="78" t="s">
        <v>46</v>
      </c>
      <c r="E33" s="78" t="str">
        <f t="shared" si="4"/>
        <v>000</v>
      </c>
      <c r="F33" s="3">
        <v>673042</v>
      </c>
      <c r="G33" s="102" t="s">
        <v>400</v>
      </c>
      <c r="H33" s="87"/>
      <c r="I33" s="13">
        <v>0</v>
      </c>
      <c r="J33" s="13">
        <v>1196</v>
      </c>
      <c r="L33" s="56">
        <v>5000</v>
      </c>
      <c r="M33" s="56"/>
      <c r="N33" s="56">
        <v>5000</v>
      </c>
      <c r="O33" s="56"/>
      <c r="P33" s="56">
        <v>5000</v>
      </c>
      <c r="Q33" s="56"/>
      <c r="R33" s="56">
        <v>5000</v>
      </c>
      <c r="S33" s="56"/>
      <c r="T33" s="56">
        <v>0</v>
      </c>
      <c r="U33" s="56"/>
      <c r="V33" s="56">
        <v>5000</v>
      </c>
      <c r="W33" s="56"/>
      <c r="X33" s="56">
        <v>4923.17</v>
      </c>
      <c r="Y33" s="56"/>
      <c r="Z33" s="56">
        <v>5000</v>
      </c>
      <c r="AA33" s="56"/>
      <c r="AB33" s="56"/>
      <c r="AC33" s="56"/>
      <c r="AD33" s="56"/>
      <c r="AE33" s="56"/>
      <c r="AF33" s="56">
        <f t="shared" si="0"/>
        <v>5000</v>
      </c>
      <c r="AG33" s="56">
        <v>0</v>
      </c>
      <c r="AH33" s="56">
        <v>0</v>
      </c>
      <c r="AI33" s="56"/>
      <c r="AJ33" s="56">
        <f t="shared" si="1"/>
        <v>5000</v>
      </c>
      <c r="AK33" s="85"/>
      <c r="AL33" s="56">
        <v>-5000</v>
      </c>
      <c r="AM33" s="56"/>
      <c r="AN33" s="88">
        <f>SUM(AI33:AM33)</f>
        <v>0</v>
      </c>
      <c r="AO33" s="88">
        <v>0</v>
      </c>
      <c r="AP33" s="88">
        <v>0</v>
      </c>
      <c r="AQ33" s="56"/>
      <c r="AR33" s="56">
        <v>0</v>
      </c>
      <c r="AS33" s="56"/>
      <c r="AT33" s="56">
        <v>0</v>
      </c>
      <c r="AU33" s="56"/>
      <c r="AV33" s="56">
        <f t="shared" si="2"/>
        <v>0</v>
      </c>
      <c r="AW33" s="56"/>
      <c r="AX33" s="56">
        <v>0</v>
      </c>
      <c r="AY33" s="56"/>
      <c r="AZ33" s="88">
        <v>0</v>
      </c>
      <c r="BA33" s="56">
        <v>0</v>
      </c>
      <c r="BB33" s="214"/>
      <c r="BC33" s="56"/>
      <c r="BD33" s="84">
        <f t="shared" si="3"/>
        <v>0</v>
      </c>
      <c r="BE33" s="56"/>
      <c r="BF33" s="56"/>
      <c r="BG33" s="56"/>
      <c r="BH33" s="72"/>
    </row>
    <row r="34" spans="1:62" ht="18.95" customHeight="1" outlineLevel="1">
      <c r="A34" s="77" t="s">
        <v>43</v>
      </c>
      <c r="B34" s="77" t="s">
        <v>387</v>
      </c>
      <c r="C34" s="77" t="str">
        <f t="shared" si="5"/>
        <v>AI·</v>
      </c>
      <c r="D34" s="78" t="s">
        <v>46</v>
      </c>
      <c r="E34" s="78" t="str">
        <f t="shared" si="4"/>
        <v>000</v>
      </c>
      <c r="F34" s="79">
        <v>611211</v>
      </c>
      <c r="G34" s="102" t="s">
        <v>401</v>
      </c>
      <c r="H34" s="87"/>
      <c r="I34" s="56">
        <v>113881</v>
      </c>
      <c r="J34" s="56">
        <v>89328</v>
      </c>
      <c r="L34" s="56">
        <v>100078</v>
      </c>
      <c r="M34" s="83"/>
      <c r="N34" s="56">
        <v>102628</v>
      </c>
      <c r="O34" s="83"/>
      <c r="P34" s="56">
        <v>102628</v>
      </c>
      <c r="Q34" s="83"/>
      <c r="R34" s="56">
        <v>107728</v>
      </c>
      <c r="S34" s="56"/>
      <c r="T34" s="56">
        <v>0</v>
      </c>
      <c r="U34" s="83"/>
      <c r="V34" s="56">
        <v>107728</v>
      </c>
      <c r="W34" s="83"/>
      <c r="X34" s="56">
        <f>106428+14618.21</f>
        <v>121046.20999999999</v>
      </c>
      <c r="Y34" s="83"/>
      <c r="Z34" s="56">
        <v>104666</v>
      </c>
      <c r="AA34" s="83"/>
      <c r="AB34" s="56"/>
      <c r="AC34" s="83"/>
      <c r="AD34" s="56"/>
      <c r="AE34" s="83"/>
      <c r="AF34" s="56">
        <f t="shared" si="0"/>
        <v>104666</v>
      </c>
      <c r="AG34" s="56">
        <v>0</v>
      </c>
      <c r="AH34" s="56">
        <v>2500</v>
      </c>
      <c r="AI34" s="83"/>
      <c r="AJ34" s="56">
        <f t="shared" si="1"/>
        <v>107166</v>
      </c>
      <c r="AK34" s="85"/>
      <c r="AL34" s="56">
        <v>0</v>
      </c>
      <c r="AM34" s="83"/>
      <c r="AN34" s="88">
        <v>107515.92</v>
      </c>
      <c r="AO34" s="88">
        <v>0</v>
      </c>
      <c r="AP34" s="88">
        <v>105590.96</v>
      </c>
      <c r="AQ34" s="83"/>
      <c r="AR34" s="56">
        <v>0</v>
      </c>
      <c r="AS34" s="83"/>
      <c r="AT34" s="56">
        <v>0</v>
      </c>
      <c r="AU34" s="83"/>
      <c r="AV34" s="56">
        <f t="shared" si="2"/>
        <v>105590.96</v>
      </c>
      <c r="AW34" s="56"/>
      <c r="AX34" s="56">
        <v>0</v>
      </c>
      <c r="AY34" s="56"/>
      <c r="AZ34" s="88">
        <v>105816</v>
      </c>
      <c r="BA34" s="56">
        <v>148308</v>
      </c>
      <c r="BB34" s="214"/>
      <c r="BC34" s="56"/>
      <c r="BD34" s="84">
        <f t="shared" si="3"/>
        <v>-1924.9599999999919</v>
      </c>
      <c r="BE34" s="56"/>
      <c r="BF34" s="56"/>
      <c r="BG34" s="56"/>
      <c r="BH34" s="72">
        <v>1</v>
      </c>
      <c r="BJ34">
        <v>1</v>
      </c>
    </row>
    <row r="35" spans="1:62" ht="18.95" customHeight="1" outlineLevel="1">
      <c r="A35" s="77" t="s">
        <v>43</v>
      </c>
      <c r="B35" s="77" t="s">
        <v>387</v>
      </c>
      <c r="C35" s="77" t="str">
        <f t="shared" si="5"/>
        <v>AI·</v>
      </c>
      <c r="D35" s="78" t="s">
        <v>46</v>
      </c>
      <c r="E35" s="78" t="str">
        <f t="shared" si="4"/>
        <v>000</v>
      </c>
      <c r="F35" s="3">
        <v>611511</v>
      </c>
      <c r="G35" s="102" t="s">
        <v>402</v>
      </c>
      <c r="H35" s="87"/>
      <c r="I35" s="13">
        <v>22112</v>
      </c>
      <c r="J35" s="13">
        <v>26672</v>
      </c>
      <c r="L35" s="56">
        <v>48518</v>
      </c>
      <c r="M35" s="56"/>
      <c r="N35" s="56">
        <v>15929</v>
      </c>
      <c r="O35" s="56"/>
      <c r="P35" s="56">
        <v>15929</v>
      </c>
      <c r="Q35" s="56"/>
      <c r="R35" s="56">
        <v>17879</v>
      </c>
      <c r="S35" s="56"/>
      <c r="T35" s="56">
        <v>0</v>
      </c>
      <c r="U35" s="56"/>
      <c r="V35" s="56">
        <v>17879</v>
      </c>
      <c r="W35" s="56"/>
      <c r="X35" s="56">
        <v>37236.26</v>
      </c>
      <c r="Y35" s="56"/>
      <c r="Z35" s="56">
        <v>16500</v>
      </c>
      <c r="AA35" s="56"/>
      <c r="AB35" s="56"/>
      <c r="AC35" s="56"/>
      <c r="AD35" s="56"/>
      <c r="AE35" s="56"/>
      <c r="AF35" s="56">
        <f t="shared" si="0"/>
        <v>16500</v>
      </c>
      <c r="AG35" s="56">
        <v>0</v>
      </c>
      <c r="AH35" s="56">
        <v>2250</v>
      </c>
      <c r="AI35" s="56"/>
      <c r="AJ35" s="56">
        <f t="shared" si="1"/>
        <v>18750</v>
      </c>
      <c r="AK35" s="85"/>
      <c r="AL35" s="56">
        <v>0</v>
      </c>
      <c r="AM35" s="56"/>
      <c r="AN35" s="88">
        <v>24644.44</v>
      </c>
      <c r="AO35" s="88">
        <v>0</v>
      </c>
      <c r="AP35" s="88">
        <v>19538.900000000001</v>
      </c>
      <c r="AQ35" s="56"/>
      <c r="AR35" s="56">
        <v>0</v>
      </c>
      <c r="AS35" s="56"/>
      <c r="AT35" s="56">
        <v>0</v>
      </c>
      <c r="AU35" s="56"/>
      <c r="AV35" s="56">
        <f t="shared" si="2"/>
        <v>19538.900000000001</v>
      </c>
      <c r="AW35" s="56"/>
      <c r="AX35" s="56">
        <v>0</v>
      </c>
      <c r="AY35" s="56"/>
      <c r="AZ35" s="88">
        <v>18750</v>
      </c>
      <c r="BA35" s="56">
        <v>18750</v>
      </c>
      <c r="BB35" s="214"/>
      <c r="BC35" s="56"/>
      <c r="BD35" s="84">
        <f t="shared" si="3"/>
        <v>-5105.5399999999972</v>
      </c>
      <c r="BE35" s="56"/>
      <c r="BF35" s="56"/>
      <c r="BG35" s="56"/>
      <c r="BH35" s="72">
        <v>1</v>
      </c>
      <c r="BJ35">
        <v>1</v>
      </c>
    </row>
    <row r="36" spans="1:62" ht="18.95" customHeight="1" outlineLevel="1">
      <c r="A36" s="77" t="s">
        <v>43</v>
      </c>
      <c r="B36" s="77" t="s">
        <v>387</v>
      </c>
      <c r="C36" s="77" t="str">
        <f t="shared" si="5"/>
        <v>AI·</v>
      </c>
      <c r="D36" s="78" t="s">
        <v>46</v>
      </c>
      <c r="E36" s="78" t="str">
        <f t="shared" si="4"/>
        <v>000</v>
      </c>
      <c r="F36" s="3">
        <v>634011</v>
      </c>
      <c r="G36" s="102" t="s">
        <v>271</v>
      </c>
      <c r="H36" s="87"/>
      <c r="I36" s="13">
        <v>893</v>
      </c>
      <c r="J36" s="13">
        <v>3000</v>
      </c>
      <c r="L36" s="56">
        <v>2963</v>
      </c>
      <c r="M36" s="56"/>
      <c r="N36" s="56">
        <v>3000</v>
      </c>
      <c r="O36" s="56"/>
      <c r="P36" s="56">
        <v>3000</v>
      </c>
      <c r="Q36" s="56"/>
      <c r="R36" s="56">
        <v>7000</v>
      </c>
      <c r="S36" s="56"/>
      <c r="T36" s="56">
        <v>0</v>
      </c>
      <c r="U36" s="56"/>
      <c r="V36" s="56">
        <v>7000</v>
      </c>
      <c r="W36" s="56"/>
      <c r="X36" s="56">
        <v>9103.9</v>
      </c>
      <c r="Y36" s="56"/>
      <c r="Z36" s="56">
        <v>7000</v>
      </c>
      <c r="AA36" s="56"/>
      <c r="AB36" s="56"/>
      <c r="AC36" s="56"/>
      <c r="AD36" s="56"/>
      <c r="AE36" s="56"/>
      <c r="AF36" s="56">
        <f t="shared" si="0"/>
        <v>7000</v>
      </c>
      <c r="AG36" s="56">
        <v>0</v>
      </c>
      <c r="AH36" s="56">
        <v>0</v>
      </c>
      <c r="AI36" s="56"/>
      <c r="AJ36" s="56">
        <f t="shared" si="1"/>
        <v>7000</v>
      </c>
      <c r="AK36" s="85"/>
      <c r="AL36" s="56">
        <v>0</v>
      </c>
      <c r="AM36" s="56"/>
      <c r="AN36" s="88">
        <v>2800.78</v>
      </c>
      <c r="AO36" s="88">
        <v>0</v>
      </c>
      <c r="AP36" s="88">
        <v>6124.84</v>
      </c>
      <c r="AQ36" s="56"/>
      <c r="AR36" s="56">
        <v>0</v>
      </c>
      <c r="AS36" s="56"/>
      <c r="AT36" s="56">
        <v>0</v>
      </c>
      <c r="AU36" s="56"/>
      <c r="AV36" s="56">
        <f t="shared" si="2"/>
        <v>6124.84</v>
      </c>
      <c r="AW36" s="56"/>
      <c r="AX36" s="56">
        <v>0</v>
      </c>
      <c r="AY36" s="56"/>
      <c r="AZ36" s="88">
        <v>5000</v>
      </c>
      <c r="BA36" s="56">
        <v>5000</v>
      </c>
      <c r="BB36" s="214"/>
      <c r="BC36" s="56"/>
      <c r="BD36" s="84">
        <f t="shared" si="3"/>
        <v>3324.06</v>
      </c>
      <c r="BE36" s="56"/>
      <c r="BF36" s="56"/>
      <c r="BG36" s="56"/>
      <c r="BH36" s="72"/>
    </row>
    <row r="37" spans="1:62" ht="18.95" customHeight="1" outlineLevel="1">
      <c r="A37" s="77" t="s">
        <v>43</v>
      </c>
      <c r="B37" s="77" t="s">
        <v>387</v>
      </c>
      <c r="C37" s="77" t="str">
        <f t="shared" si="5"/>
        <v>AI·</v>
      </c>
      <c r="D37" s="78" t="s">
        <v>46</v>
      </c>
      <c r="E37" s="78" t="str">
        <f t="shared" si="4"/>
        <v>000</v>
      </c>
      <c r="F37" s="3">
        <v>634036</v>
      </c>
      <c r="G37" s="102" t="s">
        <v>403</v>
      </c>
      <c r="H37" s="87"/>
      <c r="I37" s="13">
        <v>289</v>
      </c>
      <c r="J37" s="13">
        <v>500</v>
      </c>
      <c r="L37" s="56">
        <v>0</v>
      </c>
      <c r="M37" s="56"/>
      <c r="N37" s="56">
        <v>500</v>
      </c>
      <c r="O37" s="56"/>
      <c r="P37" s="56">
        <v>500</v>
      </c>
      <c r="Q37" s="56"/>
      <c r="R37" s="56">
        <v>500</v>
      </c>
      <c r="S37" s="56"/>
      <c r="T37" s="56">
        <v>0</v>
      </c>
      <c r="U37" s="56"/>
      <c r="V37" s="56">
        <v>500</v>
      </c>
      <c r="W37" s="56"/>
      <c r="X37" s="56">
        <v>500</v>
      </c>
      <c r="Y37" s="56"/>
      <c r="Z37" s="56">
        <v>500</v>
      </c>
      <c r="AA37" s="56"/>
      <c r="AB37" s="56"/>
      <c r="AC37" s="56"/>
      <c r="AD37" s="56"/>
      <c r="AE37" s="56"/>
      <c r="AF37" s="56">
        <f t="shared" si="0"/>
        <v>500</v>
      </c>
      <c r="AG37" s="56">
        <v>0</v>
      </c>
      <c r="AH37" s="56">
        <v>0</v>
      </c>
      <c r="AI37" s="56"/>
      <c r="AJ37" s="56">
        <f t="shared" si="1"/>
        <v>500</v>
      </c>
      <c r="AK37" s="85"/>
      <c r="AL37" s="56">
        <v>0</v>
      </c>
      <c r="AM37" s="56"/>
      <c r="AN37" s="88">
        <v>0</v>
      </c>
      <c r="AO37" s="88">
        <v>0</v>
      </c>
      <c r="AP37" s="88">
        <v>387</v>
      </c>
      <c r="AQ37" s="56"/>
      <c r="AR37" s="56">
        <v>0</v>
      </c>
      <c r="AS37" s="56"/>
      <c r="AT37" s="56">
        <v>0</v>
      </c>
      <c r="AU37" s="56"/>
      <c r="AV37" s="56">
        <f t="shared" si="2"/>
        <v>387</v>
      </c>
      <c r="AW37" s="56"/>
      <c r="AX37" s="56">
        <v>0</v>
      </c>
      <c r="AY37" s="56"/>
      <c r="AZ37" s="88">
        <v>500</v>
      </c>
      <c r="BA37" s="56">
        <v>500</v>
      </c>
      <c r="BB37" s="214"/>
      <c r="BC37" s="56"/>
      <c r="BD37" s="84">
        <f t="shared" si="3"/>
        <v>387</v>
      </c>
      <c r="BE37" s="56"/>
      <c r="BF37" s="56"/>
      <c r="BG37" s="56"/>
      <c r="BH37" s="72"/>
    </row>
    <row r="38" spans="1:62" ht="18.95" customHeight="1" outlineLevel="1">
      <c r="A38" s="77" t="s">
        <v>43</v>
      </c>
      <c r="B38" s="77" t="s">
        <v>387</v>
      </c>
      <c r="C38" s="77" t="str">
        <f t="shared" si="5"/>
        <v>AI·</v>
      </c>
      <c r="D38" s="78" t="s">
        <v>46</v>
      </c>
      <c r="E38" s="78" t="str">
        <f t="shared" si="4"/>
        <v>000</v>
      </c>
      <c r="F38" s="3">
        <v>643012</v>
      </c>
      <c r="G38" s="102" t="s">
        <v>404</v>
      </c>
      <c r="H38" s="87"/>
      <c r="I38" s="13">
        <v>0</v>
      </c>
      <c r="J38" s="13">
        <v>575</v>
      </c>
      <c r="L38" s="56">
        <v>80</v>
      </c>
      <c r="M38" s="56"/>
      <c r="N38" s="56">
        <v>1500</v>
      </c>
      <c r="O38" s="56"/>
      <c r="P38" s="56">
        <v>1500</v>
      </c>
      <c r="Q38" s="56"/>
      <c r="R38" s="56">
        <v>1500</v>
      </c>
      <c r="S38" s="56"/>
      <c r="T38" s="56">
        <v>0</v>
      </c>
      <c r="U38" s="56"/>
      <c r="V38" s="56">
        <v>1500</v>
      </c>
      <c r="W38" s="56"/>
      <c r="X38" s="56">
        <v>1500</v>
      </c>
      <c r="Y38" s="56"/>
      <c r="Z38" s="56">
        <v>1500</v>
      </c>
      <c r="AA38" s="56"/>
      <c r="AB38" s="56"/>
      <c r="AC38" s="56"/>
      <c r="AD38" s="56"/>
      <c r="AE38" s="56"/>
      <c r="AF38" s="56">
        <f t="shared" si="0"/>
        <v>1500</v>
      </c>
      <c r="AG38" s="56">
        <v>0</v>
      </c>
      <c r="AH38" s="56">
        <v>0</v>
      </c>
      <c r="AI38" s="56"/>
      <c r="AJ38" s="56">
        <f t="shared" si="1"/>
        <v>1500</v>
      </c>
      <c r="AK38" s="85"/>
      <c r="AL38" s="56">
        <v>0</v>
      </c>
      <c r="AM38" s="56"/>
      <c r="AN38" s="88">
        <v>0</v>
      </c>
      <c r="AO38" s="88">
        <v>0</v>
      </c>
      <c r="AP38" s="88">
        <v>5106.5600000000004</v>
      </c>
      <c r="AQ38" s="56"/>
      <c r="AR38" s="56">
        <v>0</v>
      </c>
      <c r="AS38" s="56"/>
      <c r="AT38" s="56">
        <v>0</v>
      </c>
      <c r="AU38" s="56"/>
      <c r="AV38" s="56">
        <f t="shared" si="2"/>
        <v>5106.5600000000004</v>
      </c>
      <c r="AW38" s="56"/>
      <c r="AX38" s="56">
        <v>0</v>
      </c>
      <c r="AY38" s="56"/>
      <c r="AZ38" s="88">
        <v>10000</v>
      </c>
      <c r="BA38" s="56">
        <v>10000</v>
      </c>
      <c r="BB38" s="214"/>
      <c r="BC38" s="56"/>
      <c r="BD38" s="84">
        <f t="shared" si="3"/>
        <v>5106.5600000000004</v>
      </c>
      <c r="BE38" s="56"/>
      <c r="BF38" s="56"/>
      <c r="BG38" s="56"/>
      <c r="BH38" s="72"/>
    </row>
    <row r="39" spans="1:62" ht="18.95" customHeight="1" outlineLevel="1">
      <c r="A39" s="77" t="s">
        <v>43</v>
      </c>
      <c r="B39" s="77" t="s">
        <v>387</v>
      </c>
      <c r="C39" s="77" t="str">
        <f t="shared" si="5"/>
        <v>AI·</v>
      </c>
      <c r="D39" s="78" t="s">
        <v>46</v>
      </c>
      <c r="E39" s="78" t="str">
        <f t="shared" si="4"/>
        <v>000</v>
      </c>
      <c r="F39" s="3">
        <v>644221</v>
      </c>
      <c r="G39" s="102" t="s">
        <v>405</v>
      </c>
      <c r="H39" s="87"/>
      <c r="I39" s="13">
        <v>4264</v>
      </c>
      <c r="J39" s="13">
        <v>4452</v>
      </c>
      <c r="L39" s="56">
        <v>4452</v>
      </c>
      <c r="M39" s="56"/>
      <c r="N39" s="56">
        <v>5000</v>
      </c>
      <c r="O39" s="56"/>
      <c r="P39" s="56">
        <v>5000</v>
      </c>
      <c r="Q39" s="56"/>
      <c r="R39" s="56">
        <v>5000</v>
      </c>
      <c r="S39" s="56"/>
      <c r="T39" s="56">
        <v>0</v>
      </c>
      <c r="U39" s="56"/>
      <c r="V39" s="56">
        <v>5000</v>
      </c>
      <c r="W39" s="56"/>
      <c r="X39" s="56">
        <v>4897.2</v>
      </c>
      <c r="Y39" s="56"/>
      <c r="Z39" s="56">
        <v>5000</v>
      </c>
      <c r="AA39" s="56"/>
      <c r="AB39" s="56"/>
      <c r="AC39" s="56"/>
      <c r="AD39" s="56"/>
      <c r="AE39" s="56"/>
      <c r="AF39" s="56">
        <f t="shared" si="0"/>
        <v>5000</v>
      </c>
      <c r="AG39" s="56">
        <v>0</v>
      </c>
      <c r="AH39" s="56">
        <v>0</v>
      </c>
      <c r="AI39" s="56"/>
      <c r="AJ39" s="56">
        <f t="shared" si="1"/>
        <v>5000</v>
      </c>
      <c r="AK39" s="85"/>
      <c r="AL39" s="56">
        <v>0</v>
      </c>
      <c r="AM39" s="56"/>
      <c r="AN39" s="88">
        <v>4104</v>
      </c>
      <c r="AO39" s="88">
        <v>0</v>
      </c>
      <c r="AP39" s="88">
        <v>4104</v>
      </c>
      <c r="AQ39" s="56"/>
      <c r="AR39" s="56">
        <v>0</v>
      </c>
      <c r="AS39" s="56"/>
      <c r="AT39" s="56">
        <v>0</v>
      </c>
      <c r="AU39" s="56"/>
      <c r="AV39" s="56">
        <f t="shared" si="2"/>
        <v>4104</v>
      </c>
      <c r="AW39" s="56"/>
      <c r="AX39" s="56">
        <v>0</v>
      </c>
      <c r="AY39" s="56"/>
      <c r="AZ39" s="88">
        <v>5000</v>
      </c>
      <c r="BA39" s="56">
        <v>5000</v>
      </c>
      <c r="BB39" s="214"/>
      <c r="BC39" s="56"/>
      <c r="BD39" s="84">
        <f t="shared" si="3"/>
        <v>0</v>
      </c>
      <c r="BE39" s="56"/>
      <c r="BF39" s="56"/>
      <c r="BG39" s="56"/>
      <c r="BH39" s="72"/>
    </row>
    <row r="40" spans="1:62" ht="18.95" customHeight="1" outlineLevel="1">
      <c r="A40" s="77" t="s">
        <v>43</v>
      </c>
      <c r="B40" s="77" t="s">
        <v>387</v>
      </c>
      <c r="C40" s="77" t="str">
        <f t="shared" si="5"/>
        <v>AI·</v>
      </c>
      <c r="D40" s="78" t="s">
        <v>46</v>
      </c>
      <c r="E40" s="78" t="str">
        <f t="shared" si="4"/>
        <v>000</v>
      </c>
      <c r="F40" s="3">
        <v>658211</v>
      </c>
      <c r="G40" s="102" t="s">
        <v>406</v>
      </c>
      <c r="H40" s="87"/>
      <c r="I40" s="13">
        <v>2263</v>
      </c>
      <c r="J40" s="13">
        <v>1986</v>
      </c>
      <c r="L40" s="56">
        <v>1970</v>
      </c>
      <c r="M40" s="56"/>
      <c r="N40" s="56">
        <v>2000</v>
      </c>
      <c r="O40" s="56"/>
      <c r="P40" s="56">
        <v>2000</v>
      </c>
      <c r="Q40" s="56"/>
      <c r="R40" s="56">
        <v>2000</v>
      </c>
      <c r="S40" s="56"/>
      <c r="T40" s="56">
        <v>0</v>
      </c>
      <c r="U40" s="56"/>
      <c r="V40" s="56">
        <v>2000</v>
      </c>
      <c r="W40" s="56"/>
      <c r="X40" s="56">
        <f>1854.89+780.93</f>
        <v>2635.82</v>
      </c>
      <c r="Y40" s="56"/>
      <c r="Z40" s="56">
        <v>2000</v>
      </c>
      <c r="AA40" s="56"/>
      <c r="AB40" s="56"/>
      <c r="AC40" s="56"/>
      <c r="AD40" s="56"/>
      <c r="AE40" s="56"/>
      <c r="AF40" s="56">
        <f t="shared" si="0"/>
        <v>2000</v>
      </c>
      <c r="AG40" s="56">
        <v>0</v>
      </c>
      <c r="AH40" s="56">
        <v>0</v>
      </c>
      <c r="AI40" s="56"/>
      <c r="AJ40" s="56">
        <f t="shared" si="1"/>
        <v>2000</v>
      </c>
      <c r="AK40" s="85"/>
      <c r="AL40" s="56">
        <v>0</v>
      </c>
      <c r="AM40" s="56"/>
      <c r="AN40" s="88">
        <v>1870.6</v>
      </c>
      <c r="AO40" s="88">
        <v>0</v>
      </c>
      <c r="AP40" s="88">
        <v>8281.0499999999993</v>
      </c>
      <c r="AQ40" s="56"/>
      <c r="AR40" s="56">
        <v>0</v>
      </c>
      <c r="AS40" s="56"/>
      <c r="AT40" s="56">
        <v>0</v>
      </c>
      <c r="AU40" s="56"/>
      <c r="AV40" s="56">
        <f t="shared" si="2"/>
        <v>8281.0499999999993</v>
      </c>
      <c r="AW40" s="56"/>
      <c r="AX40" s="56">
        <v>0</v>
      </c>
      <c r="AY40" s="56"/>
      <c r="AZ40" s="88">
        <v>8000</v>
      </c>
      <c r="BA40" s="56">
        <v>8000</v>
      </c>
      <c r="BB40" s="214"/>
      <c r="BC40" s="56"/>
      <c r="BD40" s="84">
        <f t="shared" si="3"/>
        <v>6410.4499999999989</v>
      </c>
      <c r="BE40" s="56"/>
      <c r="BF40" s="56"/>
      <c r="BG40" s="56"/>
      <c r="BH40" s="72"/>
    </row>
    <row r="41" spans="1:62" ht="18.95" customHeight="1" outlineLevel="1">
      <c r="A41" s="77" t="s">
        <v>43</v>
      </c>
      <c r="B41" s="77" t="s">
        <v>387</v>
      </c>
      <c r="C41" s="77" t="str">
        <f>+C40</f>
        <v>AI·</v>
      </c>
      <c r="D41" s="78" t="s">
        <v>46</v>
      </c>
      <c r="E41" s="78" t="str">
        <f t="shared" si="4"/>
        <v>000</v>
      </c>
      <c r="F41" s="3">
        <v>658236</v>
      </c>
      <c r="G41" s="102" t="s">
        <v>407</v>
      </c>
      <c r="H41" s="87"/>
      <c r="I41" s="13">
        <v>7892</v>
      </c>
      <c r="J41" s="13">
        <v>2792</v>
      </c>
      <c r="L41" s="56">
        <v>2983</v>
      </c>
      <c r="M41" s="56"/>
      <c r="N41" s="56">
        <v>3000</v>
      </c>
      <c r="O41" s="56"/>
      <c r="P41" s="56">
        <v>3000</v>
      </c>
      <c r="Q41" s="56"/>
      <c r="R41" s="56">
        <v>3000</v>
      </c>
      <c r="S41" s="56"/>
      <c r="T41" s="56">
        <v>0</v>
      </c>
      <c r="U41" s="56"/>
      <c r="V41" s="56">
        <v>3000</v>
      </c>
      <c r="W41" s="56"/>
      <c r="X41" s="56">
        <v>2926.05</v>
      </c>
      <c r="Y41" s="56"/>
      <c r="Z41" s="56">
        <v>3000</v>
      </c>
      <c r="AA41" s="56"/>
      <c r="AB41" s="56"/>
      <c r="AC41" s="56"/>
      <c r="AD41" s="56"/>
      <c r="AE41" s="56"/>
      <c r="AF41" s="56">
        <f t="shared" si="0"/>
        <v>3000</v>
      </c>
      <c r="AG41" s="56">
        <v>0</v>
      </c>
      <c r="AH41" s="56">
        <v>0</v>
      </c>
      <c r="AI41" s="56"/>
      <c r="AJ41" s="56">
        <f t="shared" si="1"/>
        <v>3000</v>
      </c>
      <c r="AK41" s="85"/>
      <c r="AL41" s="56">
        <v>0</v>
      </c>
      <c r="AM41" s="56"/>
      <c r="AN41" s="88">
        <v>1873.22</v>
      </c>
      <c r="AO41" s="88">
        <v>0</v>
      </c>
      <c r="AP41" s="88">
        <v>2815.7</v>
      </c>
      <c r="AQ41" s="56"/>
      <c r="AR41" s="56">
        <v>0</v>
      </c>
      <c r="AS41" s="56"/>
      <c r="AT41" s="56">
        <v>0</v>
      </c>
      <c r="AU41" s="56"/>
      <c r="AV41" s="56">
        <f t="shared" si="2"/>
        <v>2815.7</v>
      </c>
      <c r="AW41" s="56"/>
      <c r="AX41" s="56">
        <v>0</v>
      </c>
      <c r="AY41" s="56"/>
      <c r="AZ41" s="88">
        <v>3000</v>
      </c>
      <c r="BA41" s="56">
        <v>3000</v>
      </c>
      <c r="BB41" s="214"/>
      <c r="BC41" s="56"/>
      <c r="BD41" s="84">
        <f t="shared" si="3"/>
        <v>942.47999999999979</v>
      </c>
      <c r="BE41" s="56"/>
      <c r="BF41" s="56"/>
      <c r="BG41" s="56"/>
      <c r="BH41" s="72"/>
    </row>
    <row r="42" spans="1:62" ht="18.95" customHeight="1" outlineLevel="1">
      <c r="A42" s="77" t="s">
        <v>43</v>
      </c>
      <c r="B42" s="77" t="s">
        <v>387</v>
      </c>
      <c r="C42" s="77" t="str">
        <f t="shared" si="5"/>
        <v>AI·</v>
      </c>
      <c r="D42" s="78" t="s">
        <v>46</v>
      </c>
      <c r="E42" s="78" t="str">
        <f t="shared" si="4"/>
        <v>000</v>
      </c>
      <c r="F42" s="3">
        <v>661001</v>
      </c>
      <c r="G42" s="102" t="s">
        <v>408</v>
      </c>
      <c r="H42" s="87"/>
      <c r="I42" s="13">
        <v>58427</v>
      </c>
      <c r="J42" s="13">
        <v>89465</v>
      </c>
      <c r="L42" s="56">
        <v>94096</v>
      </c>
      <c r="M42" s="56"/>
      <c r="N42" s="56">
        <v>90318</v>
      </c>
      <c r="O42" s="56"/>
      <c r="P42" s="56">
        <v>90318</v>
      </c>
      <c r="Q42" s="56"/>
      <c r="R42" s="56">
        <v>86318</v>
      </c>
      <c r="S42" s="56"/>
      <c r="T42" s="56">
        <v>0</v>
      </c>
      <c r="U42" s="56"/>
      <c r="V42" s="56">
        <v>86318</v>
      </c>
      <c r="W42" s="56"/>
      <c r="X42" s="56">
        <v>82636.45</v>
      </c>
      <c r="Y42" s="56"/>
      <c r="Z42" s="56">
        <v>86318</v>
      </c>
      <c r="AA42" s="56"/>
      <c r="AB42" s="56"/>
      <c r="AC42" s="56"/>
      <c r="AD42" s="56">
        <v>95</v>
      </c>
      <c r="AE42" s="56"/>
      <c r="AF42" s="56">
        <f t="shared" si="0"/>
        <v>86413</v>
      </c>
      <c r="AG42" s="89">
        <v>47260</v>
      </c>
      <c r="AH42" s="56">
        <v>0</v>
      </c>
      <c r="AI42" s="56"/>
      <c r="AJ42" s="56">
        <f t="shared" si="1"/>
        <v>133673</v>
      </c>
      <c r="AK42" s="85"/>
      <c r="AL42" s="56">
        <v>0</v>
      </c>
      <c r="AM42" s="56"/>
      <c r="AN42" s="88">
        <v>140825.5</v>
      </c>
      <c r="AO42" s="88">
        <v>0</v>
      </c>
      <c r="AP42" s="88">
        <v>71666.09</v>
      </c>
      <c r="AQ42" s="56"/>
      <c r="AR42" s="56">
        <v>0</v>
      </c>
      <c r="AS42" s="56"/>
      <c r="AT42" s="56">
        <v>21091.62</v>
      </c>
      <c r="AU42" s="56"/>
      <c r="AV42" s="56">
        <f t="shared" si="2"/>
        <v>92757.709999999992</v>
      </c>
      <c r="AW42" s="56"/>
      <c r="AX42" s="89">
        <v>0</v>
      </c>
      <c r="AY42" s="56"/>
      <c r="AZ42" s="88">
        <v>81265</v>
      </c>
      <c r="BA42" s="56">
        <v>91855</v>
      </c>
      <c r="BB42" s="214"/>
      <c r="BC42" s="56"/>
      <c r="BD42" s="84">
        <f t="shared" si="3"/>
        <v>-69159.41</v>
      </c>
      <c r="BE42" s="56"/>
      <c r="BF42" s="56"/>
      <c r="BG42" s="56"/>
      <c r="BH42" s="72"/>
    </row>
    <row r="43" spans="1:62" ht="18.95" customHeight="1" outlineLevel="1">
      <c r="A43" s="77" t="s">
        <v>43</v>
      </c>
      <c r="B43" s="77" t="s">
        <v>387</v>
      </c>
      <c r="C43" s="77" t="str">
        <f t="shared" si="5"/>
        <v>AI·</v>
      </c>
      <c r="D43" s="78" t="s">
        <v>46</v>
      </c>
      <c r="E43" s="78" t="str">
        <f t="shared" si="4"/>
        <v>000</v>
      </c>
      <c r="F43" s="3">
        <v>661044</v>
      </c>
      <c r="G43" s="102" t="s">
        <v>409</v>
      </c>
      <c r="H43" s="87"/>
      <c r="I43" s="13">
        <v>991</v>
      </c>
      <c r="J43" s="13">
        <v>940</v>
      </c>
      <c r="L43" s="56">
        <v>997</v>
      </c>
      <c r="M43" s="56"/>
      <c r="N43" s="56">
        <v>1000</v>
      </c>
      <c r="O43" s="56"/>
      <c r="P43" s="56">
        <v>1000</v>
      </c>
      <c r="Q43" s="56"/>
      <c r="R43" s="56">
        <v>1000</v>
      </c>
      <c r="S43" s="56"/>
      <c r="T43" s="56">
        <v>0</v>
      </c>
      <c r="U43" s="56"/>
      <c r="V43" s="56">
        <v>1000</v>
      </c>
      <c r="W43" s="56"/>
      <c r="X43" s="56">
        <v>709.64</v>
      </c>
      <c r="Y43" s="56"/>
      <c r="Z43" s="56">
        <v>1000</v>
      </c>
      <c r="AA43" s="56"/>
      <c r="AB43" s="56"/>
      <c r="AC43" s="56"/>
      <c r="AD43" s="56"/>
      <c r="AE43" s="56"/>
      <c r="AF43" s="56">
        <f t="shared" si="0"/>
        <v>1000</v>
      </c>
      <c r="AG43" s="56">
        <v>0</v>
      </c>
      <c r="AH43" s="56">
        <v>0</v>
      </c>
      <c r="AI43" s="56"/>
      <c r="AJ43" s="56">
        <f t="shared" si="1"/>
        <v>1000</v>
      </c>
      <c r="AK43" s="85"/>
      <c r="AL43" s="56">
        <v>0</v>
      </c>
      <c r="AM43" s="56"/>
      <c r="AN43" s="88">
        <v>526.77</v>
      </c>
      <c r="AO43" s="88">
        <v>0</v>
      </c>
      <c r="AP43" s="88">
        <v>738.25</v>
      </c>
      <c r="AQ43" s="56"/>
      <c r="AR43" s="56">
        <v>0</v>
      </c>
      <c r="AS43" s="56"/>
      <c r="AT43" s="56">
        <v>0</v>
      </c>
      <c r="AU43" s="56"/>
      <c r="AV43" s="56">
        <f t="shared" si="2"/>
        <v>738.25</v>
      </c>
      <c r="AW43" s="56"/>
      <c r="AX43" s="56">
        <v>0</v>
      </c>
      <c r="AY43" s="56"/>
      <c r="AZ43" s="88">
        <v>1000</v>
      </c>
      <c r="BA43" s="56">
        <v>1000</v>
      </c>
      <c r="BB43" s="214"/>
      <c r="BC43" s="56"/>
      <c r="BD43" s="84">
        <f t="shared" si="3"/>
        <v>211.48000000000002</v>
      </c>
      <c r="BE43" s="56"/>
      <c r="BF43" s="56"/>
      <c r="BG43" s="56"/>
      <c r="BH43" s="72"/>
    </row>
    <row r="44" spans="1:62" ht="18.95" customHeight="1" outlineLevel="1">
      <c r="A44" s="77" t="s">
        <v>43</v>
      </c>
      <c r="B44" s="77" t="s">
        <v>387</v>
      </c>
      <c r="C44" s="77" t="str">
        <f t="shared" si="5"/>
        <v>AI·</v>
      </c>
      <c r="D44" s="78" t="s">
        <v>46</v>
      </c>
      <c r="E44" s="78" t="str">
        <f t="shared" si="4"/>
        <v>000</v>
      </c>
      <c r="F44" s="3">
        <v>661046</v>
      </c>
      <c r="G44" s="102" t="s">
        <v>410</v>
      </c>
      <c r="H44" s="87"/>
      <c r="I44" s="13">
        <v>29329</v>
      </c>
      <c r="J44" s="13">
        <v>33990</v>
      </c>
      <c r="L44" s="56">
        <v>34775</v>
      </c>
      <c r="M44" s="56"/>
      <c r="N44" s="56">
        <v>35556</v>
      </c>
      <c r="O44" s="56"/>
      <c r="P44" s="56">
        <v>36287</v>
      </c>
      <c r="Q44" s="56"/>
      <c r="R44" s="56">
        <v>36287</v>
      </c>
      <c r="S44" s="56"/>
      <c r="T44" s="56">
        <v>0</v>
      </c>
      <c r="U44" s="56"/>
      <c r="V44" s="56">
        <v>36287</v>
      </c>
      <c r="W44" s="56"/>
      <c r="X44" s="56">
        <v>36196.400000000001</v>
      </c>
      <c r="Y44" s="56"/>
      <c r="Z44" s="56">
        <v>36287</v>
      </c>
      <c r="AA44" s="56"/>
      <c r="AB44" s="56"/>
      <c r="AC44" s="56"/>
      <c r="AD44" s="56"/>
      <c r="AE44" s="56"/>
      <c r="AF44" s="56">
        <f t="shared" ref="AF44:AF64" si="6">SUM(Z44:AE44)</f>
        <v>36287</v>
      </c>
      <c r="AG44" s="56">
        <v>0</v>
      </c>
      <c r="AH44" s="56">
        <v>0</v>
      </c>
      <c r="AI44" s="56"/>
      <c r="AJ44" s="56">
        <f t="shared" ref="AJ44:AJ64" si="7">SUM(AE44:AI44)</f>
        <v>36287</v>
      </c>
      <c r="AK44" s="85"/>
      <c r="AL44" s="56">
        <v>0</v>
      </c>
      <c r="AM44" s="56"/>
      <c r="AN44" s="88">
        <v>35747.199999999997</v>
      </c>
      <c r="AO44" s="88">
        <v>0</v>
      </c>
      <c r="AP44" s="88">
        <v>28590.82</v>
      </c>
      <c r="AQ44" s="56"/>
      <c r="AR44" s="56">
        <v>0</v>
      </c>
      <c r="AS44" s="56"/>
      <c r="AT44" s="56">
        <v>0</v>
      </c>
      <c r="AU44" s="56"/>
      <c r="AV44" s="56">
        <f t="shared" ref="AV44:AV64" si="8">SUM(AP44:AU44)</f>
        <v>28590.82</v>
      </c>
      <c r="AW44" s="56"/>
      <c r="AX44" s="56">
        <v>0</v>
      </c>
      <c r="AY44" s="56"/>
      <c r="AZ44" s="88">
        <v>30287</v>
      </c>
      <c r="BA44" s="56">
        <v>35800</v>
      </c>
      <c r="BB44" s="214"/>
      <c r="BC44" s="56"/>
      <c r="BD44" s="84">
        <f t="shared" ref="BD44:BD65" si="9">+AP44-AN44</f>
        <v>-7156.3799999999974</v>
      </c>
      <c r="BE44" s="56"/>
      <c r="BF44" s="56"/>
      <c r="BG44" s="56"/>
      <c r="BH44" s="72"/>
    </row>
    <row r="45" spans="1:62" ht="18.95" customHeight="1" outlineLevel="1">
      <c r="A45" s="77" t="s">
        <v>43</v>
      </c>
      <c r="B45" s="77" t="s">
        <v>387</v>
      </c>
      <c r="C45" s="77" t="str">
        <f t="shared" si="5"/>
        <v>AI·</v>
      </c>
      <c r="D45" s="78" t="s">
        <v>46</v>
      </c>
      <c r="E45" s="78" t="str">
        <f t="shared" si="4"/>
        <v>000</v>
      </c>
      <c r="F45" s="3">
        <v>661049</v>
      </c>
      <c r="G45" s="102" t="s">
        <v>411</v>
      </c>
      <c r="H45" s="87"/>
      <c r="I45" s="13">
        <v>1859</v>
      </c>
      <c r="J45" s="13">
        <v>1986</v>
      </c>
      <c r="L45" s="56">
        <v>1905</v>
      </c>
      <c r="M45" s="56"/>
      <c r="N45" s="56">
        <v>2000</v>
      </c>
      <c r="O45" s="56"/>
      <c r="P45" s="56">
        <v>2000</v>
      </c>
      <c r="Q45" s="56"/>
      <c r="R45" s="56">
        <v>2000</v>
      </c>
      <c r="S45" s="56"/>
      <c r="T45" s="56">
        <v>0</v>
      </c>
      <c r="U45" s="56"/>
      <c r="V45" s="56">
        <v>2000</v>
      </c>
      <c r="W45" s="56"/>
      <c r="X45" s="56">
        <v>1813.35</v>
      </c>
      <c r="Y45" s="56"/>
      <c r="Z45" s="56">
        <v>2000</v>
      </c>
      <c r="AA45" s="56"/>
      <c r="AB45" s="56"/>
      <c r="AC45" s="56"/>
      <c r="AD45" s="56"/>
      <c r="AE45" s="56"/>
      <c r="AF45" s="56">
        <f t="shared" si="6"/>
        <v>2000</v>
      </c>
      <c r="AG45" s="56">
        <v>0</v>
      </c>
      <c r="AH45" s="56">
        <v>0</v>
      </c>
      <c r="AI45" s="56"/>
      <c r="AJ45" s="56">
        <f t="shared" si="7"/>
        <v>2000</v>
      </c>
      <c r="AK45" s="85"/>
      <c r="AL45" s="56">
        <v>0</v>
      </c>
      <c r="AM45" s="56"/>
      <c r="AN45" s="88">
        <v>1607.41</v>
      </c>
      <c r="AO45" s="88">
        <v>0</v>
      </c>
      <c r="AP45" s="88">
        <v>1324.6</v>
      </c>
      <c r="AQ45" s="56"/>
      <c r="AR45" s="56">
        <v>0</v>
      </c>
      <c r="AS45" s="56"/>
      <c r="AT45" s="56">
        <v>0</v>
      </c>
      <c r="AU45" s="56"/>
      <c r="AV45" s="56">
        <f t="shared" si="8"/>
        <v>1324.6</v>
      </c>
      <c r="AW45" s="56"/>
      <c r="AX45" s="56">
        <v>0</v>
      </c>
      <c r="AY45" s="56"/>
      <c r="AZ45" s="88">
        <v>2000</v>
      </c>
      <c r="BA45" s="56">
        <v>2000</v>
      </c>
      <c r="BB45" s="214"/>
      <c r="BC45" s="56"/>
      <c r="BD45" s="84">
        <f t="shared" si="9"/>
        <v>-282.81000000000017</v>
      </c>
      <c r="BE45" s="56"/>
      <c r="BF45" s="56"/>
      <c r="BG45" s="56"/>
      <c r="BH45" s="72"/>
    </row>
    <row r="46" spans="1:62" ht="18.95" customHeight="1" outlineLevel="1">
      <c r="A46" s="77" t="s">
        <v>43</v>
      </c>
      <c r="B46" s="77" t="s">
        <v>387</v>
      </c>
      <c r="C46" s="77" t="str">
        <f t="shared" si="5"/>
        <v>AI·</v>
      </c>
      <c r="D46" s="78" t="s">
        <v>46</v>
      </c>
      <c r="E46" s="78" t="str">
        <f t="shared" si="4"/>
        <v>000</v>
      </c>
      <c r="F46" s="3">
        <v>661051</v>
      </c>
      <c r="G46" s="102" t="s">
        <v>412</v>
      </c>
      <c r="H46" s="87"/>
      <c r="I46" s="13">
        <v>0</v>
      </c>
      <c r="J46" s="13">
        <v>4507</v>
      </c>
      <c r="L46" s="56">
        <v>283</v>
      </c>
      <c r="M46" s="56"/>
      <c r="N46" s="56">
        <v>5000</v>
      </c>
      <c r="O46" s="56"/>
      <c r="P46" s="56">
        <v>5000</v>
      </c>
      <c r="Q46" s="56"/>
      <c r="R46" s="56">
        <v>5000</v>
      </c>
      <c r="S46" s="56"/>
      <c r="T46" s="56">
        <v>0</v>
      </c>
      <c r="U46" s="56"/>
      <c r="V46" s="56">
        <v>5000</v>
      </c>
      <c r="W46" s="56"/>
      <c r="X46" s="56">
        <v>4987.8900000000003</v>
      </c>
      <c r="Y46" s="56"/>
      <c r="Z46" s="56">
        <v>5000</v>
      </c>
      <c r="AA46" s="56"/>
      <c r="AB46" s="56"/>
      <c r="AC46" s="56"/>
      <c r="AD46" s="56"/>
      <c r="AE46" s="56"/>
      <c r="AF46" s="56">
        <f t="shared" si="6"/>
        <v>5000</v>
      </c>
      <c r="AG46" s="56">
        <v>0</v>
      </c>
      <c r="AH46" s="56">
        <v>0</v>
      </c>
      <c r="AI46" s="56"/>
      <c r="AJ46" s="56">
        <f t="shared" si="7"/>
        <v>5000</v>
      </c>
      <c r="AK46" s="85"/>
      <c r="AL46" s="56">
        <v>0</v>
      </c>
      <c r="AM46" s="56"/>
      <c r="AN46" s="88">
        <v>4143.0600000000004</v>
      </c>
      <c r="AO46" s="88">
        <v>0</v>
      </c>
      <c r="AP46" s="88">
        <v>4553.18</v>
      </c>
      <c r="AQ46" s="56"/>
      <c r="AR46" s="56">
        <v>0</v>
      </c>
      <c r="AS46" s="56"/>
      <c r="AT46" s="56">
        <v>0</v>
      </c>
      <c r="AU46" s="56"/>
      <c r="AV46" s="56">
        <f t="shared" si="8"/>
        <v>4553.18</v>
      </c>
      <c r="AW46" s="56"/>
      <c r="AX46" s="56">
        <v>0</v>
      </c>
      <c r="AY46" s="56"/>
      <c r="AZ46" s="88">
        <v>5000</v>
      </c>
      <c r="BA46" s="56">
        <v>5000</v>
      </c>
      <c r="BB46" s="214"/>
      <c r="BC46" s="56"/>
      <c r="BD46" s="84">
        <f t="shared" si="9"/>
        <v>410.11999999999989</v>
      </c>
      <c r="BE46" s="56"/>
      <c r="BF46" s="56"/>
      <c r="BG46" s="56"/>
      <c r="BH46" s="72"/>
    </row>
    <row r="47" spans="1:62" ht="18.95" customHeight="1" outlineLevel="1">
      <c r="A47" s="77" t="s">
        <v>43</v>
      </c>
      <c r="B47" s="77" t="s">
        <v>387</v>
      </c>
      <c r="C47" s="77" t="str">
        <f t="shared" si="5"/>
        <v>AI·</v>
      </c>
      <c r="D47" s="78" t="s">
        <v>46</v>
      </c>
      <c r="E47" s="78" t="str">
        <f t="shared" si="4"/>
        <v>000</v>
      </c>
      <c r="F47" s="3">
        <v>661052</v>
      </c>
      <c r="G47" s="102" t="s">
        <v>413</v>
      </c>
      <c r="H47" s="87"/>
      <c r="I47" s="13">
        <v>0</v>
      </c>
      <c r="J47" s="13">
        <v>4082</v>
      </c>
      <c r="L47" s="56">
        <v>4607</v>
      </c>
      <c r="M47" s="56"/>
      <c r="N47" s="56">
        <v>5458</v>
      </c>
      <c r="O47" s="56"/>
      <c r="P47" s="56">
        <v>5458</v>
      </c>
      <c r="Q47" s="56"/>
      <c r="R47" s="56">
        <v>5458</v>
      </c>
      <c r="S47" s="56"/>
      <c r="T47" s="56">
        <v>0</v>
      </c>
      <c r="U47" s="56"/>
      <c r="V47" s="56">
        <v>5458</v>
      </c>
      <c r="W47" s="56"/>
      <c r="X47" s="56">
        <v>5250.13</v>
      </c>
      <c r="Y47" s="56"/>
      <c r="Z47" s="56">
        <v>5458</v>
      </c>
      <c r="AA47" s="56"/>
      <c r="AB47" s="56"/>
      <c r="AC47" s="56"/>
      <c r="AD47" s="56"/>
      <c r="AE47" s="56"/>
      <c r="AF47" s="56">
        <f t="shared" si="6"/>
        <v>5458</v>
      </c>
      <c r="AG47" s="56">
        <v>0</v>
      </c>
      <c r="AH47" s="56">
        <v>0</v>
      </c>
      <c r="AI47" s="56"/>
      <c r="AJ47" s="56">
        <f t="shared" si="7"/>
        <v>5458</v>
      </c>
      <c r="AK47" s="85"/>
      <c r="AL47" s="56">
        <v>0</v>
      </c>
      <c r="AM47" s="56"/>
      <c r="AN47" s="88">
        <v>4054.71</v>
      </c>
      <c r="AO47" s="88">
        <v>0</v>
      </c>
      <c r="AP47" s="88">
        <v>5432.57</v>
      </c>
      <c r="AQ47" s="56"/>
      <c r="AR47" s="56">
        <v>0</v>
      </c>
      <c r="AS47" s="56"/>
      <c r="AT47" s="56">
        <v>0</v>
      </c>
      <c r="AU47" s="56"/>
      <c r="AV47" s="56">
        <f t="shared" si="8"/>
        <v>5432.57</v>
      </c>
      <c r="AW47" s="56"/>
      <c r="AX47" s="56">
        <v>0</v>
      </c>
      <c r="AY47" s="56"/>
      <c r="AZ47" s="88">
        <v>2928</v>
      </c>
      <c r="BA47" s="56">
        <v>2983</v>
      </c>
      <c r="BB47" s="214"/>
      <c r="BC47" s="56"/>
      <c r="BD47" s="84">
        <f t="shared" si="9"/>
        <v>1377.8599999999997</v>
      </c>
      <c r="BE47" s="56"/>
      <c r="BF47" s="56"/>
      <c r="BG47" s="56"/>
      <c r="BH47" s="72"/>
    </row>
    <row r="48" spans="1:62" ht="18.95" customHeight="1" outlineLevel="1">
      <c r="A48" s="77" t="s">
        <v>43</v>
      </c>
      <c r="B48" s="77" t="s">
        <v>387</v>
      </c>
      <c r="C48" s="77" t="str">
        <f t="shared" si="5"/>
        <v>AI·</v>
      </c>
      <c r="D48" s="78" t="s">
        <v>46</v>
      </c>
      <c r="E48" s="78" t="str">
        <f t="shared" si="4"/>
        <v>000</v>
      </c>
      <c r="F48" s="3">
        <v>673001</v>
      </c>
      <c r="G48" s="102" t="s">
        <v>414</v>
      </c>
      <c r="H48" s="87"/>
      <c r="I48" s="13">
        <v>4010</v>
      </c>
      <c r="J48" s="13">
        <v>0</v>
      </c>
      <c r="L48" s="56">
        <v>0</v>
      </c>
      <c r="M48" s="56"/>
      <c r="N48" s="56">
        <v>0</v>
      </c>
      <c r="O48" s="56"/>
      <c r="P48" s="56">
        <v>0</v>
      </c>
      <c r="Q48" s="56"/>
      <c r="R48" s="56">
        <v>0</v>
      </c>
      <c r="S48" s="56"/>
      <c r="T48" s="56">
        <v>0</v>
      </c>
      <c r="U48" s="56"/>
      <c r="V48" s="56">
        <v>0</v>
      </c>
      <c r="W48" s="56"/>
      <c r="X48" s="56">
        <v>0</v>
      </c>
      <c r="Y48" s="56"/>
      <c r="Z48" s="56">
        <v>0</v>
      </c>
      <c r="AA48" s="56"/>
      <c r="AB48" s="56"/>
      <c r="AC48" s="56"/>
      <c r="AD48" s="56"/>
      <c r="AE48" s="56"/>
      <c r="AF48" s="56">
        <f t="shared" si="6"/>
        <v>0</v>
      </c>
      <c r="AG48" s="56">
        <v>0</v>
      </c>
      <c r="AH48" s="56">
        <v>0</v>
      </c>
      <c r="AI48" s="56"/>
      <c r="AJ48" s="56">
        <f t="shared" si="7"/>
        <v>0</v>
      </c>
      <c r="AK48" s="85"/>
      <c r="AL48" s="56">
        <v>0</v>
      </c>
      <c r="AM48" s="56"/>
      <c r="AN48" s="88">
        <f>SUM(AI48:AM48)</f>
        <v>0</v>
      </c>
      <c r="AO48" s="88">
        <v>0</v>
      </c>
      <c r="AP48" s="88">
        <v>0</v>
      </c>
      <c r="AQ48" s="56"/>
      <c r="AR48" s="56">
        <v>0</v>
      </c>
      <c r="AS48" s="56"/>
      <c r="AT48" s="56">
        <v>0</v>
      </c>
      <c r="AU48" s="56"/>
      <c r="AV48" s="56">
        <f t="shared" si="8"/>
        <v>0</v>
      </c>
      <c r="AW48" s="56"/>
      <c r="AX48" s="56">
        <v>0</v>
      </c>
      <c r="AY48" s="56"/>
      <c r="AZ48" s="88">
        <v>0</v>
      </c>
      <c r="BA48" s="56">
        <v>0</v>
      </c>
      <c r="BB48" s="214"/>
      <c r="BC48" s="56"/>
      <c r="BD48" s="84">
        <f t="shared" si="9"/>
        <v>0</v>
      </c>
      <c r="BE48" s="56"/>
      <c r="BF48" s="56"/>
      <c r="BG48" s="56"/>
      <c r="BH48" s="72"/>
    </row>
    <row r="49" spans="1:62" ht="20.100000000000001" customHeight="1" outlineLevel="1">
      <c r="A49" s="77" t="s">
        <v>43</v>
      </c>
      <c r="B49" s="77" t="s">
        <v>387</v>
      </c>
      <c r="C49" s="77" t="str">
        <f t="shared" si="5"/>
        <v>AI·</v>
      </c>
      <c r="D49" s="78" t="s">
        <v>46</v>
      </c>
      <c r="E49" s="78" t="str">
        <f t="shared" si="4"/>
        <v>000</v>
      </c>
      <c r="F49" s="3">
        <v>673046</v>
      </c>
      <c r="G49" s="102" t="s">
        <v>415</v>
      </c>
      <c r="H49" s="87"/>
      <c r="I49" s="13">
        <v>0</v>
      </c>
      <c r="J49" s="13">
        <v>0</v>
      </c>
      <c r="L49" s="56">
        <v>0</v>
      </c>
      <c r="M49" s="56"/>
      <c r="N49" s="56">
        <v>0</v>
      </c>
      <c r="O49" s="56"/>
      <c r="P49" s="56">
        <v>0</v>
      </c>
      <c r="Q49" s="56"/>
      <c r="R49" s="56">
        <v>0</v>
      </c>
      <c r="S49" s="56"/>
      <c r="T49" s="56">
        <v>0</v>
      </c>
      <c r="U49" s="56"/>
      <c r="V49" s="56">
        <v>0</v>
      </c>
      <c r="W49" s="56"/>
      <c r="X49" s="56">
        <v>0</v>
      </c>
      <c r="Y49" s="56"/>
      <c r="Z49" s="56">
        <v>0</v>
      </c>
      <c r="AA49" s="56"/>
      <c r="AB49" s="56"/>
      <c r="AC49" s="56"/>
      <c r="AD49" s="56"/>
      <c r="AE49" s="56"/>
      <c r="AF49" s="56">
        <f t="shared" si="6"/>
        <v>0</v>
      </c>
      <c r="AG49" s="56">
        <v>0</v>
      </c>
      <c r="AH49" s="56">
        <v>0</v>
      </c>
      <c r="AI49" s="56"/>
      <c r="AJ49" s="56">
        <f t="shared" si="7"/>
        <v>0</v>
      </c>
      <c r="AK49" s="85"/>
      <c r="AL49" s="56">
        <v>0</v>
      </c>
      <c r="AM49" s="56"/>
      <c r="AN49" s="88">
        <f>SUM(AI49:AM49)</f>
        <v>0</v>
      </c>
      <c r="AO49" s="88">
        <v>0</v>
      </c>
      <c r="AP49" s="88">
        <v>0</v>
      </c>
      <c r="AQ49" s="56"/>
      <c r="AR49" s="56">
        <v>0</v>
      </c>
      <c r="AS49" s="56"/>
      <c r="AT49" s="56">
        <v>0</v>
      </c>
      <c r="AU49" s="56"/>
      <c r="AV49" s="56">
        <f t="shared" si="8"/>
        <v>0</v>
      </c>
      <c r="AW49" s="56"/>
      <c r="AX49" s="56">
        <v>0</v>
      </c>
      <c r="AY49" s="56"/>
      <c r="AZ49" s="88">
        <v>0</v>
      </c>
      <c r="BA49" s="56">
        <v>0</v>
      </c>
      <c r="BB49" s="214"/>
      <c r="BC49" s="56"/>
      <c r="BD49" s="84">
        <f t="shared" si="9"/>
        <v>0</v>
      </c>
      <c r="BE49" s="56"/>
      <c r="BF49" s="56"/>
      <c r="BG49" s="56"/>
      <c r="BH49" s="72"/>
    </row>
    <row r="50" spans="1:62" ht="20.100000000000001" customHeight="1" outlineLevel="1">
      <c r="A50" s="77" t="s">
        <v>43</v>
      </c>
      <c r="B50" s="77" t="s">
        <v>416</v>
      </c>
      <c r="C50" s="77" t="str">
        <f t="shared" si="5"/>
        <v>AI·</v>
      </c>
      <c r="D50" s="78" t="s">
        <v>46</v>
      </c>
      <c r="E50" s="78" t="str">
        <f t="shared" si="4"/>
        <v>000</v>
      </c>
      <c r="F50" s="3">
        <v>611116</v>
      </c>
      <c r="G50" s="102" t="s">
        <v>417</v>
      </c>
      <c r="H50" s="87"/>
      <c r="I50" s="13">
        <v>65630</v>
      </c>
      <c r="J50" s="13">
        <v>67271</v>
      </c>
      <c r="L50" s="56">
        <v>74548</v>
      </c>
      <c r="M50" s="56"/>
      <c r="N50" s="56">
        <v>82526</v>
      </c>
      <c r="O50" s="56"/>
      <c r="P50" s="56">
        <v>82526</v>
      </c>
      <c r="Q50" s="56"/>
      <c r="R50" s="56">
        <v>84226</v>
      </c>
      <c r="S50" s="56"/>
      <c r="T50" s="56">
        <v>0</v>
      </c>
      <c r="U50" s="56"/>
      <c r="V50" s="56">
        <v>84226</v>
      </c>
      <c r="W50" s="56"/>
      <c r="X50" s="56">
        <v>84226</v>
      </c>
      <c r="Y50" s="56"/>
      <c r="Z50" s="56">
        <v>84090</v>
      </c>
      <c r="AA50" s="56"/>
      <c r="AB50" s="56"/>
      <c r="AC50" s="56"/>
      <c r="AD50" s="56"/>
      <c r="AE50" s="56"/>
      <c r="AF50" s="56">
        <f t="shared" si="6"/>
        <v>84090</v>
      </c>
      <c r="AG50" s="56">
        <v>0</v>
      </c>
      <c r="AH50" s="56">
        <v>1250</v>
      </c>
      <c r="AI50" s="56"/>
      <c r="AJ50" s="56">
        <f t="shared" si="7"/>
        <v>85340</v>
      </c>
      <c r="AK50" s="85"/>
      <c r="AL50" s="56">
        <v>0</v>
      </c>
      <c r="AM50" s="56"/>
      <c r="AN50" s="88">
        <v>85339.96</v>
      </c>
      <c r="AO50" s="88">
        <v>0</v>
      </c>
      <c r="AP50" s="88">
        <v>83445.649999999994</v>
      </c>
      <c r="AQ50" s="56"/>
      <c r="AR50" s="56">
        <v>0</v>
      </c>
      <c r="AS50" s="56"/>
      <c r="AT50" s="56">
        <v>0</v>
      </c>
      <c r="AU50" s="56"/>
      <c r="AV50" s="56">
        <f t="shared" si="8"/>
        <v>83445.649999999994</v>
      </c>
      <c r="AW50" s="56"/>
      <c r="AX50" s="56">
        <v>0</v>
      </c>
      <c r="AY50" s="56"/>
      <c r="AZ50" s="88">
        <v>84090</v>
      </c>
      <c r="BA50" s="56">
        <v>84090</v>
      </c>
      <c r="BB50" s="214"/>
      <c r="BC50" s="56"/>
      <c r="BD50" s="84">
        <f t="shared" si="9"/>
        <v>-1894.3100000000122</v>
      </c>
      <c r="BE50" s="56"/>
      <c r="BF50" s="56"/>
      <c r="BG50" s="56"/>
      <c r="BH50" s="72">
        <v>1</v>
      </c>
      <c r="BJ50">
        <v>1</v>
      </c>
    </row>
    <row r="51" spans="1:62" ht="20.100000000000001" customHeight="1" outlineLevel="1">
      <c r="A51" s="77" t="s">
        <v>43</v>
      </c>
      <c r="B51" s="77" t="s">
        <v>416</v>
      </c>
      <c r="C51" s="77" t="str">
        <f t="shared" si="5"/>
        <v>AI·</v>
      </c>
      <c r="D51" s="78" t="s">
        <v>46</v>
      </c>
      <c r="E51" s="78" t="str">
        <f t="shared" si="4"/>
        <v>000</v>
      </c>
      <c r="F51" s="3">
        <v>611117</v>
      </c>
      <c r="G51" s="102" t="s">
        <v>418</v>
      </c>
      <c r="H51" s="87"/>
      <c r="I51" s="13">
        <v>56519</v>
      </c>
      <c r="J51" s="13">
        <v>80700</v>
      </c>
      <c r="L51" s="56">
        <v>91843</v>
      </c>
      <c r="M51" s="56"/>
      <c r="N51" s="56">
        <v>129915</v>
      </c>
      <c r="O51" s="56"/>
      <c r="P51" s="56">
        <v>129915</v>
      </c>
      <c r="Q51" s="56"/>
      <c r="R51" s="56">
        <v>133315</v>
      </c>
      <c r="S51" s="56"/>
      <c r="T51" s="56">
        <v>0</v>
      </c>
      <c r="U51" s="56"/>
      <c r="V51" s="56">
        <v>133315</v>
      </c>
      <c r="W51" s="56"/>
      <c r="X51" s="56">
        <f>31845.58+63468.42</f>
        <v>95314</v>
      </c>
      <c r="Y51" s="56"/>
      <c r="Z51" s="56">
        <v>132457</v>
      </c>
      <c r="AA51" s="56"/>
      <c r="AB51" s="56"/>
      <c r="AC51" s="56"/>
      <c r="AD51" s="56"/>
      <c r="AE51" s="56"/>
      <c r="AF51" s="56">
        <f t="shared" si="6"/>
        <v>132457</v>
      </c>
      <c r="AG51" s="56">
        <v>0</v>
      </c>
      <c r="AH51" s="56">
        <v>2500</v>
      </c>
      <c r="AI51" s="56"/>
      <c r="AJ51" s="56">
        <f t="shared" si="7"/>
        <v>134957</v>
      </c>
      <c r="AK51" s="85"/>
      <c r="AL51" s="56">
        <v>0</v>
      </c>
      <c r="AM51" s="56"/>
      <c r="AN51" s="88">
        <v>134956</v>
      </c>
      <c r="AO51" s="88">
        <v>0</v>
      </c>
      <c r="AP51" s="88">
        <v>132456</v>
      </c>
      <c r="AQ51" s="56"/>
      <c r="AR51" s="56">
        <v>0</v>
      </c>
      <c r="AS51" s="56"/>
      <c r="AT51" s="56">
        <v>0</v>
      </c>
      <c r="AU51" s="56"/>
      <c r="AV51" s="56">
        <f t="shared" si="8"/>
        <v>132456</v>
      </c>
      <c r="AW51" s="56"/>
      <c r="AX51" s="56">
        <v>0</v>
      </c>
      <c r="AY51" s="56"/>
      <c r="AZ51" s="88">
        <v>132456</v>
      </c>
      <c r="BA51" s="56">
        <v>178007</v>
      </c>
      <c r="BB51" s="214"/>
      <c r="BC51" s="56"/>
      <c r="BD51" s="84">
        <f t="shared" si="9"/>
        <v>-2500</v>
      </c>
      <c r="BE51" s="56"/>
      <c r="BF51" s="56"/>
      <c r="BG51" s="56"/>
      <c r="BH51" s="72">
        <v>1</v>
      </c>
      <c r="BJ51">
        <v>1</v>
      </c>
    </row>
    <row r="52" spans="1:62" ht="20.100000000000001" customHeight="1" outlineLevel="1">
      <c r="A52" s="77" t="s">
        <v>43</v>
      </c>
      <c r="B52" s="77" t="s">
        <v>416</v>
      </c>
      <c r="C52" s="77" t="str">
        <f t="shared" si="5"/>
        <v>AI·</v>
      </c>
      <c r="D52" s="78" t="s">
        <v>46</v>
      </c>
      <c r="E52" s="78" t="str">
        <f t="shared" si="4"/>
        <v>000</v>
      </c>
      <c r="F52" s="3">
        <v>611411</v>
      </c>
      <c r="G52" s="102" t="s">
        <v>419</v>
      </c>
      <c r="H52" s="87"/>
      <c r="I52" s="13">
        <v>20832</v>
      </c>
      <c r="J52" s="13">
        <v>24798</v>
      </c>
      <c r="L52" s="56">
        <v>34301</v>
      </c>
      <c r="M52" s="56"/>
      <c r="N52" s="56">
        <v>25550</v>
      </c>
      <c r="O52" s="56"/>
      <c r="P52" s="56">
        <v>25550</v>
      </c>
      <c r="Q52" s="56"/>
      <c r="R52" s="56">
        <v>27250</v>
      </c>
      <c r="S52" s="56"/>
      <c r="T52" s="56">
        <v>0</v>
      </c>
      <c r="U52" s="56"/>
      <c r="V52" s="56">
        <v>27250</v>
      </c>
      <c r="W52" s="56"/>
      <c r="X52" s="56">
        <v>30581.54</v>
      </c>
      <c r="Y52" s="56"/>
      <c r="Z52" s="56">
        <v>27687</v>
      </c>
      <c r="AA52" s="56"/>
      <c r="AB52" s="56"/>
      <c r="AC52" s="56"/>
      <c r="AD52" s="56"/>
      <c r="AE52" s="56"/>
      <c r="AF52" s="56">
        <f t="shared" si="6"/>
        <v>27687</v>
      </c>
      <c r="AG52" s="56">
        <v>0</v>
      </c>
      <c r="AH52" s="56">
        <v>0</v>
      </c>
      <c r="AI52" s="56"/>
      <c r="AJ52" s="56">
        <f t="shared" si="7"/>
        <v>27687</v>
      </c>
      <c r="AK52" s="85"/>
      <c r="AL52" s="56">
        <v>0</v>
      </c>
      <c r="AM52" s="56"/>
      <c r="AN52" s="88">
        <v>49603.08</v>
      </c>
      <c r="AO52" s="88">
        <v>0</v>
      </c>
      <c r="AP52" s="88">
        <v>42802.02</v>
      </c>
      <c r="AQ52" s="56"/>
      <c r="AR52" s="56">
        <v>0</v>
      </c>
      <c r="AS52" s="56"/>
      <c r="AT52" s="56">
        <v>0</v>
      </c>
      <c r="AU52" s="56"/>
      <c r="AV52" s="56">
        <f t="shared" si="8"/>
        <v>42802.02</v>
      </c>
      <c r="AW52" s="56"/>
      <c r="AX52" s="56">
        <v>0</v>
      </c>
      <c r="AY52" s="56"/>
      <c r="AZ52" s="88">
        <v>41351</v>
      </c>
      <c r="BA52" s="56">
        <v>41805</v>
      </c>
      <c r="BB52" s="214"/>
      <c r="BC52" s="56"/>
      <c r="BD52" s="84">
        <f t="shared" si="9"/>
        <v>-6801.0600000000049</v>
      </c>
      <c r="BE52" s="56"/>
      <c r="BF52" s="56"/>
      <c r="BG52" s="56"/>
      <c r="BH52" s="72">
        <v>1</v>
      </c>
      <c r="BJ52">
        <v>1</v>
      </c>
    </row>
    <row r="53" spans="1:62" ht="18.95" customHeight="1" outlineLevel="1">
      <c r="A53" s="77" t="s">
        <v>43</v>
      </c>
      <c r="B53" s="77" t="s">
        <v>218</v>
      </c>
      <c r="C53" s="77" t="str">
        <f t="shared" si="5"/>
        <v>AI·</v>
      </c>
      <c r="D53" s="78" t="s">
        <v>46</v>
      </c>
      <c r="E53" s="78" t="str">
        <f t="shared" si="4"/>
        <v>000</v>
      </c>
      <c r="F53" s="3">
        <v>611361</v>
      </c>
      <c r="G53" s="102" t="s">
        <v>420</v>
      </c>
      <c r="H53" s="87"/>
      <c r="I53" s="13">
        <v>1057</v>
      </c>
      <c r="J53" s="13">
        <v>1068</v>
      </c>
      <c r="L53" s="56">
        <v>1898</v>
      </c>
      <c r="M53" s="56"/>
      <c r="N53" s="56">
        <v>1200</v>
      </c>
      <c r="O53" s="56"/>
      <c r="P53" s="56">
        <v>1200</v>
      </c>
      <c r="Q53" s="56"/>
      <c r="R53" s="56">
        <v>1200</v>
      </c>
      <c r="S53" s="56"/>
      <c r="T53" s="56">
        <v>0</v>
      </c>
      <c r="U53" s="56"/>
      <c r="V53" s="56">
        <v>1200</v>
      </c>
      <c r="W53" s="56"/>
      <c r="X53" s="56">
        <v>2706</v>
      </c>
      <c r="Y53" s="56"/>
      <c r="Z53" s="56">
        <v>1200</v>
      </c>
      <c r="AA53" s="56"/>
      <c r="AB53" s="56"/>
      <c r="AC53" s="56"/>
      <c r="AD53" s="56"/>
      <c r="AE53" s="56"/>
      <c r="AF53" s="56">
        <f t="shared" si="6"/>
        <v>1200</v>
      </c>
      <c r="AG53" s="56">
        <v>0</v>
      </c>
      <c r="AH53" s="56">
        <v>0</v>
      </c>
      <c r="AI53" s="56"/>
      <c r="AJ53" s="56">
        <f t="shared" si="7"/>
        <v>1200</v>
      </c>
      <c r="AK53" s="85"/>
      <c r="AL53" s="56">
        <v>0</v>
      </c>
      <c r="AM53" s="56"/>
      <c r="AN53" s="88">
        <v>106</v>
      </c>
      <c r="AO53" s="88">
        <v>0</v>
      </c>
      <c r="AP53" s="88">
        <v>0</v>
      </c>
      <c r="AQ53" s="56"/>
      <c r="AR53" s="56">
        <v>0</v>
      </c>
      <c r="AS53" s="56"/>
      <c r="AT53" s="56">
        <v>0</v>
      </c>
      <c r="AU53" s="56"/>
      <c r="AV53" s="56">
        <f t="shared" si="8"/>
        <v>0</v>
      </c>
      <c r="AW53" s="56"/>
      <c r="AX53" s="56">
        <v>0</v>
      </c>
      <c r="AY53" s="56"/>
      <c r="AZ53" s="88">
        <v>1200</v>
      </c>
      <c r="BA53" s="56">
        <v>1200</v>
      </c>
      <c r="BB53" s="214"/>
      <c r="BC53" s="56"/>
      <c r="BD53" s="84">
        <f t="shared" si="9"/>
        <v>-106</v>
      </c>
      <c r="BE53" s="56"/>
      <c r="BF53" s="56"/>
      <c r="BG53" s="56"/>
      <c r="BH53" s="72">
        <v>1</v>
      </c>
      <c r="BJ53">
        <v>1</v>
      </c>
    </row>
    <row r="54" spans="1:62" ht="18.95" customHeight="1" outlineLevel="1">
      <c r="A54" s="77" t="s">
        <v>43</v>
      </c>
      <c r="B54" s="77" t="s">
        <v>218</v>
      </c>
      <c r="C54" s="77" t="str">
        <f t="shared" si="5"/>
        <v>AI·</v>
      </c>
      <c r="D54" s="78" t="s">
        <v>46</v>
      </c>
      <c r="E54" s="78" t="str">
        <f t="shared" si="4"/>
        <v>000</v>
      </c>
      <c r="F54" s="3">
        <v>632013</v>
      </c>
      <c r="G54" s="102" t="s">
        <v>421</v>
      </c>
      <c r="H54" s="87"/>
      <c r="I54" s="13">
        <v>991</v>
      </c>
      <c r="J54" s="13">
        <v>41752</v>
      </c>
      <c r="L54" s="56"/>
      <c r="M54" s="56"/>
      <c r="N54" s="56">
        <v>1000</v>
      </c>
      <c r="O54" s="56"/>
      <c r="P54" s="56">
        <v>1000</v>
      </c>
      <c r="Q54" s="56"/>
      <c r="R54" s="56">
        <v>1000</v>
      </c>
      <c r="S54" s="56"/>
      <c r="T54" s="56">
        <v>0</v>
      </c>
      <c r="U54" s="56"/>
      <c r="V54" s="56">
        <v>1000</v>
      </c>
      <c r="W54" s="56"/>
      <c r="X54" s="56">
        <v>779.85</v>
      </c>
      <c r="Y54" s="56"/>
      <c r="Z54" s="56">
        <v>1000</v>
      </c>
      <c r="AA54" s="56"/>
      <c r="AB54" s="56"/>
      <c r="AC54" s="56"/>
      <c r="AD54" s="56"/>
      <c r="AE54" s="56"/>
      <c r="AF54" s="56">
        <f t="shared" si="6"/>
        <v>1000</v>
      </c>
      <c r="AG54" s="56">
        <v>0</v>
      </c>
      <c r="AH54" s="56">
        <v>0</v>
      </c>
      <c r="AI54" s="56"/>
      <c r="AJ54" s="56">
        <f t="shared" si="7"/>
        <v>1000</v>
      </c>
      <c r="AK54" s="85"/>
      <c r="AL54" s="56">
        <v>0</v>
      </c>
      <c r="AM54" s="56"/>
      <c r="AN54" s="88">
        <v>0</v>
      </c>
      <c r="AO54" s="88">
        <v>0</v>
      </c>
      <c r="AP54" s="88">
        <v>0</v>
      </c>
      <c r="AQ54" s="56"/>
      <c r="AR54" s="56">
        <v>0</v>
      </c>
      <c r="AS54" s="56"/>
      <c r="AT54" s="56">
        <v>0</v>
      </c>
      <c r="AU54" s="56"/>
      <c r="AV54" s="56">
        <f t="shared" si="8"/>
        <v>0</v>
      </c>
      <c r="AW54" s="56"/>
      <c r="AX54" s="56">
        <v>0</v>
      </c>
      <c r="AY54" s="56"/>
      <c r="AZ54" s="88">
        <v>1000</v>
      </c>
      <c r="BA54" s="56">
        <v>1000</v>
      </c>
      <c r="BB54" s="214"/>
      <c r="BC54" s="56"/>
      <c r="BD54" s="84">
        <f t="shared" si="9"/>
        <v>0</v>
      </c>
      <c r="BE54" s="56"/>
      <c r="BF54" s="56"/>
      <c r="BG54" s="56"/>
      <c r="BH54" s="72"/>
    </row>
    <row r="55" spans="1:62" ht="18.95" customHeight="1" outlineLevel="1">
      <c r="A55" s="77" t="s">
        <v>43</v>
      </c>
      <c r="B55" s="77" t="s">
        <v>218</v>
      </c>
      <c r="C55" s="77" t="str">
        <f>+C54</f>
        <v>AI·</v>
      </c>
      <c r="D55" s="78" t="s">
        <v>46</v>
      </c>
      <c r="E55" s="78" t="str">
        <f t="shared" si="4"/>
        <v>000</v>
      </c>
      <c r="F55" s="3">
        <v>653051</v>
      </c>
      <c r="G55" s="102" t="s">
        <v>71</v>
      </c>
      <c r="H55" s="87"/>
      <c r="I55" s="13"/>
      <c r="J55" s="13"/>
      <c r="L55" s="56">
        <v>0</v>
      </c>
      <c r="M55" s="56"/>
      <c r="N55" s="56"/>
      <c r="O55" s="56"/>
      <c r="P55" s="56"/>
      <c r="Q55" s="56"/>
      <c r="R55" s="56"/>
      <c r="S55" s="56"/>
      <c r="T55" s="56"/>
      <c r="U55" s="56"/>
      <c r="V55" s="56"/>
      <c r="W55" s="56"/>
      <c r="X55" s="56">
        <v>0</v>
      </c>
      <c r="Y55" s="56"/>
      <c r="Z55" s="56"/>
      <c r="AA55" s="56"/>
      <c r="AB55" s="56"/>
      <c r="AC55" s="56"/>
      <c r="AD55" s="56"/>
      <c r="AE55" s="56"/>
      <c r="AF55" s="56"/>
      <c r="AG55" s="56"/>
      <c r="AH55" s="56"/>
      <c r="AI55" s="56"/>
      <c r="AJ55" s="56"/>
      <c r="AK55" s="85"/>
      <c r="AL55" s="56"/>
      <c r="AM55" s="56"/>
      <c r="AN55" s="88">
        <v>0</v>
      </c>
      <c r="AO55" s="88"/>
      <c r="AP55" s="88">
        <v>122.98</v>
      </c>
      <c r="AQ55" s="56"/>
      <c r="AR55" s="56"/>
      <c r="AS55" s="56"/>
      <c r="AT55" s="56"/>
      <c r="AU55" s="56"/>
      <c r="AV55" s="56"/>
      <c r="AW55" s="56"/>
      <c r="AX55" s="56"/>
      <c r="AY55" s="56"/>
      <c r="AZ55" s="88">
        <v>0</v>
      </c>
      <c r="BA55" s="56">
        <v>110</v>
      </c>
      <c r="BB55" s="214"/>
      <c r="BC55" s="56"/>
      <c r="BD55" s="84">
        <f t="shared" si="9"/>
        <v>122.98</v>
      </c>
      <c r="BE55" s="56"/>
      <c r="BF55" s="56"/>
      <c r="BG55" s="56"/>
      <c r="BH55" s="72"/>
    </row>
    <row r="56" spans="1:62" ht="18.95" customHeight="1" outlineLevel="1">
      <c r="A56" s="77" t="s">
        <v>43</v>
      </c>
      <c r="B56" s="77" t="s">
        <v>218</v>
      </c>
      <c r="C56" s="77" t="str">
        <f>+C54</f>
        <v>AI·</v>
      </c>
      <c r="D56" s="78" t="s">
        <v>46</v>
      </c>
      <c r="E56" s="78" t="str">
        <f t="shared" si="4"/>
        <v>000</v>
      </c>
      <c r="F56" s="3">
        <v>658211</v>
      </c>
      <c r="G56" s="102" t="s">
        <v>422</v>
      </c>
      <c r="H56" s="87"/>
      <c r="I56" s="13">
        <v>1931</v>
      </c>
      <c r="J56" s="13">
        <v>1568</v>
      </c>
      <c r="L56" s="56">
        <v>5647</v>
      </c>
      <c r="M56" s="56"/>
      <c r="N56" s="56">
        <v>1800</v>
      </c>
      <c r="O56" s="56"/>
      <c r="P56" s="56">
        <v>1800</v>
      </c>
      <c r="Q56" s="56"/>
      <c r="R56" s="56">
        <v>1800</v>
      </c>
      <c r="S56" s="56"/>
      <c r="T56" s="56">
        <v>0</v>
      </c>
      <c r="U56" s="56"/>
      <c r="V56" s="56">
        <v>1800</v>
      </c>
      <c r="W56" s="56"/>
      <c r="X56" s="56">
        <v>1789.71</v>
      </c>
      <c r="Y56" s="56"/>
      <c r="Z56" s="56">
        <v>1800</v>
      </c>
      <c r="AA56" s="56"/>
      <c r="AB56" s="56"/>
      <c r="AC56" s="56"/>
      <c r="AD56" s="56"/>
      <c r="AE56" s="56"/>
      <c r="AF56" s="56">
        <f t="shared" si="6"/>
        <v>1800</v>
      </c>
      <c r="AG56" s="56">
        <v>0</v>
      </c>
      <c r="AH56" s="56">
        <v>0</v>
      </c>
      <c r="AI56" s="56"/>
      <c r="AJ56" s="56">
        <f t="shared" si="7"/>
        <v>1800</v>
      </c>
      <c r="AK56" s="85"/>
      <c r="AL56" s="56">
        <v>0</v>
      </c>
      <c r="AM56" s="56"/>
      <c r="AN56" s="88">
        <v>1261.24</v>
      </c>
      <c r="AO56" s="88">
        <v>0</v>
      </c>
      <c r="AP56" s="88">
        <v>1225.3</v>
      </c>
      <c r="AQ56" s="56"/>
      <c r="AR56" s="56">
        <v>0</v>
      </c>
      <c r="AS56" s="56"/>
      <c r="AT56" s="56">
        <v>0</v>
      </c>
      <c r="AU56" s="56"/>
      <c r="AV56" s="56">
        <f t="shared" si="8"/>
        <v>1225.3</v>
      </c>
      <c r="AW56" s="56"/>
      <c r="AX56" s="56">
        <v>0</v>
      </c>
      <c r="AY56" s="56"/>
      <c r="AZ56" s="88">
        <v>1800</v>
      </c>
      <c r="BA56" s="56">
        <v>1800</v>
      </c>
      <c r="BB56" s="214"/>
      <c r="BC56" s="56"/>
      <c r="BD56" s="84">
        <f t="shared" si="9"/>
        <v>-35.940000000000055</v>
      </c>
      <c r="BE56" s="56"/>
      <c r="BF56" s="56"/>
      <c r="BG56" s="56"/>
      <c r="BH56" s="72"/>
    </row>
    <row r="57" spans="1:62" ht="18.95" customHeight="1" outlineLevel="1">
      <c r="A57" s="77" t="s">
        <v>43</v>
      </c>
      <c r="B57" s="77" t="s">
        <v>218</v>
      </c>
      <c r="C57" s="77" t="str">
        <f t="shared" si="5"/>
        <v>AI·</v>
      </c>
      <c r="D57" s="78" t="s">
        <v>46</v>
      </c>
      <c r="E57" s="78" t="str">
        <f t="shared" si="4"/>
        <v>000</v>
      </c>
      <c r="F57" s="3">
        <v>658213</v>
      </c>
      <c r="G57" s="102" t="s">
        <v>423</v>
      </c>
      <c r="H57" s="87"/>
      <c r="I57" s="13">
        <v>4293</v>
      </c>
      <c r="J57" s="13">
        <v>4139</v>
      </c>
      <c r="L57" s="56">
        <v>4036</v>
      </c>
      <c r="M57" s="56"/>
      <c r="N57" s="56">
        <v>4500</v>
      </c>
      <c r="O57" s="56"/>
      <c r="P57" s="56">
        <v>4500</v>
      </c>
      <c r="Q57" s="56"/>
      <c r="R57" s="56">
        <v>4500</v>
      </c>
      <c r="S57" s="56"/>
      <c r="T57" s="56">
        <v>0</v>
      </c>
      <c r="U57" s="56"/>
      <c r="V57" s="56">
        <v>4500</v>
      </c>
      <c r="W57" s="56"/>
      <c r="X57" s="56">
        <v>3272.97</v>
      </c>
      <c r="Y57" s="56"/>
      <c r="Z57" s="56">
        <v>4500</v>
      </c>
      <c r="AA57" s="56"/>
      <c r="AB57" s="56"/>
      <c r="AC57" s="56"/>
      <c r="AD57" s="56"/>
      <c r="AE57" s="56"/>
      <c r="AF57" s="56">
        <f t="shared" si="6"/>
        <v>4500</v>
      </c>
      <c r="AG57" s="56">
        <v>0</v>
      </c>
      <c r="AH57" s="56">
        <v>0</v>
      </c>
      <c r="AI57" s="56"/>
      <c r="AJ57" s="56">
        <f t="shared" si="7"/>
        <v>4500</v>
      </c>
      <c r="AK57" s="85"/>
      <c r="AL57" s="56">
        <v>0</v>
      </c>
      <c r="AM57" s="56"/>
      <c r="AN57" s="88">
        <v>3048.83</v>
      </c>
      <c r="AO57" s="88">
        <v>0</v>
      </c>
      <c r="AP57" s="88">
        <v>4199.09</v>
      </c>
      <c r="AQ57" s="56"/>
      <c r="AR57" s="56">
        <v>0</v>
      </c>
      <c r="AS57" s="56"/>
      <c r="AT57" s="56">
        <v>0</v>
      </c>
      <c r="AU57" s="56"/>
      <c r="AV57" s="56">
        <f t="shared" si="8"/>
        <v>4199.09</v>
      </c>
      <c r="AW57" s="56"/>
      <c r="AX57" s="56">
        <v>0</v>
      </c>
      <c r="AY57" s="56"/>
      <c r="AZ57" s="88">
        <v>4500</v>
      </c>
      <c r="BA57" s="56">
        <v>4500</v>
      </c>
      <c r="BB57" s="214"/>
      <c r="BC57" s="56"/>
      <c r="BD57" s="84">
        <f t="shared" si="9"/>
        <v>1150.2600000000002</v>
      </c>
      <c r="BE57" s="56"/>
      <c r="BF57" s="56"/>
      <c r="BG57" s="56"/>
      <c r="BH57" s="72"/>
    </row>
    <row r="58" spans="1:62" ht="18.95" customHeight="1" outlineLevel="1">
      <c r="A58" s="77" t="s">
        <v>43</v>
      </c>
      <c r="B58" s="77" t="s">
        <v>218</v>
      </c>
      <c r="C58" s="77" t="str">
        <f t="shared" si="5"/>
        <v>AI·</v>
      </c>
      <c r="D58" s="78" t="s">
        <v>46</v>
      </c>
      <c r="E58" s="78" t="str">
        <f t="shared" si="4"/>
        <v>000</v>
      </c>
      <c r="F58" s="3">
        <v>661001</v>
      </c>
      <c r="G58" s="102" t="s">
        <v>424</v>
      </c>
      <c r="H58" s="87"/>
      <c r="I58" s="13">
        <v>4437</v>
      </c>
      <c r="J58" s="13">
        <v>552</v>
      </c>
      <c r="L58" s="56">
        <v>1485</v>
      </c>
      <c r="M58" s="56"/>
      <c r="N58" s="56">
        <v>4500</v>
      </c>
      <c r="O58" s="56"/>
      <c r="P58" s="56">
        <v>4500</v>
      </c>
      <c r="Q58" s="56"/>
      <c r="R58" s="56">
        <v>4500</v>
      </c>
      <c r="S58" s="56"/>
      <c r="T58" s="56">
        <v>0</v>
      </c>
      <c r="U58" s="56"/>
      <c r="V58" s="56">
        <v>4500</v>
      </c>
      <c r="W58" s="56"/>
      <c r="X58" s="56">
        <v>3982.29</v>
      </c>
      <c r="Y58" s="56"/>
      <c r="Z58" s="56">
        <v>4500</v>
      </c>
      <c r="AA58" s="56"/>
      <c r="AB58" s="56"/>
      <c r="AC58" s="56"/>
      <c r="AD58" s="56"/>
      <c r="AE58" s="56"/>
      <c r="AF58" s="56">
        <f t="shared" si="6"/>
        <v>4500</v>
      </c>
      <c r="AG58" s="56">
        <v>0</v>
      </c>
      <c r="AH58" s="56">
        <v>0</v>
      </c>
      <c r="AI58" s="56"/>
      <c r="AJ58" s="56">
        <f t="shared" si="7"/>
        <v>4500</v>
      </c>
      <c r="AK58" s="85"/>
      <c r="AL58" s="56">
        <v>0</v>
      </c>
      <c r="AM58" s="56"/>
      <c r="AN58" s="88">
        <v>2895.05</v>
      </c>
      <c r="AO58" s="88">
        <v>0</v>
      </c>
      <c r="AP58" s="88">
        <v>4082.53</v>
      </c>
      <c r="AQ58" s="56"/>
      <c r="AR58" s="56">
        <v>0</v>
      </c>
      <c r="AS58" s="56"/>
      <c r="AT58" s="56">
        <v>0</v>
      </c>
      <c r="AU58" s="56"/>
      <c r="AV58" s="56">
        <f t="shared" si="8"/>
        <v>4082.53</v>
      </c>
      <c r="AW58" s="56"/>
      <c r="AX58" s="56">
        <v>0</v>
      </c>
      <c r="AY58" s="56"/>
      <c r="AZ58" s="88">
        <v>4500</v>
      </c>
      <c r="BA58" s="56">
        <v>4500</v>
      </c>
      <c r="BB58" s="214"/>
      <c r="BC58" s="56"/>
      <c r="BD58" s="84">
        <f t="shared" si="9"/>
        <v>1187.48</v>
      </c>
      <c r="BE58" s="56"/>
      <c r="BF58" s="56"/>
      <c r="BG58" s="56"/>
      <c r="BH58" s="72"/>
    </row>
    <row r="59" spans="1:62" ht="18.95" customHeight="1" outlineLevel="1">
      <c r="A59" s="77" t="s">
        <v>43</v>
      </c>
      <c r="B59" s="77" t="s">
        <v>218</v>
      </c>
      <c r="C59" s="77" t="str">
        <f t="shared" si="5"/>
        <v>AI·</v>
      </c>
      <c r="D59" s="78" t="s">
        <v>46</v>
      </c>
      <c r="E59" s="78" t="str">
        <f t="shared" si="4"/>
        <v>000</v>
      </c>
      <c r="F59" s="3">
        <v>661101</v>
      </c>
      <c r="G59" s="102" t="s">
        <v>425</v>
      </c>
      <c r="H59" s="87"/>
      <c r="I59" s="13">
        <v>1296</v>
      </c>
      <c r="J59" s="13">
        <v>1512</v>
      </c>
      <c r="L59" s="56">
        <v>1367</v>
      </c>
      <c r="M59" s="56"/>
      <c r="N59" s="56">
        <v>2500</v>
      </c>
      <c r="O59" s="56"/>
      <c r="P59" s="56">
        <v>2500</v>
      </c>
      <c r="Q59" s="56"/>
      <c r="R59" s="56">
        <v>2500</v>
      </c>
      <c r="S59" s="56"/>
      <c r="T59" s="56">
        <v>0</v>
      </c>
      <c r="U59" s="56"/>
      <c r="V59" s="56">
        <v>2500</v>
      </c>
      <c r="W59" s="56"/>
      <c r="X59" s="56">
        <v>1464.57</v>
      </c>
      <c r="Y59" s="56"/>
      <c r="Z59" s="56">
        <v>2500</v>
      </c>
      <c r="AA59" s="56"/>
      <c r="AB59" s="56"/>
      <c r="AC59" s="56"/>
      <c r="AD59" s="56"/>
      <c r="AE59" s="56"/>
      <c r="AF59" s="56">
        <f t="shared" si="6"/>
        <v>2500</v>
      </c>
      <c r="AG59" s="56">
        <v>0</v>
      </c>
      <c r="AH59" s="56">
        <v>0</v>
      </c>
      <c r="AI59" s="56"/>
      <c r="AJ59" s="56">
        <f t="shared" si="7"/>
        <v>2500</v>
      </c>
      <c r="AK59" s="85"/>
      <c r="AL59" s="56">
        <v>0</v>
      </c>
      <c r="AM59" s="56"/>
      <c r="AN59" s="88">
        <v>2227.9299999999998</v>
      </c>
      <c r="AO59" s="88">
        <v>0</v>
      </c>
      <c r="AP59" s="88">
        <v>1830</v>
      </c>
      <c r="AQ59" s="56"/>
      <c r="AR59" s="56">
        <v>0</v>
      </c>
      <c r="AS59" s="56"/>
      <c r="AT59" s="56">
        <v>0</v>
      </c>
      <c r="AU59" s="56"/>
      <c r="AV59" s="56">
        <f t="shared" si="8"/>
        <v>1830</v>
      </c>
      <c r="AW59" s="56"/>
      <c r="AX59" s="56">
        <v>0</v>
      </c>
      <c r="AY59" s="56"/>
      <c r="AZ59" s="88">
        <v>2500</v>
      </c>
      <c r="BA59" s="56">
        <v>2500</v>
      </c>
      <c r="BB59" s="214"/>
      <c r="BC59" s="56"/>
      <c r="BD59" s="84">
        <f t="shared" si="9"/>
        <v>-397.92999999999984</v>
      </c>
      <c r="BE59" s="56"/>
      <c r="BF59" s="56"/>
      <c r="BG59" s="56"/>
      <c r="BH59" s="72"/>
    </row>
    <row r="60" spans="1:62" ht="18.95" customHeight="1" outlineLevel="1">
      <c r="A60" s="77" t="s">
        <v>43</v>
      </c>
      <c r="B60" s="77" t="s">
        <v>225</v>
      </c>
      <c r="C60" s="77" t="str">
        <f t="shared" si="5"/>
        <v>AI·</v>
      </c>
      <c r="D60" s="78" t="s">
        <v>46</v>
      </c>
      <c r="E60" s="78" t="str">
        <f t="shared" si="4"/>
        <v>000</v>
      </c>
      <c r="F60" s="3">
        <v>615011</v>
      </c>
      <c r="G60" s="102" t="s">
        <v>426</v>
      </c>
      <c r="H60" s="87"/>
      <c r="I60" s="13">
        <v>0</v>
      </c>
      <c r="J60" s="13">
        <v>0</v>
      </c>
      <c r="L60" s="56">
        <v>0</v>
      </c>
      <c r="M60" s="56"/>
      <c r="N60" s="56">
        <v>750</v>
      </c>
      <c r="O60" s="56"/>
      <c r="P60" s="56">
        <v>750</v>
      </c>
      <c r="Q60" s="56"/>
      <c r="R60" s="56">
        <v>750</v>
      </c>
      <c r="S60" s="56"/>
      <c r="T60" s="56">
        <v>0</v>
      </c>
      <c r="U60" s="56"/>
      <c r="V60" s="56">
        <v>750</v>
      </c>
      <c r="W60" s="56"/>
      <c r="X60" s="56">
        <v>0</v>
      </c>
      <c r="Y60" s="56"/>
      <c r="Z60" s="56">
        <v>750</v>
      </c>
      <c r="AA60" s="56"/>
      <c r="AB60" s="56"/>
      <c r="AC60" s="56"/>
      <c r="AD60" s="56"/>
      <c r="AE60" s="56"/>
      <c r="AF60" s="56">
        <f t="shared" si="6"/>
        <v>750</v>
      </c>
      <c r="AG60" s="56">
        <v>0</v>
      </c>
      <c r="AH60" s="56">
        <v>0</v>
      </c>
      <c r="AI60" s="56"/>
      <c r="AJ60" s="56">
        <f t="shared" si="7"/>
        <v>750</v>
      </c>
      <c r="AK60" s="85"/>
      <c r="AL60" s="56">
        <v>0</v>
      </c>
      <c r="AM60" s="56"/>
      <c r="AN60" s="88">
        <v>0</v>
      </c>
      <c r="AO60" s="88">
        <v>0</v>
      </c>
      <c r="AP60" s="88">
        <v>0</v>
      </c>
      <c r="AQ60" s="56"/>
      <c r="AR60" s="56">
        <v>0</v>
      </c>
      <c r="AS60" s="56"/>
      <c r="AT60" s="56">
        <v>0</v>
      </c>
      <c r="AU60" s="56"/>
      <c r="AV60" s="56">
        <f t="shared" si="8"/>
        <v>0</v>
      </c>
      <c r="AW60" s="56"/>
      <c r="AX60" s="56">
        <v>0</v>
      </c>
      <c r="AY60" s="56"/>
      <c r="AZ60" s="88">
        <v>750</v>
      </c>
      <c r="BA60" s="56">
        <v>750</v>
      </c>
      <c r="BB60" s="214"/>
      <c r="BC60" s="56"/>
      <c r="BD60" s="84">
        <f t="shared" si="9"/>
        <v>0</v>
      </c>
      <c r="BE60" s="56"/>
      <c r="BF60" s="56"/>
      <c r="BG60" s="56"/>
      <c r="BH60" s="72">
        <v>1</v>
      </c>
      <c r="BJ60">
        <v>1</v>
      </c>
    </row>
    <row r="61" spans="1:62" ht="18.95" customHeight="1" outlineLevel="1">
      <c r="A61" s="77" t="s">
        <v>43</v>
      </c>
      <c r="B61" s="77" t="s">
        <v>91</v>
      </c>
      <c r="C61" s="77" t="str">
        <f t="shared" si="5"/>
        <v>AI·</v>
      </c>
      <c r="D61" s="78" t="s">
        <v>46</v>
      </c>
      <c r="E61" s="78" t="str">
        <f t="shared" si="4"/>
        <v>000</v>
      </c>
      <c r="F61" s="3">
        <v>661001</v>
      </c>
      <c r="G61" s="102" t="s">
        <v>427</v>
      </c>
      <c r="H61" s="87"/>
      <c r="I61" s="13">
        <v>1205</v>
      </c>
      <c r="J61" s="13">
        <v>1076</v>
      </c>
      <c r="L61" s="56">
        <v>1119</v>
      </c>
      <c r="M61" s="56"/>
      <c r="N61" s="56">
        <v>1200</v>
      </c>
      <c r="O61" s="56"/>
      <c r="P61" s="56">
        <v>1200</v>
      </c>
      <c r="Q61" s="56"/>
      <c r="R61" s="56">
        <v>1200</v>
      </c>
      <c r="S61" s="56"/>
      <c r="T61" s="56">
        <v>0</v>
      </c>
      <c r="U61" s="56"/>
      <c r="V61" s="56">
        <v>1200</v>
      </c>
      <c r="W61" s="56"/>
      <c r="X61" s="56">
        <v>1162.44</v>
      </c>
      <c r="Y61" s="56"/>
      <c r="Z61" s="56">
        <v>1200</v>
      </c>
      <c r="AA61" s="56"/>
      <c r="AB61" s="56"/>
      <c r="AC61" s="56"/>
      <c r="AD61" s="56"/>
      <c r="AE61" s="56"/>
      <c r="AF61" s="56">
        <f t="shared" si="6"/>
        <v>1200</v>
      </c>
      <c r="AG61" s="56">
        <v>0</v>
      </c>
      <c r="AH61" s="56">
        <v>0</v>
      </c>
      <c r="AI61" s="56"/>
      <c r="AJ61" s="56">
        <f t="shared" si="7"/>
        <v>1200</v>
      </c>
      <c r="AK61" s="85"/>
      <c r="AL61" s="56">
        <v>0</v>
      </c>
      <c r="AM61" s="56"/>
      <c r="AN61" s="88">
        <v>1193.93</v>
      </c>
      <c r="AO61" s="88">
        <v>0</v>
      </c>
      <c r="AP61" s="88">
        <v>1255.6199999999999</v>
      </c>
      <c r="AQ61" s="56"/>
      <c r="AR61" s="56">
        <v>0</v>
      </c>
      <c r="AS61" s="56"/>
      <c r="AT61" s="56">
        <v>0</v>
      </c>
      <c r="AU61" s="56"/>
      <c r="AV61" s="56">
        <f t="shared" si="8"/>
        <v>1255.6199999999999</v>
      </c>
      <c r="AW61" s="56"/>
      <c r="AX61" s="56">
        <v>0</v>
      </c>
      <c r="AY61" s="56"/>
      <c r="AZ61" s="88">
        <v>1200</v>
      </c>
      <c r="BA61" s="56">
        <v>1200</v>
      </c>
      <c r="BB61" s="214"/>
      <c r="BC61" s="56"/>
      <c r="BD61" s="84">
        <f t="shared" si="9"/>
        <v>61.689999999999827</v>
      </c>
      <c r="BE61" s="56"/>
      <c r="BF61" s="56"/>
      <c r="BG61" s="56"/>
      <c r="BH61" s="72"/>
    </row>
    <row r="62" spans="1:62" ht="18.95" customHeight="1" outlineLevel="1">
      <c r="A62" s="77" t="s">
        <v>43</v>
      </c>
      <c r="B62" s="77" t="s">
        <v>137</v>
      </c>
      <c r="C62" s="77" t="str">
        <f t="shared" si="5"/>
        <v>AI·</v>
      </c>
      <c r="D62" s="78" t="s">
        <v>46</v>
      </c>
      <c r="E62" s="78" t="str">
        <f t="shared" si="4"/>
        <v>000</v>
      </c>
      <c r="F62" s="3">
        <v>611712</v>
      </c>
      <c r="G62" s="102" t="s">
        <v>428</v>
      </c>
      <c r="H62" s="87"/>
      <c r="I62" s="13">
        <v>38574</v>
      </c>
      <c r="J62" s="13">
        <v>38497</v>
      </c>
      <c r="L62" s="56">
        <v>41697</v>
      </c>
      <c r="M62" s="56"/>
      <c r="N62" s="56">
        <v>40247</v>
      </c>
      <c r="O62" s="56"/>
      <c r="P62" s="56">
        <v>40247</v>
      </c>
      <c r="Q62" s="56"/>
      <c r="R62" s="56">
        <v>42197</v>
      </c>
      <c r="S62" s="56"/>
      <c r="T62" s="56">
        <v>0</v>
      </c>
      <c r="U62" s="56"/>
      <c r="V62" s="56">
        <v>42197</v>
      </c>
      <c r="W62" s="56"/>
      <c r="X62" s="56">
        <v>42197</v>
      </c>
      <c r="Y62" s="56"/>
      <c r="Z62" s="56">
        <v>40497</v>
      </c>
      <c r="AA62" s="56"/>
      <c r="AB62" s="56"/>
      <c r="AC62" s="56"/>
      <c r="AD62" s="56"/>
      <c r="AE62" s="56"/>
      <c r="AF62" s="56">
        <f t="shared" si="6"/>
        <v>40497</v>
      </c>
      <c r="AG62" s="56">
        <v>0</v>
      </c>
      <c r="AH62" s="56">
        <v>2250</v>
      </c>
      <c r="AI62" s="56"/>
      <c r="AJ62" s="56">
        <f t="shared" si="7"/>
        <v>42747</v>
      </c>
      <c r="AK62" s="85"/>
      <c r="AL62" s="56">
        <v>0</v>
      </c>
      <c r="AM62" s="56"/>
      <c r="AN62" s="88">
        <v>42747</v>
      </c>
      <c r="AO62" s="88">
        <v>0</v>
      </c>
      <c r="AP62" s="88">
        <v>40497</v>
      </c>
      <c r="AQ62" s="56"/>
      <c r="AR62" s="56">
        <v>0</v>
      </c>
      <c r="AS62" s="56"/>
      <c r="AT62" s="56">
        <v>0</v>
      </c>
      <c r="AU62" s="56"/>
      <c r="AV62" s="56">
        <f t="shared" si="8"/>
        <v>40497</v>
      </c>
      <c r="AW62" s="56"/>
      <c r="AX62" s="56">
        <v>0</v>
      </c>
      <c r="AY62" s="56"/>
      <c r="AZ62" s="88">
        <v>40497</v>
      </c>
      <c r="BA62" s="56">
        <v>40497</v>
      </c>
      <c r="BB62" s="214"/>
      <c r="BC62" s="56"/>
      <c r="BD62" s="84">
        <f t="shared" si="9"/>
        <v>-2250</v>
      </c>
      <c r="BE62" s="56"/>
      <c r="BF62" s="56"/>
      <c r="BG62" s="56"/>
      <c r="BH62" s="72">
        <v>1</v>
      </c>
      <c r="BJ62">
        <v>1</v>
      </c>
    </row>
    <row r="63" spans="1:62" ht="18.95" customHeight="1" outlineLevel="1">
      <c r="A63" s="77" t="s">
        <v>43</v>
      </c>
      <c r="B63" s="77" t="s">
        <v>429</v>
      </c>
      <c r="C63" s="77" t="str">
        <f t="shared" si="5"/>
        <v>AI·</v>
      </c>
      <c r="D63" s="78" t="s">
        <v>46</v>
      </c>
      <c r="E63" s="78" t="str">
        <f t="shared" si="4"/>
        <v>000</v>
      </c>
      <c r="F63" s="3">
        <v>612112</v>
      </c>
      <c r="G63" s="102" t="s">
        <v>430</v>
      </c>
      <c r="H63" s="87"/>
      <c r="I63" s="13">
        <v>5666</v>
      </c>
      <c r="J63" s="13">
        <v>742</v>
      </c>
      <c r="L63" s="56">
        <v>4674</v>
      </c>
      <c r="M63" s="56"/>
      <c r="N63" s="56">
        <v>6000</v>
      </c>
      <c r="O63" s="56"/>
      <c r="P63" s="56">
        <v>6000</v>
      </c>
      <c r="Q63" s="56"/>
      <c r="R63" s="56">
        <v>6000</v>
      </c>
      <c r="S63" s="56"/>
      <c r="T63" s="56">
        <v>0</v>
      </c>
      <c r="U63" s="56"/>
      <c r="V63" s="56">
        <v>6000</v>
      </c>
      <c r="W63" s="56"/>
      <c r="X63" s="56">
        <f>2285.08+257.4</f>
        <v>2542.48</v>
      </c>
      <c r="Y63" s="56"/>
      <c r="Z63" s="56">
        <v>6000</v>
      </c>
      <c r="AA63" s="56"/>
      <c r="AB63" s="56"/>
      <c r="AC63" s="56"/>
      <c r="AD63" s="56"/>
      <c r="AE63" s="56"/>
      <c r="AF63" s="56">
        <f t="shared" si="6"/>
        <v>6000</v>
      </c>
      <c r="AG63" s="56">
        <v>0</v>
      </c>
      <c r="AH63" s="56">
        <v>0</v>
      </c>
      <c r="AI63" s="56"/>
      <c r="AJ63" s="56">
        <f t="shared" si="7"/>
        <v>6000</v>
      </c>
      <c r="AK63" s="85"/>
      <c r="AL63" s="56">
        <v>0</v>
      </c>
      <c r="AM63" s="56"/>
      <c r="AN63" s="88">
        <v>1925.7</v>
      </c>
      <c r="AO63" s="88">
        <v>0</v>
      </c>
      <c r="AP63" s="88">
        <v>6175.73</v>
      </c>
      <c r="AQ63" s="56"/>
      <c r="AR63" s="56">
        <v>0</v>
      </c>
      <c r="AS63" s="56"/>
      <c r="AT63" s="56">
        <v>0</v>
      </c>
      <c r="AU63" s="56"/>
      <c r="AV63" s="56">
        <f t="shared" si="8"/>
        <v>6175.73</v>
      </c>
      <c r="AW63" s="56"/>
      <c r="AX63" s="56">
        <v>0</v>
      </c>
      <c r="AY63" s="56"/>
      <c r="AZ63" s="88">
        <v>6000</v>
      </c>
      <c r="BA63" s="56">
        <v>6000</v>
      </c>
      <c r="BB63" s="214"/>
      <c r="BC63" s="56"/>
      <c r="BD63" s="84">
        <f t="shared" si="9"/>
        <v>4250.03</v>
      </c>
      <c r="BE63" s="56"/>
      <c r="BF63" s="56"/>
      <c r="BG63" s="56"/>
      <c r="BH63" s="72">
        <v>0</v>
      </c>
      <c r="BJ63">
        <v>0</v>
      </c>
    </row>
    <row r="64" spans="1:62" ht="18.95" customHeight="1" outlineLevel="1">
      <c r="A64" s="77" t="s">
        <v>43</v>
      </c>
      <c r="B64" s="77" t="s">
        <v>246</v>
      </c>
      <c r="C64" s="77" t="str">
        <f t="shared" si="5"/>
        <v>AI·</v>
      </c>
      <c r="D64" s="78" t="s">
        <v>46</v>
      </c>
      <c r="E64" s="78" t="str">
        <f t="shared" si="4"/>
        <v>000</v>
      </c>
      <c r="F64" s="3">
        <v>689012</v>
      </c>
      <c r="G64" s="102" t="s">
        <v>431</v>
      </c>
      <c r="H64" s="87"/>
      <c r="I64" s="13">
        <v>3000</v>
      </c>
      <c r="J64" s="13">
        <v>3000</v>
      </c>
      <c r="L64" s="56">
        <v>28000</v>
      </c>
      <c r="M64" s="56"/>
      <c r="N64" s="56">
        <v>25000</v>
      </c>
      <c r="O64" s="56"/>
      <c r="P64" s="56">
        <v>25000</v>
      </c>
      <c r="Q64" s="56"/>
      <c r="R64" s="56">
        <v>25000</v>
      </c>
      <c r="S64" s="56"/>
      <c r="T64" s="56">
        <v>0</v>
      </c>
      <c r="U64" s="56"/>
      <c r="V64" s="56">
        <v>25000</v>
      </c>
      <c r="W64" s="56"/>
      <c r="X64" s="56">
        <v>25000</v>
      </c>
      <c r="Y64" s="56"/>
      <c r="Z64" s="56">
        <v>26400</v>
      </c>
      <c r="AA64" s="56"/>
      <c r="AB64" s="56"/>
      <c r="AC64" s="56"/>
      <c r="AD64" s="56"/>
      <c r="AE64" s="56"/>
      <c r="AF64" s="56">
        <f t="shared" si="6"/>
        <v>26400</v>
      </c>
      <c r="AG64" s="56">
        <v>0</v>
      </c>
      <c r="AH64" s="56">
        <v>0</v>
      </c>
      <c r="AI64" s="56"/>
      <c r="AJ64" s="56">
        <f t="shared" si="7"/>
        <v>26400</v>
      </c>
      <c r="AK64" s="85"/>
      <c r="AL64" s="56">
        <v>0</v>
      </c>
      <c r="AM64" s="56"/>
      <c r="AN64" s="88">
        <v>29346</v>
      </c>
      <c r="AO64" s="88">
        <v>0</v>
      </c>
      <c r="AP64" s="88">
        <v>27405</v>
      </c>
      <c r="AQ64" s="56"/>
      <c r="AR64" s="56">
        <v>0</v>
      </c>
      <c r="AS64" s="56"/>
      <c r="AT64" s="56">
        <v>0</v>
      </c>
      <c r="AU64" s="56"/>
      <c r="AV64" s="56">
        <f t="shared" si="8"/>
        <v>27405</v>
      </c>
      <c r="AW64" s="56"/>
      <c r="AX64" s="56">
        <v>0</v>
      </c>
      <c r="AY64" s="56"/>
      <c r="AZ64" s="88">
        <v>27500</v>
      </c>
      <c r="BA64" s="56">
        <v>27500</v>
      </c>
      <c r="BB64" s="214"/>
      <c r="BC64" s="56"/>
      <c r="BD64" s="84">
        <f t="shared" si="9"/>
        <v>-1941</v>
      </c>
      <c r="BE64" s="56"/>
      <c r="BF64" s="56"/>
      <c r="BG64" s="56"/>
      <c r="BH64" s="72"/>
    </row>
    <row r="65" spans="1:60" ht="20.100000000000001" customHeight="1">
      <c r="B65" s="77"/>
      <c r="C65" s="77"/>
      <c r="D65" s="90"/>
      <c r="E65" s="90"/>
      <c r="F65" s="3"/>
      <c r="G65" s="110" t="s">
        <v>1050</v>
      </c>
      <c r="H65" s="81"/>
      <c r="I65" s="92">
        <v>716205</v>
      </c>
      <c r="J65" s="93">
        <v>801600</v>
      </c>
      <c r="L65" s="125">
        <v>904170</v>
      </c>
      <c r="M65" s="126"/>
      <c r="N65" s="125">
        <v>908849</v>
      </c>
      <c r="O65" s="126"/>
      <c r="P65" s="125">
        <v>914512</v>
      </c>
      <c r="Q65" s="126"/>
      <c r="R65" s="125">
        <v>930312</v>
      </c>
      <c r="S65" s="95"/>
      <c r="T65" s="94">
        <v>0</v>
      </c>
      <c r="U65" s="126"/>
      <c r="V65" s="125">
        <v>930312</v>
      </c>
      <c r="W65" s="126"/>
      <c r="X65" s="125">
        <f>SUBTOTAL(9,X11:X64)</f>
        <v>908642.80999999994</v>
      </c>
      <c r="Y65" s="126"/>
      <c r="Z65" s="125">
        <f>SUBTOTAL(9,Z11:Z64)</f>
        <v>935928</v>
      </c>
      <c r="AA65" s="126"/>
      <c r="AB65" s="125">
        <f>SUBTOTAL(9,AB11:AB64)</f>
        <v>0</v>
      </c>
      <c r="AC65" s="126"/>
      <c r="AD65" s="125">
        <f>SUBTOTAL(9,AD11:AD64)</f>
        <v>242</v>
      </c>
      <c r="AE65" s="126"/>
      <c r="AF65" s="125">
        <f>SUBTOTAL(9,AF11:AF64)</f>
        <v>936170</v>
      </c>
      <c r="AG65" s="125">
        <f>SUBTOTAL(9,AG11:AG64)</f>
        <v>189937</v>
      </c>
      <c r="AH65" s="125">
        <f>SUBTOTAL(9,AH11:AH64)</f>
        <v>10750</v>
      </c>
      <c r="AI65" s="126"/>
      <c r="AJ65" s="125">
        <f>SUBTOTAL(9,AJ11:AJ64)</f>
        <v>1136857</v>
      </c>
      <c r="AK65" s="96"/>
      <c r="AL65" s="125">
        <f>SUBTOTAL(9,AL11:AL64)</f>
        <v>0</v>
      </c>
      <c r="AM65" s="126"/>
      <c r="AN65" s="127">
        <f>SUBTOTAL(9,AN11:AN64)</f>
        <v>1087359.49</v>
      </c>
      <c r="AO65" s="127">
        <f>SUBTOTAL(9,AO11:AO64)</f>
        <v>0</v>
      </c>
      <c r="AP65" s="127">
        <f>SUBTOTAL(9,AP11:AP64)</f>
        <v>1076428.6600000001</v>
      </c>
      <c r="AQ65" s="126"/>
      <c r="AR65" s="125">
        <f>SUBTOTAL(9,AR11:AR64)</f>
        <v>0</v>
      </c>
      <c r="AS65" s="126"/>
      <c r="AT65" s="125">
        <f>SUBTOTAL(9,AT11:AT64)</f>
        <v>57179.709999999992</v>
      </c>
      <c r="AU65" s="126"/>
      <c r="AV65" s="125">
        <f>SUBTOTAL(9,AV11:AV64)</f>
        <v>1133388.0700000003</v>
      </c>
      <c r="AW65" s="126"/>
      <c r="AX65" s="125">
        <f>SUBTOTAL(9,AX11:AX64)</f>
        <v>53377</v>
      </c>
      <c r="AY65" s="126"/>
      <c r="AZ65" s="127">
        <f>SUBTOTAL(9,AZ11:AZ64)</f>
        <v>1013722</v>
      </c>
      <c r="BA65" s="125">
        <f>SUBTOTAL(9,BA11:BA64)</f>
        <v>1203233</v>
      </c>
      <c r="BB65" s="214"/>
      <c r="BC65" s="56"/>
      <c r="BD65" s="98">
        <f t="shared" si="9"/>
        <v>-10930.829999999842</v>
      </c>
      <c r="BE65" s="126"/>
      <c r="BF65" s="126"/>
      <c r="BG65" s="126"/>
    </row>
    <row r="66" spans="1:60" ht="9" customHeight="1">
      <c r="A66" s="77"/>
      <c r="B66" s="77"/>
      <c r="C66" s="77"/>
      <c r="D66" s="90"/>
      <c r="E66" s="90"/>
      <c r="F66" s="3"/>
      <c r="G66" s="80"/>
      <c r="H66" s="87"/>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5"/>
      <c r="AL66" s="83"/>
      <c r="AM66" s="83"/>
      <c r="AN66" s="100"/>
      <c r="AO66" s="100"/>
      <c r="AP66" s="100"/>
      <c r="AQ66" s="83"/>
      <c r="AR66" s="83"/>
      <c r="AS66" s="83"/>
      <c r="AT66" s="83"/>
      <c r="AU66" s="83"/>
      <c r="AV66" s="83"/>
      <c r="AW66" s="83"/>
      <c r="AX66" s="83"/>
      <c r="AY66" s="83"/>
      <c r="AZ66" s="100"/>
      <c r="BA66" s="83"/>
      <c r="BB66" s="34"/>
      <c r="BC66" s="56"/>
      <c r="BD66" s="83"/>
      <c r="BE66" s="83"/>
      <c r="BF66" s="83"/>
      <c r="BG66" s="83"/>
      <c r="BH66" s="19"/>
    </row>
  </sheetData>
  <autoFilter ref="A9:BH66"/>
  <mergeCells count="8">
    <mergeCell ref="A8:E8"/>
    <mergeCell ref="AG2:AH2"/>
    <mergeCell ref="AG3:AH3"/>
    <mergeCell ref="AG4:AH4"/>
    <mergeCell ref="AB4:AD4"/>
    <mergeCell ref="A6:F6"/>
    <mergeCell ref="A7:F7"/>
    <mergeCell ref="AB5:AD5"/>
  </mergeCells>
  <phoneticPr fontId="3" type="noConversion"/>
  <conditionalFormatting sqref="F1:F1048576">
    <cfRule type="cellIs" dxfId="28" priority="1" stopIfTrue="1" operator="between">
      <formula>610000</formula>
      <formula>619999</formula>
    </cfRule>
  </conditionalFormatting>
  <pageMargins left="0.54" right="0.25" top="0.24" bottom="0.49" header="0.25" footer="0"/>
  <pageSetup scale="76" fitToHeight="0" orientation="landscape" r:id="rId1"/>
  <headerFooter alignWithMargins="0">
    <oddFooter>&amp;C&amp;8Detail of Expenditures Budget By Department, Page &amp;P of &amp;N</oddFooter>
  </headerFooter>
  <legacyDrawing r:id="rId2"/>
</worksheet>
</file>

<file path=xl/worksheets/sheet10.xml><?xml version="1.0" encoding="utf-8"?>
<worksheet xmlns="http://schemas.openxmlformats.org/spreadsheetml/2006/main" xmlns:r="http://schemas.openxmlformats.org/officeDocument/2006/relationships">
  <sheetPr codeName="Sheet12" enableFormatConditionsCalculation="0">
    <tabColor indexed="17"/>
    <pageSetUpPr fitToPage="1"/>
  </sheetPr>
  <dimension ref="A1:BJ24"/>
  <sheetViews>
    <sheetView zoomScale="87" zoomScaleNormal="90" workbookViewId="0">
      <pane xSplit="8" ySplit="9" topLeftCell="AN10" activePane="bottomRight" state="frozen"/>
      <selection activeCell="A28" sqref="A28"/>
      <selection pane="topRight" activeCell="A28" sqref="A28"/>
      <selection pane="bottomLeft" activeCell="A28" sqref="A28"/>
      <selection pane="bottomRight"/>
    </sheetView>
  </sheetViews>
  <sheetFormatPr defaultRowHeight="12.75" outlineLevelRow="1" outlineLevelCol="1"/>
  <cols>
    <col min="1" max="1" width="7" style="39" customWidth="1" outlineLevel="1"/>
    <col min="2" max="2" width="6.140625" style="39" customWidth="1" outlineLevel="1"/>
    <col min="3" max="3" width="3.7109375" style="39" customWidth="1" outlineLevel="1"/>
    <col min="4" max="5" width="4.85546875" style="168" customWidth="1" outlineLevel="1"/>
    <col min="6" max="6" width="8.7109375" style="40" customWidth="1" outlineLevel="1"/>
    <col min="7" max="7" width="28.5703125" style="4" customWidth="1"/>
    <col min="8" max="8" width="16.5703125" style="4" hidden="1" customWidth="1"/>
    <col min="9" max="10" width="15.140625" style="4" hidden="1" customWidth="1" collapsed="1"/>
    <col min="11" max="11" width="39.5703125" style="4" hidden="1" customWidth="1"/>
    <col min="12" max="12" width="15.140625" style="7" bestFit="1" customWidth="1" collapsed="1"/>
    <col min="13" max="13" width="31.7109375" style="7" hidden="1" customWidth="1"/>
    <col min="14" max="14" width="35.5703125" style="7" hidden="1" customWidth="1" collapsed="1"/>
    <col min="15" max="15" width="0.140625" style="7" customWidth="1"/>
    <col min="16" max="16" width="25.28515625" style="7" hidden="1" customWidth="1" outlineLevel="1" collapsed="1"/>
    <col min="17" max="17" width="23.42578125" style="7" hidden="1" customWidth="1" outlineLevel="1"/>
    <col min="18" max="18" width="20.5703125" style="7" hidden="1" customWidth="1" outlineLevel="1" collapsed="1"/>
    <col min="19" max="19" width="18" style="7" hidden="1" customWidth="1" outlineLevel="1"/>
    <col min="20" max="20" width="19.5703125" style="7" hidden="1" customWidth="1" outlineLevel="1"/>
    <col min="21" max="21" width="18.42578125" style="7" hidden="1" customWidth="1" outlineLevel="1"/>
    <col min="22" max="22" width="13.140625" style="7" hidden="1" customWidth="1"/>
    <col min="23" max="23" width="14.140625" style="7" hidden="1" customWidth="1"/>
    <col min="24" max="24" width="14.5703125" style="7" customWidth="1" collapsed="1"/>
    <col min="25" max="25" width="0.85546875" style="7" hidden="1" customWidth="1"/>
    <col min="26" max="26" width="16.140625" style="7" hidden="1" customWidth="1"/>
    <col min="27" max="27" width="0.140625" style="7" hidden="1" customWidth="1"/>
    <col min="28" max="28" width="16.140625" style="7" hidden="1" customWidth="1" outlineLevel="1"/>
    <col min="29" max="29" width="0.42578125" style="7" hidden="1" customWidth="1" outlineLevel="1"/>
    <col min="30" max="30" width="17.85546875" style="7" hidden="1" customWidth="1" outlineLevel="1"/>
    <col min="31" max="31" width="0.42578125" style="7" hidden="1" customWidth="1" outlineLevel="1"/>
    <col min="32" max="32" width="16.140625" style="7" hidden="1" customWidth="1" collapsed="1"/>
    <col min="33" max="33" width="16" style="7" hidden="1" customWidth="1" outlineLevel="1"/>
    <col min="34" max="34" width="17" style="7" hidden="1" customWidth="1" outlineLevel="1"/>
    <col min="35" max="35" width="10.5703125" style="7" hidden="1" customWidth="1" outlineLevel="1"/>
    <col min="36" max="36" width="16.140625" style="7" hidden="1" customWidth="1" collapsed="1"/>
    <col min="37" max="37" width="0.7109375" style="7" hidden="1" customWidth="1"/>
    <col min="38" max="38" width="16.140625" style="7" hidden="1" customWidth="1" outlineLevel="1"/>
    <col min="39" max="39" width="4.140625" style="7" hidden="1" customWidth="1" outlineLevel="1"/>
    <col min="40" max="40" width="16.140625" style="17" customWidth="1" collapsed="1"/>
    <col min="41" max="41" width="16.140625" style="17" hidden="1" customWidth="1" collapsed="1"/>
    <col min="42" max="42" width="16.140625" style="17" customWidth="1" collapsed="1"/>
    <col min="43" max="43" width="0.7109375" style="7" hidden="1" customWidth="1" outlineLevel="1"/>
    <col min="44" max="44" width="22.140625" style="7" hidden="1" customWidth="1" outlineLevel="1"/>
    <col min="45" max="45" width="0.42578125" style="7" hidden="1" customWidth="1" outlineLevel="1"/>
    <col min="46" max="46" width="17.85546875" style="7" hidden="1" customWidth="1" outlineLevel="1"/>
    <col min="47" max="47" width="0.42578125" style="7" hidden="1" customWidth="1" outlineLevel="1"/>
    <col min="48" max="48" width="18" style="7" hidden="1" customWidth="1" collapsed="1"/>
    <col min="49" max="49" width="0.5703125" style="7" hidden="1" customWidth="1"/>
    <col min="50" max="50" width="18" style="7" hidden="1" customWidth="1"/>
    <col min="51" max="51" width="0.5703125" style="7" customWidth="1"/>
    <col min="52" max="52" width="16.140625" style="17" customWidth="1" collapsed="1"/>
    <col min="53" max="53" width="15.7109375" style="7" bestFit="1" customWidth="1"/>
    <col min="54" max="54" width="15.140625" style="7" customWidth="1"/>
    <col min="55" max="55" width="23.140625" style="7" customWidth="1"/>
    <col min="56" max="56" width="19.85546875" style="7" bestFit="1" customWidth="1"/>
    <col min="57" max="59" width="12.42578125" style="7" customWidth="1"/>
    <col min="60" max="60" width="3.85546875" style="76" customWidth="1"/>
    <col min="61" max="61" width="14.5703125" style="12" bestFit="1" customWidth="1"/>
  </cols>
  <sheetData>
    <row r="1" spans="1:62" ht="15">
      <c r="A1" s="1" t="s">
        <v>0</v>
      </c>
      <c r="B1" s="2"/>
      <c r="C1" s="2"/>
      <c r="D1" s="1"/>
      <c r="E1" s="1"/>
      <c r="F1" s="3"/>
      <c r="H1" s="5"/>
      <c r="I1" s="6"/>
      <c r="T1" s="8"/>
      <c r="Z1" s="9"/>
      <c r="AB1" s="9"/>
      <c r="AD1" s="9"/>
      <c r="AF1" s="9"/>
      <c r="AH1" s="10" t="e">
        <f>+#REF!</f>
        <v>#REF!</v>
      </c>
      <c r="AJ1" s="9"/>
      <c r="AK1" s="9"/>
      <c r="AN1" s="9"/>
      <c r="AO1" s="9"/>
      <c r="AP1" s="9"/>
      <c r="AR1" s="9"/>
      <c r="AT1" s="9"/>
      <c r="AV1" s="9"/>
      <c r="AW1" s="9"/>
      <c r="AX1" s="9"/>
      <c r="AY1" s="9"/>
      <c r="AZ1" s="9"/>
      <c r="BA1" s="9"/>
      <c r="BB1" s="9"/>
      <c r="BC1" s="9"/>
      <c r="BD1" s="9"/>
      <c r="BE1" s="9"/>
      <c r="BF1" s="9"/>
      <c r="BG1" s="9"/>
      <c r="BH1" s="11"/>
    </row>
    <row r="2" spans="1:62" ht="15">
      <c r="A2" s="1" t="s">
        <v>1053</v>
      </c>
      <c r="B2" s="2"/>
      <c r="C2" s="2"/>
      <c r="D2" s="1"/>
      <c r="E2" s="1"/>
      <c r="F2" s="3"/>
      <c r="H2" s="5"/>
      <c r="I2" s="13"/>
      <c r="J2" s="14"/>
      <c r="K2" s="14"/>
      <c r="L2" s="15"/>
      <c r="M2" s="15"/>
      <c r="N2" s="15"/>
      <c r="O2" s="15"/>
      <c r="P2" s="15"/>
      <c r="R2" s="15"/>
      <c r="T2" s="8"/>
      <c r="V2" s="15"/>
      <c r="X2" s="15"/>
      <c r="Z2" s="15"/>
      <c r="AB2" s="15"/>
      <c r="AD2" s="15"/>
      <c r="AF2" s="15"/>
      <c r="AG2" s="238" t="s">
        <v>1</v>
      </c>
      <c r="AH2" s="238"/>
      <c r="AI2" s="17"/>
      <c r="AJ2" s="18"/>
      <c r="AK2" s="15"/>
      <c r="AL2" s="10" t="e">
        <f>+#REF!</f>
        <v>#REF!</v>
      </c>
      <c r="AN2" s="18"/>
      <c r="AO2" s="18"/>
      <c r="AP2" s="18"/>
      <c r="AR2" s="15"/>
      <c r="AT2" s="15"/>
      <c r="AV2" s="15"/>
      <c r="AW2" s="15"/>
      <c r="AX2" s="15"/>
      <c r="AY2" s="15"/>
      <c r="AZ2" s="18"/>
      <c r="BA2" s="15"/>
      <c r="BB2" s="15"/>
      <c r="BC2" s="15"/>
      <c r="BD2" s="15"/>
      <c r="BE2" s="15"/>
      <c r="BF2" s="15"/>
      <c r="BG2" s="15"/>
      <c r="BH2" s="19"/>
    </row>
    <row r="3" spans="1:62">
      <c r="A3" s="20" t="str">
        <f>IF(G7=1,"DETAIL OF EXPENDITURES BUDGET BY DEPARTMENT WITH COMPARATIVE AMOUNTS", "SUMMARY OF EXPENDITURES BUDGET BY DEPARTMENT WITH COMPARATIVE AMOUNTS")</f>
        <v>DETAIL OF EXPENDITURES BUDGET BY DEPARTMENT WITH COMPARATIVE AMOUNTS</v>
      </c>
      <c r="B3" s="21"/>
      <c r="C3" s="21"/>
      <c r="D3" s="22"/>
      <c r="E3" s="22"/>
      <c r="F3" s="3"/>
      <c r="H3" s="5"/>
      <c r="I3" s="23"/>
      <c r="J3" s="15"/>
      <c r="L3" s="15"/>
      <c r="M3" s="10"/>
      <c r="N3" s="10"/>
      <c r="O3" s="10"/>
      <c r="P3" s="24"/>
      <c r="R3" s="24"/>
      <c r="V3" s="24"/>
      <c r="W3" s="24"/>
      <c r="X3" s="15"/>
      <c r="Y3" s="24"/>
      <c r="AA3" s="24"/>
      <c r="AB3" s="24" t="e">
        <f>+#REF!</f>
        <v>#REF!</v>
      </c>
      <c r="AC3" s="24"/>
      <c r="AD3" s="24" t="e">
        <f>+#REF!</f>
        <v>#REF!</v>
      </c>
      <c r="AE3" s="24"/>
      <c r="AF3" s="10" t="e">
        <f>+#REF!</f>
        <v>#REF!</v>
      </c>
      <c r="AG3" s="239" t="s">
        <v>2</v>
      </c>
      <c r="AH3" s="239"/>
      <c r="AI3" s="25"/>
      <c r="AJ3" s="25" t="e">
        <f>+#REF!</f>
        <v>#REF!</v>
      </c>
      <c r="AK3" s="24"/>
      <c r="AL3" s="16" t="s">
        <v>1</v>
      </c>
      <c r="AM3" s="25"/>
      <c r="AN3" s="25"/>
      <c r="AO3" s="25"/>
      <c r="AP3" s="25"/>
      <c r="AQ3" s="24"/>
      <c r="AR3" s="24" t="e">
        <f>+#REF!</f>
        <v>#REF!</v>
      </c>
      <c r="AS3" s="24"/>
      <c r="AT3" s="24" t="e">
        <f>+#REF!</f>
        <v>#REF!</v>
      </c>
      <c r="AU3" s="24"/>
      <c r="AV3" s="24" t="e">
        <f>+#REF!</f>
        <v>#REF!</v>
      </c>
      <c r="AW3" s="24"/>
      <c r="AX3" s="24" t="e">
        <f>+#REF!</f>
        <v>#REF!</v>
      </c>
      <c r="AY3" s="24"/>
      <c r="AZ3" s="25"/>
      <c r="BA3" s="24"/>
      <c r="BB3" s="24"/>
      <c r="BC3" s="24"/>
      <c r="BD3" s="26"/>
      <c r="BE3" s="26"/>
      <c r="BF3" s="26"/>
      <c r="BG3" s="26"/>
      <c r="BH3" s="27"/>
    </row>
    <row r="4" spans="1:62" ht="15">
      <c r="A4" s="28" t="s">
        <v>1070</v>
      </c>
      <c r="B4" s="29"/>
      <c r="C4" s="29"/>
      <c r="D4" s="28"/>
      <c r="E4" s="28"/>
      <c r="F4" s="3"/>
      <c r="H4" s="30"/>
      <c r="I4" s="31" t="e">
        <f>+#REF!</f>
        <v>#REF!</v>
      </c>
      <c r="J4" s="31" t="e">
        <f>+#REF!</f>
        <v>#REF!</v>
      </c>
      <c r="L4" s="31"/>
      <c r="M4" s="32"/>
      <c r="N4" s="33"/>
      <c r="O4" s="32"/>
      <c r="P4" s="33"/>
      <c r="R4" s="33"/>
      <c r="T4" s="33"/>
      <c r="X4" s="31"/>
      <c r="Z4" s="10"/>
      <c r="AB4" s="241"/>
      <c r="AC4" s="241"/>
      <c r="AD4" s="241"/>
      <c r="AE4" s="35"/>
      <c r="AF4" s="34"/>
      <c r="AG4" s="240"/>
      <c r="AH4" s="240"/>
      <c r="AI4" s="17"/>
      <c r="AJ4" s="16"/>
      <c r="AK4" s="24"/>
      <c r="AL4" s="16"/>
      <c r="AM4" s="17"/>
      <c r="AN4" s="31"/>
      <c r="AO4" s="31"/>
      <c r="AP4" s="31"/>
      <c r="AR4" s="34" t="s">
        <v>5</v>
      </c>
      <c r="AU4" s="35"/>
      <c r="AV4" s="34"/>
      <c r="AW4" s="34"/>
      <c r="AX4" s="34" t="s">
        <v>5</v>
      </c>
      <c r="AY4" s="34"/>
      <c r="AZ4" s="31"/>
      <c r="BA4" s="34"/>
      <c r="BB4" s="34"/>
      <c r="BC4" s="34"/>
      <c r="BD4" s="37"/>
      <c r="BE4" s="37"/>
      <c r="BF4" s="37"/>
      <c r="BG4" s="37"/>
      <c r="BH4" s="38"/>
    </row>
    <row r="5" spans="1:62" ht="15">
      <c r="B5" s="29"/>
      <c r="C5" s="29"/>
      <c r="D5" s="28"/>
      <c r="E5" s="28"/>
      <c r="G5" s="28"/>
      <c r="H5" s="5"/>
      <c r="I5" s="41" t="s">
        <v>6</v>
      </c>
      <c r="J5" s="42" t="s">
        <v>7</v>
      </c>
      <c r="L5" s="16" t="s">
        <v>8</v>
      </c>
      <c r="M5" s="16"/>
      <c r="N5" s="16" t="s">
        <v>9</v>
      </c>
      <c r="O5" s="16"/>
      <c r="P5" s="16" t="s">
        <v>9</v>
      </c>
      <c r="Q5" s="17"/>
      <c r="R5" s="43"/>
      <c r="S5" s="17"/>
      <c r="T5" s="16"/>
      <c r="U5" s="17"/>
      <c r="V5" s="16" t="s">
        <v>9</v>
      </c>
      <c r="X5" s="16" t="s">
        <v>9</v>
      </c>
      <c r="Z5" s="34" t="s">
        <v>1</v>
      </c>
      <c r="AB5" s="243" t="s">
        <v>10</v>
      </c>
      <c r="AC5" s="243"/>
      <c r="AD5" s="243"/>
      <c r="AE5" s="35"/>
      <c r="AF5" s="34" t="s">
        <v>1</v>
      </c>
      <c r="AG5" s="17"/>
      <c r="AH5" s="16" t="s">
        <v>11</v>
      </c>
      <c r="AI5" s="17"/>
      <c r="AJ5" s="16" t="s">
        <v>1</v>
      </c>
      <c r="AK5" s="24"/>
      <c r="AL5" s="43" t="s">
        <v>12</v>
      </c>
      <c r="AM5" s="17"/>
      <c r="AN5" s="16" t="s">
        <v>1</v>
      </c>
      <c r="AO5" s="45" t="s">
        <v>1</v>
      </c>
      <c r="AP5" s="46" t="s">
        <v>5</v>
      </c>
      <c r="AQ5" s="47"/>
      <c r="AR5" s="48" t="s">
        <v>10</v>
      </c>
      <c r="AS5" s="47"/>
      <c r="AT5" s="47"/>
      <c r="AU5" s="47"/>
      <c r="AV5" s="46" t="s">
        <v>5</v>
      </c>
      <c r="AW5" s="34"/>
      <c r="AX5" s="49" t="s">
        <v>3</v>
      </c>
      <c r="AY5" s="34"/>
      <c r="AZ5" s="46" t="s">
        <v>1054</v>
      </c>
      <c r="BA5" s="34" t="s">
        <v>1054</v>
      </c>
      <c r="BB5" s="34" t="s">
        <v>1069</v>
      </c>
      <c r="BC5" s="34"/>
      <c r="BD5" s="50" t="s">
        <v>13</v>
      </c>
      <c r="BE5" s="37"/>
      <c r="BF5" s="37"/>
      <c r="BG5" s="37"/>
      <c r="BH5" s="51"/>
    </row>
    <row r="6" spans="1:62">
      <c r="A6" s="242"/>
      <c r="B6" s="242"/>
      <c r="C6" s="242"/>
      <c r="D6" s="242"/>
      <c r="E6" s="242"/>
      <c r="F6" s="242"/>
      <c r="G6" s="22"/>
      <c r="H6" s="5"/>
      <c r="I6" s="52" t="s">
        <v>14</v>
      </c>
      <c r="J6" s="52" t="s">
        <v>14</v>
      </c>
      <c r="L6" s="43" t="s">
        <v>14</v>
      </c>
      <c r="M6" s="43"/>
      <c r="N6" s="43" t="s">
        <v>15</v>
      </c>
      <c r="O6" s="43"/>
      <c r="P6" s="43" t="s">
        <v>4</v>
      </c>
      <c r="Q6" s="17"/>
      <c r="R6" s="43" t="s">
        <v>4</v>
      </c>
      <c r="S6" s="43"/>
      <c r="T6" s="43" t="s">
        <v>16</v>
      </c>
      <c r="U6" s="43"/>
      <c r="V6" s="43" t="s">
        <v>4</v>
      </c>
      <c r="W6" s="43"/>
      <c r="X6" s="43" t="s">
        <v>14</v>
      </c>
      <c r="Y6" s="43"/>
      <c r="Z6" s="34" t="s">
        <v>17</v>
      </c>
      <c r="AA6" s="43"/>
      <c r="AB6" s="53" t="s">
        <v>16</v>
      </c>
      <c r="AC6" s="53"/>
      <c r="AD6" s="34"/>
      <c r="AE6" s="53"/>
      <c r="AF6" s="34" t="s">
        <v>17</v>
      </c>
      <c r="AG6" s="43" t="s">
        <v>16</v>
      </c>
      <c r="AH6" s="16" t="s">
        <v>18</v>
      </c>
      <c r="AI6" s="43"/>
      <c r="AJ6" s="16" t="s">
        <v>19</v>
      </c>
      <c r="AK6" s="24"/>
      <c r="AL6" s="43" t="s">
        <v>16</v>
      </c>
      <c r="AM6" s="43"/>
      <c r="AN6" s="43" t="s">
        <v>14</v>
      </c>
      <c r="AO6" s="45" t="s">
        <v>20</v>
      </c>
      <c r="AP6" s="43" t="s">
        <v>14</v>
      </c>
      <c r="AQ6" s="54"/>
      <c r="AR6" s="54" t="s">
        <v>16</v>
      </c>
      <c r="AS6" s="54"/>
      <c r="AT6" s="46"/>
      <c r="AU6" s="54"/>
      <c r="AV6" s="46" t="s">
        <v>19</v>
      </c>
      <c r="AW6" s="34"/>
      <c r="AX6" s="55" t="s">
        <v>16</v>
      </c>
      <c r="AY6" s="34"/>
      <c r="AZ6" s="46" t="s">
        <v>17</v>
      </c>
      <c r="BA6" s="34" t="s">
        <v>17</v>
      </c>
      <c r="BB6" s="34" t="s">
        <v>19</v>
      </c>
      <c r="BC6" s="56"/>
      <c r="BD6" s="50" t="s">
        <v>21</v>
      </c>
      <c r="BE6" s="37"/>
      <c r="BF6" s="37"/>
      <c r="BG6" s="37"/>
      <c r="BH6" s="57"/>
    </row>
    <row r="7" spans="1:62" ht="15">
      <c r="A7" s="237"/>
      <c r="B7" s="237"/>
      <c r="C7" s="237"/>
      <c r="D7" s="237"/>
      <c r="E7" s="237"/>
      <c r="F7" s="237"/>
      <c r="G7" s="59">
        <v>1</v>
      </c>
      <c r="H7" s="60"/>
      <c r="I7" s="52" t="s">
        <v>22</v>
      </c>
      <c r="J7" s="52" t="s">
        <v>22</v>
      </c>
      <c r="L7" s="43" t="s">
        <v>22</v>
      </c>
      <c r="M7" s="43"/>
      <c r="N7" s="43" t="s">
        <v>23</v>
      </c>
      <c r="O7" s="43"/>
      <c r="P7" s="43" t="s">
        <v>24</v>
      </c>
      <c r="Q7" s="43"/>
      <c r="R7" s="43" t="s">
        <v>24</v>
      </c>
      <c r="S7" s="43"/>
      <c r="T7" s="43" t="s">
        <v>25</v>
      </c>
      <c r="U7" s="43"/>
      <c r="V7" s="43" t="s">
        <v>24</v>
      </c>
      <c r="W7" s="43"/>
      <c r="X7" s="43" t="s">
        <v>22</v>
      </c>
      <c r="Y7" s="43"/>
      <c r="Z7" s="53" t="s">
        <v>15</v>
      </c>
      <c r="AA7" s="43"/>
      <c r="AB7" s="53" t="s">
        <v>26</v>
      </c>
      <c r="AC7" s="53"/>
      <c r="AD7" s="53"/>
      <c r="AE7" s="53"/>
      <c r="AF7" s="53" t="s">
        <v>4</v>
      </c>
      <c r="AG7" s="43" t="s">
        <v>26</v>
      </c>
      <c r="AH7" s="43" t="s">
        <v>27</v>
      </c>
      <c r="AI7" s="43"/>
      <c r="AJ7" s="43" t="s">
        <v>4</v>
      </c>
      <c r="AK7" s="24"/>
      <c r="AL7" s="43" t="s">
        <v>26</v>
      </c>
      <c r="AM7" s="43"/>
      <c r="AN7" s="43" t="s">
        <v>22</v>
      </c>
      <c r="AO7" s="61" t="s">
        <v>22</v>
      </c>
      <c r="AP7" s="43" t="s">
        <v>22</v>
      </c>
      <c r="AQ7" s="54"/>
      <c r="AR7" s="54" t="s">
        <v>26</v>
      </c>
      <c r="AS7" s="54"/>
      <c r="AT7" s="54"/>
      <c r="AU7" s="54"/>
      <c r="AV7" s="54" t="s">
        <v>4</v>
      </c>
      <c r="AW7" s="53"/>
      <c r="AX7" s="55" t="s">
        <v>26</v>
      </c>
      <c r="AY7" s="53"/>
      <c r="AZ7" s="54" t="s">
        <v>15</v>
      </c>
      <c r="BA7" s="53" t="s">
        <v>4</v>
      </c>
      <c r="BB7" s="34" t="s">
        <v>15</v>
      </c>
      <c r="BC7" s="56"/>
      <c r="BD7" s="50" t="s">
        <v>28</v>
      </c>
      <c r="BE7" s="62"/>
      <c r="BF7" s="62"/>
      <c r="BG7" s="62"/>
      <c r="BH7" s="57"/>
      <c r="BI7" s="63"/>
    </row>
    <row r="8" spans="1:62" ht="15">
      <c r="A8" s="237" t="s">
        <v>29</v>
      </c>
      <c r="B8" s="237"/>
      <c r="C8" s="237"/>
      <c r="D8" s="237"/>
      <c r="E8" s="237"/>
      <c r="F8" s="64" t="s">
        <v>30</v>
      </c>
      <c r="G8" s="64" t="s">
        <v>31</v>
      </c>
      <c r="H8" s="60"/>
      <c r="I8" s="65" t="s">
        <v>32</v>
      </c>
      <c r="J8" s="65" t="s">
        <v>32</v>
      </c>
      <c r="L8" s="66" t="s">
        <v>32</v>
      </c>
      <c r="M8" s="36"/>
      <c r="N8" s="36" t="s">
        <v>2</v>
      </c>
      <c r="O8" s="36"/>
      <c r="P8" s="36" t="s">
        <v>33</v>
      </c>
      <c r="Q8" s="36"/>
      <c r="R8" s="36" t="s">
        <v>34</v>
      </c>
      <c r="S8" s="36"/>
      <c r="T8" s="36" t="s">
        <v>35</v>
      </c>
      <c r="U8" s="36"/>
      <c r="V8" s="36" t="s">
        <v>36</v>
      </c>
      <c r="W8" s="36"/>
      <c r="X8" s="66" t="s">
        <v>32</v>
      </c>
      <c r="Y8" s="36"/>
      <c r="Z8" s="44" t="s">
        <v>24</v>
      </c>
      <c r="AA8" s="36"/>
      <c r="AB8" s="44" t="s">
        <v>35</v>
      </c>
      <c r="AC8" s="44"/>
      <c r="AD8" s="44" t="s">
        <v>37</v>
      </c>
      <c r="AE8" s="44"/>
      <c r="AF8" s="44" t="s">
        <v>38</v>
      </c>
      <c r="AG8" s="36" t="s">
        <v>35</v>
      </c>
      <c r="AH8" s="36" t="s">
        <v>39</v>
      </c>
      <c r="AI8" s="36"/>
      <c r="AJ8" s="36" t="s">
        <v>40</v>
      </c>
      <c r="AK8" s="24"/>
      <c r="AL8" s="36" t="s">
        <v>35</v>
      </c>
      <c r="AM8" s="36"/>
      <c r="AN8" s="36" t="s">
        <v>32</v>
      </c>
      <c r="AO8" s="67" t="s">
        <v>32</v>
      </c>
      <c r="AP8" s="36" t="s">
        <v>32</v>
      </c>
      <c r="AQ8" s="48"/>
      <c r="AR8" s="48" t="s">
        <v>35</v>
      </c>
      <c r="AS8" s="48"/>
      <c r="AT8" s="48" t="s">
        <v>37</v>
      </c>
      <c r="AU8" s="48"/>
      <c r="AV8" s="48" t="s">
        <v>38</v>
      </c>
      <c r="AW8" s="44"/>
      <c r="AX8" s="49" t="s">
        <v>35</v>
      </c>
      <c r="AY8" s="44"/>
      <c r="AZ8" s="48" t="s">
        <v>2</v>
      </c>
      <c r="BA8" s="44" t="s">
        <v>40</v>
      </c>
      <c r="BB8" s="44" t="s">
        <v>2</v>
      </c>
      <c r="BC8" s="56"/>
      <c r="BD8" s="50" t="s">
        <v>41</v>
      </c>
      <c r="BE8" s="68"/>
      <c r="BF8" s="68"/>
      <c r="BG8" s="68"/>
      <c r="BH8" s="69"/>
    </row>
    <row r="9" spans="1:62" ht="15">
      <c r="A9" s="58"/>
      <c r="B9" s="58"/>
      <c r="C9" s="58"/>
      <c r="D9" s="64"/>
      <c r="E9" s="64"/>
      <c r="F9" s="64"/>
      <c r="G9" s="70"/>
      <c r="H9" s="60"/>
      <c r="J9" s="71"/>
      <c r="AK9" s="24"/>
      <c r="BB9" s="34"/>
      <c r="BC9" s="56"/>
      <c r="BH9" s="72">
        <v>2</v>
      </c>
    </row>
    <row r="10" spans="1:62" ht="9" customHeight="1">
      <c r="A10" s="77"/>
      <c r="B10" s="77"/>
      <c r="C10" s="77"/>
      <c r="D10" s="90"/>
      <c r="E10" s="90"/>
      <c r="F10" s="3"/>
      <c r="G10" s="80"/>
      <c r="H10" s="87"/>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5"/>
      <c r="AL10" s="83"/>
      <c r="AM10" s="83"/>
      <c r="AN10" s="100"/>
      <c r="AO10" s="100"/>
      <c r="AP10" s="100"/>
      <c r="AQ10" s="83"/>
      <c r="AR10" s="83"/>
      <c r="AS10" s="83"/>
      <c r="AT10" s="83"/>
      <c r="AU10" s="83"/>
      <c r="AV10" s="83"/>
      <c r="AW10" s="83"/>
      <c r="AX10" s="83"/>
      <c r="AY10" s="83"/>
      <c r="AZ10" s="100"/>
      <c r="BA10" s="83"/>
      <c r="BB10" s="83"/>
      <c r="BC10" s="56"/>
      <c r="BD10" s="83"/>
      <c r="BE10" s="83"/>
      <c r="BF10" s="83"/>
      <c r="BG10" s="83"/>
      <c r="BH10" s="19"/>
    </row>
    <row r="11" spans="1:62" ht="20.100000000000001" customHeight="1" outlineLevel="1">
      <c r="A11" s="75" t="s">
        <v>536</v>
      </c>
      <c r="B11" s="77"/>
      <c r="C11" s="77"/>
      <c r="D11" s="90"/>
      <c r="E11" s="90"/>
      <c r="F11" s="3"/>
      <c r="H11" s="87"/>
      <c r="L11" s="44"/>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5"/>
      <c r="AL11" s="83"/>
      <c r="AM11" s="83"/>
      <c r="AN11" s="100"/>
      <c r="AO11" s="100"/>
      <c r="AP11" s="100"/>
      <c r="AQ11" s="83"/>
      <c r="AR11" s="83"/>
      <c r="AS11" s="83"/>
      <c r="AT11" s="83"/>
      <c r="AU11" s="83"/>
      <c r="AV11" s="83"/>
      <c r="AW11" s="83"/>
      <c r="AX11" s="83"/>
      <c r="AY11" s="83"/>
      <c r="AZ11" s="100"/>
      <c r="BA11" s="83"/>
      <c r="BB11" s="214"/>
      <c r="BC11" s="56"/>
      <c r="BD11" s="83"/>
      <c r="BE11" s="83"/>
      <c r="BF11" s="83"/>
      <c r="BG11" s="83"/>
      <c r="BH11" s="19"/>
    </row>
    <row r="12" spans="1:62" ht="20.100000000000001" customHeight="1" outlineLevel="1">
      <c r="A12" s="77" t="s">
        <v>43</v>
      </c>
      <c r="B12" s="77" t="s">
        <v>537</v>
      </c>
      <c r="C12" s="77" t="s">
        <v>1084</v>
      </c>
      <c r="D12" s="78" t="s">
        <v>46</v>
      </c>
      <c r="E12" s="78" t="str">
        <f>+D12</f>
        <v>000</v>
      </c>
      <c r="F12" s="79">
        <v>611211</v>
      </c>
      <c r="G12" s="153" t="s">
        <v>538</v>
      </c>
      <c r="H12" s="87"/>
      <c r="I12" s="82">
        <v>145819</v>
      </c>
      <c r="J12" s="82">
        <v>107705</v>
      </c>
      <c r="L12" s="83">
        <v>119323</v>
      </c>
      <c r="M12" s="83"/>
      <c r="N12" s="83">
        <v>135000</v>
      </c>
      <c r="O12" s="83"/>
      <c r="P12" s="83">
        <v>135000</v>
      </c>
      <c r="Q12" s="83"/>
      <c r="R12" s="83">
        <v>165100</v>
      </c>
      <c r="S12" s="83"/>
      <c r="T12" s="83">
        <v>0</v>
      </c>
      <c r="U12" s="83"/>
      <c r="V12" s="83">
        <v>165100</v>
      </c>
      <c r="W12" s="83"/>
      <c r="X12" s="83">
        <v>129425.95</v>
      </c>
      <c r="Y12" s="83"/>
      <c r="Z12" s="83">
        <v>135000</v>
      </c>
      <c r="AA12" s="83"/>
      <c r="AB12" s="83"/>
      <c r="AC12" s="83"/>
      <c r="AD12" s="83"/>
      <c r="AE12" s="83"/>
      <c r="AF12" s="84">
        <f t="shared" ref="AF12:AF23" si="0">SUM(Z12:AE12)</f>
        <v>135000</v>
      </c>
      <c r="AG12" s="83">
        <v>0</v>
      </c>
      <c r="AH12" s="83">
        <v>0</v>
      </c>
      <c r="AI12" s="83"/>
      <c r="AJ12" s="84">
        <f t="shared" ref="AJ12:AJ23" si="1">SUM(AE12:AI12)</f>
        <v>135000</v>
      </c>
      <c r="AK12" s="85"/>
      <c r="AL12" s="83">
        <v>0</v>
      </c>
      <c r="AM12" s="83"/>
      <c r="AN12" s="86">
        <v>134878.28</v>
      </c>
      <c r="AO12" s="86">
        <v>0</v>
      </c>
      <c r="AP12" s="86">
        <v>101914.98</v>
      </c>
      <c r="AQ12" s="83"/>
      <c r="AR12" s="83">
        <v>0</v>
      </c>
      <c r="AS12" s="83"/>
      <c r="AT12" s="83">
        <v>0</v>
      </c>
      <c r="AU12" s="83"/>
      <c r="AV12" s="84">
        <f t="shared" ref="AV12:AV23" si="2">SUM(AP12:AU12)</f>
        <v>101914.98</v>
      </c>
      <c r="AW12" s="84"/>
      <c r="AX12" s="128">
        <v>9510</v>
      </c>
      <c r="AY12" s="84"/>
      <c r="AZ12" s="86">
        <v>126000</v>
      </c>
      <c r="BA12" s="84">
        <v>126000</v>
      </c>
      <c r="BB12" s="214"/>
      <c r="BC12" s="56"/>
      <c r="BD12" s="84">
        <f t="shared" ref="BD12:BD24" si="3">+AP12-AN12</f>
        <v>-32963.300000000003</v>
      </c>
      <c r="BE12" s="84"/>
      <c r="BF12" s="84"/>
      <c r="BG12" s="84"/>
      <c r="BH12" s="72">
        <v>1</v>
      </c>
      <c r="BJ12">
        <v>1</v>
      </c>
    </row>
    <row r="13" spans="1:62" ht="20.100000000000001" customHeight="1" outlineLevel="1">
      <c r="A13" s="77" t="s">
        <v>43</v>
      </c>
      <c r="B13" s="77" t="s">
        <v>537</v>
      </c>
      <c r="C13" s="77" t="s">
        <v>1084</v>
      </c>
      <c r="D13" s="78" t="s">
        <v>46</v>
      </c>
      <c r="E13" s="78" t="str">
        <f t="shared" ref="E13:E23" si="4">+D13</f>
        <v>000</v>
      </c>
      <c r="F13" s="3">
        <v>611511</v>
      </c>
      <c r="G13" s="153" t="s">
        <v>539</v>
      </c>
      <c r="H13" s="87"/>
      <c r="I13" s="13">
        <v>101792</v>
      </c>
      <c r="J13" s="13">
        <v>27600</v>
      </c>
      <c r="L13" s="56">
        <v>29620</v>
      </c>
      <c r="M13" s="56"/>
      <c r="N13" s="56">
        <v>122500</v>
      </c>
      <c r="O13" s="56"/>
      <c r="P13" s="56">
        <v>122500</v>
      </c>
      <c r="Q13" s="56"/>
      <c r="R13" s="56">
        <v>36700</v>
      </c>
      <c r="S13" s="56"/>
      <c r="T13" s="56">
        <v>0</v>
      </c>
      <c r="U13" s="56"/>
      <c r="V13" s="56">
        <v>36700</v>
      </c>
      <c r="W13" s="56"/>
      <c r="X13" s="56">
        <v>30488.34</v>
      </c>
      <c r="Y13" s="56"/>
      <c r="Z13" s="56">
        <v>122500</v>
      </c>
      <c r="AA13" s="56"/>
      <c r="AB13" s="56"/>
      <c r="AC13" s="56"/>
      <c r="AD13" s="56"/>
      <c r="AE13" s="56"/>
      <c r="AF13" s="56">
        <f t="shared" si="0"/>
        <v>122500</v>
      </c>
      <c r="AG13" s="56">
        <v>0</v>
      </c>
      <c r="AH13" s="56">
        <v>0</v>
      </c>
      <c r="AI13" s="56"/>
      <c r="AJ13" s="56">
        <f t="shared" si="1"/>
        <v>122500</v>
      </c>
      <c r="AK13" s="85"/>
      <c r="AL13" s="56">
        <v>0</v>
      </c>
      <c r="AM13" s="56"/>
      <c r="AN13" s="88">
        <v>14975.64</v>
      </c>
      <c r="AO13" s="88">
        <v>0</v>
      </c>
      <c r="AP13" s="88">
        <v>1551.6</v>
      </c>
      <c r="AQ13" s="56"/>
      <c r="AR13" s="56">
        <v>0</v>
      </c>
      <c r="AS13" s="56"/>
      <c r="AT13" s="56">
        <v>0</v>
      </c>
      <c r="AU13" s="56"/>
      <c r="AV13" s="56">
        <f t="shared" si="2"/>
        <v>1551.6</v>
      </c>
      <c r="AW13" s="56"/>
      <c r="AX13" s="106">
        <v>-102500</v>
      </c>
      <c r="AY13" s="56"/>
      <c r="AZ13" s="88">
        <v>0</v>
      </c>
      <c r="BA13" s="56">
        <v>0</v>
      </c>
      <c r="BB13" s="214"/>
      <c r="BC13" s="56"/>
      <c r="BD13" s="84">
        <f t="shared" si="3"/>
        <v>-13424.039999999999</v>
      </c>
      <c r="BE13" s="56"/>
      <c r="BF13" s="56"/>
      <c r="BG13" s="56"/>
      <c r="BH13" s="72">
        <v>1</v>
      </c>
      <c r="BJ13">
        <v>1</v>
      </c>
    </row>
    <row r="14" spans="1:62" ht="20.100000000000001" customHeight="1" outlineLevel="1">
      <c r="A14" s="77" t="s">
        <v>43</v>
      </c>
      <c r="B14" s="77" t="s">
        <v>537</v>
      </c>
      <c r="C14" s="77" t="s">
        <v>1084</v>
      </c>
      <c r="D14" s="78" t="s">
        <v>46</v>
      </c>
      <c r="E14" s="78" t="str">
        <f t="shared" si="4"/>
        <v>000</v>
      </c>
      <c r="F14" s="3">
        <v>661021</v>
      </c>
      <c r="G14" s="153" t="s">
        <v>206</v>
      </c>
      <c r="H14" s="87"/>
      <c r="I14" s="13">
        <v>12628</v>
      </c>
      <c r="J14" s="13">
        <v>6788</v>
      </c>
      <c r="L14" s="56">
        <v>1904</v>
      </c>
      <c r="M14" s="56"/>
      <c r="N14" s="56">
        <v>17392</v>
      </c>
      <c r="O14" s="56"/>
      <c r="P14" s="56">
        <v>17392</v>
      </c>
      <c r="Q14" s="56"/>
      <c r="R14" s="56">
        <v>17392</v>
      </c>
      <c r="S14" s="56"/>
      <c r="T14" s="56">
        <v>0</v>
      </c>
      <c r="U14" s="56"/>
      <c r="V14" s="56">
        <v>17392</v>
      </c>
      <c r="W14" s="56"/>
      <c r="X14" s="56">
        <v>1843.13</v>
      </c>
      <c r="Y14" s="56"/>
      <c r="Z14" s="56">
        <v>17392</v>
      </c>
      <c r="AA14" s="56"/>
      <c r="AB14" s="56"/>
      <c r="AC14" s="56"/>
      <c r="AD14" s="56"/>
      <c r="AE14" s="56"/>
      <c r="AF14" s="56">
        <f t="shared" si="0"/>
        <v>17392</v>
      </c>
      <c r="AG14" s="56">
        <v>0</v>
      </c>
      <c r="AH14" s="56">
        <v>0</v>
      </c>
      <c r="AI14" s="56"/>
      <c r="AJ14" s="56">
        <f t="shared" si="1"/>
        <v>17392</v>
      </c>
      <c r="AK14" s="85"/>
      <c r="AL14" s="56">
        <v>0</v>
      </c>
      <c r="AM14" s="56"/>
      <c r="AN14" s="88">
        <v>0</v>
      </c>
      <c r="AO14" s="88">
        <v>0</v>
      </c>
      <c r="AP14" s="88">
        <v>1132.56</v>
      </c>
      <c r="AQ14" s="56"/>
      <c r="AR14" s="56">
        <v>0</v>
      </c>
      <c r="AS14" s="56"/>
      <c r="AT14" s="56">
        <v>0</v>
      </c>
      <c r="AU14" s="56"/>
      <c r="AV14" s="56">
        <f t="shared" si="2"/>
        <v>1132.56</v>
      </c>
      <c r="AW14" s="56"/>
      <c r="AX14" s="56">
        <v>0</v>
      </c>
      <c r="AY14" s="56"/>
      <c r="AZ14" s="88">
        <v>1889</v>
      </c>
      <c r="BA14" s="56">
        <v>1888.5</v>
      </c>
      <c r="BB14" s="214"/>
      <c r="BC14" s="56"/>
      <c r="BD14" s="84">
        <f t="shared" si="3"/>
        <v>1132.56</v>
      </c>
      <c r="BE14" s="56"/>
      <c r="BF14" s="56"/>
      <c r="BG14" s="56"/>
      <c r="BH14" s="72"/>
    </row>
    <row r="15" spans="1:62" ht="20.100000000000001" customHeight="1" outlineLevel="1">
      <c r="A15" s="77" t="s">
        <v>43</v>
      </c>
      <c r="B15" s="77" t="s">
        <v>537</v>
      </c>
      <c r="C15" s="77" t="s">
        <v>1084</v>
      </c>
      <c r="D15" s="78" t="s">
        <v>46</v>
      </c>
      <c r="E15" s="78" t="str">
        <f t="shared" si="4"/>
        <v>000</v>
      </c>
      <c r="F15" s="3">
        <v>673021</v>
      </c>
      <c r="G15" s="153" t="s">
        <v>210</v>
      </c>
      <c r="H15" s="87"/>
      <c r="I15" s="13">
        <v>0</v>
      </c>
      <c r="J15" s="13">
        <v>0</v>
      </c>
      <c r="L15" s="56">
        <v>0</v>
      </c>
      <c r="M15" s="56"/>
      <c r="N15" s="56">
        <v>0</v>
      </c>
      <c r="O15" s="56"/>
      <c r="P15" s="56">
        <v>0</v>
      </c>
      <c r="Q15" s="56"/>
      <c r="R15" s="56">
        <v>0</v>
      </c>
      <c r="S15" s="56"/>
      <c r="T15" s="56">
        <v>0</v>
      </c>
      <c r="U15" s="56"/>
      <c r="V15" s="56">
        <v>0</v>
      </c>
      <c r="W15" s="56"/>
      <c r="X15" s="56">
        <v>0</v>
      </c>
      <c r="Y15" s="56"/>
      <c r="Z15" s="56">
        <v>0</v>
      </c>
      <c r="AA15" s="56"/>
      <c r="AB15" s="56"/>
      <c r="AC15" s="56"/>
      <c r="AD15" s="56"/>
      <c r="AE15" s="56"/>
      <c r="AF15" s="56">
        <f t="shared" si="0"/>
        <v>0</v>
      </c>
      <c r="AG15" s="56">
        <v>0</v>
      </c>
      <c r="AH15" s="56">
        <v>0</v>
      </c>
      <c r="AI15" s="56"/>
      <c r="AJ15" s="56">
        <f t="shared" si="1"/>
        <v>0</v>
      </c>
      <c r="AK15" s="85"/>
      <c r="AL15" s="56">
        <v>0</v>
      </c>
      <c r="AM15" s="56"/>
      <c r="AN15" s="88">
        <f>SUM(AI15:AM15)</f>
        <v>0</v>
      </c>
      <c r="AO15" s="88">
        <v>0</v>
      </c>
      <c r="AP15" s="88">
        <v>0</v>
      </c>
      <c r="AQ15" s="56"/>
      <c r="AR15" s="56">
        <v>0</v>
      </c>
      <c r="AS15" s="56"/>
      <c r="AT15" s="56">
        <v>0</v>
      </c>
      <c r="AU15" s="56"/>
      <c r="AV15" s="56">
        <f t="shared" si="2"/>
        <v>0</v>
      </c>
      <c r="AW15" s="56"/>
      <c r="AX15" s="56">
        <v>0</v>
      </c>
      <c r="AY15" s="56"/>
      <c r="AZ15" s="88">
        <v>0</v>
      </c>
      <c r="BA15" s="56">
        <v>0</v>
      </c>
      <c r="BB15" s="214"/>
      <c r="BC15" s="56"/>
      <c r="BD15" s="84">
        <f t="shared" si="3"/>
        <v>0</v>
      </c>
      <c r="BE15" s="56"/>
      <c r="BF15" s="56"/>
      <c r="BG15" s="56"/>
      <c r="BH15" s="72"/>
    </row>
    <row r="16" spans="1:62" ht="20.100000000000001" customHeight="1" outlineLevel="1">
      <c r="A16" s="77" t="s">
        <v>43</v>
      </c>
      <c r="B16" s="77" t="s">
        <v>540</v>
      </c>
      <c r="C16" s="77" t="s">
        <v>1084</v>
      </c>
      <c r="D16" s="78" t="s">
        <v>46</v>
      </c>
      <c r="E16" s="78" t="str">
        <f t="shared" si="4"/>
        <v>000</v>
      </c>
      <c r="F16" s="3">
        <v>611117</v>
      </c>
      <c r="G16" s="153" t="s">
        <v>541</v>
      </c>
      <c r="H16" s="87"/>
      <c r="I16" s="13">
        <v>66657</v>
      </c>
      <c r="J16" s="13">
        <v>67470</v>
      </c>
      <c r="L16" s="56">
        <v>73268</v>
      </c>
      <c r="M16" s="56"/>
      <c r="N16" s="56">
        <v>80981</v>
      </c>
      <c r="O16" s="56"/>
      <c r="P16" s="56">
        <v>80981</v>
      </c>
      <c r="Q16" s="56"/>
      <c r="R16" s="56">
        <v>82681</v>
      </c>
      <c r="S16" s="56"/>
      <c r="T16" s="56">
        <v>0</v>
      </c>
      <c r="U16" s="56"/>
      <c r="V16" s="56">
        <v>82681</v>
      </c>
      <c r="W16" s="56"/>
      <c r="X16" s="56">
        <v>82681</v>
      </c>
      <c r="Y16" s="56"/>
      <c r="Z16" s="56">
        <v>82491</v>
      </c>
      <c r="AA16" s="56"/>
      <c r="AB16" s="56"/>
      <c r="AC16" s="56"/>
      <c r="AD16" s="56"/>
      <c r="AE16" s="56"/>
      <c r="AF16" s="56">
        <f t="shared" si="0"/>
        <v>82491</v>
      </c>
      <c r="AG16" s="56">
        <v>0</v>
      </c>
      <c r="AH16" s="56">
        <v>1250</v>
      </c>
      <c r="AI16" s="56"/>
      <c r="AJ16" s="56">
        <f t="shared" si="1"/>
        <v>83741</v>
      </c>
      <c r="AK16" s="85"/>
      <c r="AL16" s="56">
        <v>0</v>
      </c>
      <c r="AM16" s="56"/>
      <c r="AN16" s="88">
        <v>83740.960000000006</v>
      </c>
      <c r="AO16" s="88">
        <v>0</v>
      </c>
      <c r="AP16" s="88">
        <v>82490.960000000006</v>
      </c>
      <c r="AQ16" s="56"/>
      <c r="AR16" s="56">
        <v>0</v>
      </c>
      <c r="AS16" s="56"/>
      <c r="AT16" s="56">
        <v>0</v>
      </c>
      <c r="AU16" s="56"/>
      <c r="AV16" s="56">
        <f t="shared" si="2"/>
        <v>82490.960000000006</v>
      </c>
      <c r="AW16" s="56"/>
      <c r="AX16" s="56">
        <v>0</v>
      </c>
      <c r="AY16" s="56"/>
      <c r="AZ16" s="88">
        <v>82491</v>
      </c>
      <c r="BA16" s="56">
        <v>82491</v>
      </c>
      <c r="BB16" s="214"/>
      <c r="BC16" s="56"/>
      <c r="BD16" s="84">
        <f t="shared" si="3"/>
        <v>-1250</v>
      </c>
      <c r="BE16" s="56"/>
      <c r="BF16" s="56"/>
      <c r="BG16" s="56"/>
      <c r="BH16" s="72">
        <v>1</v>
      </c>
      <c r="BJ16">
        <v>1</v>
      </c>
    </row>
    <row r="17" spans="1:62" ht="20.100000000000001" customHeight="1" outlineLevel="1">
      <c r="A17" s="77" t="s">
        <v>43</v>
      </c>
      <c r="B17" s="77" t="s">
        <v>540</v>
      </c>
      <c r="C17" s="77" t="s">
        <v>1084</v>
      </c>
      <c r="D17" s="78" t="s">
        <v>46</v>
      </c>
      <c r="E17" s="78" t="str">
        <f t="shared" si="4"/>
        <v>000</v>
      </c>
      <c r="F17" s="3">
        <v>611411</v>
      </c>
      <c r="G17" s="153" t="s">
        <v>542</v>
      </c>
      <c r="H17" s="87"/>
      <c r="I17" s="13">
        <v>25342</v>
      </c>
      <c r="J17" s="13">
        <v>33916</v>
      </c>
      <c r="L17" s="56">
        <v>27742</v>
      </c>
      <c r="M17" s="56"/>
      <c r="N17" s="56">
        <v>36500</v>
      </c>
      <c r="O17" s="56"/>
      <c r="P17" s="56">
        <v>36500</v>
      </c>
      <c r="Q17" s="56"/>
      <c r="R17" s="56">
        <v>38200</v>
      </c>
      <c r="S17" s="56"/>
      <c r="T17" s="56">
        <v>0</v>
      </c>
      <c r="U17" s="56"/>
      <c r="V17" s="56">
        <v>38200</v>
      </c>
      <c r="W17" s="56"/>
      <c r="X17" s="56">
        <v>28241.96</v>
      </c>
      <c r="Y17" s="56"/>
      <c r="Z17" s="56">
        <v>36500</v>
      </c>
      <c r="AA17" s="56"/>
      <c r="AB17" s="56"/>
      <c r="AC17" s="56"/>
      <c r="AD17" s="56"/>
      <c r="AE17" s="56"/>
      <c r="AF17" s="56">
        <f t="shared" si="0"/>
        <v>36500</v>
      </c>
      <c r="AG17" s="104">
        <v>-5000</v>
      </c>
      <c r="AH17" s="56">
        <v>2250</v>
      </c>
      <c r="AI17" s="56"/>
      <c r="AJ17" s="56">
        <f t="shared" si="1"/>
        <v>33750</v>
      </c>
      <c r="AK17" s="85"/>
      <c r="AL17" s="56">
        <v>0</v>
      </c>
      <c r="AM17" s="56"/>
      <c r="AN17" s="88">
        <v>28791.96</v>
      </c>
      <c r="AO17" s="88">
        <v>0</v>
      </c>
      <c r="AP17" s="88">
        <v>24928.06</v>
      </c>
      <c r="AQ17" s="56"/>
      <c r="AR17" s="56">
        <v>0</v>
      </c>
      <c r="AS17" s="56"/>
      <c r="AT17" s="56">
        <v>0</v>
      </c>
      <c r="AU17" s="56"/>
      <c r="AV17" s="56">
        <f t="shared" si="2"/>
        <v>24928.06</v>
      </c>
      <c r="AW17" s="56"/>
      <c r="AX17" s="56">
        <v>0</v>
      </c>
      <c r="AY17" s="56"/>
      <c r="AZ17" s="88">
        <v>0</v>
      </c>
      <c r="BA17" s="56">
        <v>3000</v>
      </c>
      <c r="BB17" s="214"/>
      <c r="BC17" s="56"/>
      <c r="BD17" s="84">
        <f t="shared" si="3"/>
        <v>-3863.8999999999978</v>
      </c>
      <c r="BE17" s="56"/>
      <c r="BF17" s="56"/>
      <c r="BG17" s="56"/>
      <c r="BH17" s="72">
        <v>1</v>
      </c>
      <c r="BJ17">
        <v>1</v>
      </c>
    </row>
    <row r="18" spans="1:62" ht="20.100000000000001" customHeight="1" outlineLevel="1">
      <c r="A18" s="77" t="s">
        <v>43</v>
      </c>
      <c r="B18" s="77" t="s">
        <v>218</v>
      </c>
      <c r="C18" s="77" t="s">
        <v>1084</v>
      </c>
      <c r="D18" s="78" t="s">
        <v>46</v>
      </c>
      <c r="E18" s="78" t="str">
        <f t="shared" si="4"/>
        <v>000</v>
      </c>
      <c r="F18" s="3">
        <v>634011</v>
      </c>
      <c r="G18" s="153" t="s">
        <v>258</v>
      </c>
      <c r="H18" s="87"/>
      <c r="I18" s="13">
        <v>506</v>
      </c>
      <c r="J18" s="13">
        <v>0</v>
      </c>
      <c r="L18" s="56">
        <v>0</v>
      </c>
      <c r="M18" s="56"/>
      <c r="N18" s="56">
        <v>1322</v>
      </c>
      <c r="O18" s="56"/>
      <c r="P18" s="56">
        <v>1322</v>
      </c>
      <c r="Q18" s="56"/>
      <c r="R18" s="56">
        <v>1322</v>
      </c>
      <c r="S18" s="56"/>
      <c r="T18" s="56">
        <v>0</v>
      </c>
      <c r="U18" s="56"/>
      <c r="V18" s="56">
        <v>1322</v>
      </c>
      <c r="W18" s="56"/>
      <c r="X18" s="56">
        <v>0</v>
      </c>
      <c r="Y18" s="56"/>
      <c r="Z18" s="56">
        <v>1322</v>
      </c>
      <c r="AA18" s="56"/>
      <c r="AB18" s="56"/>
      <c r="AC18" s="56"/>
      <c r="AD18" s="56"/>
      <c r="AE18" s="56"/>
      <c r="AF18" s="56">
        <f t="shared" si="0"/>
        <v>1322</v>
      </c>
      <c r="AG18" s="56">
        <v>0</v>
      </c>
      <c r="AH18" s="56">
        <v>0</v>
      </c>
      <c r="AI18" s="56"/>
      <c r="AJ18" s="56">
        <f t="shared" si="1"/>
        <v>1322</v>
      </c>
      <c r="AK18" s="85"/>
      <c r="AL18" s="56">
        <v>0</v>
      </c>
      <c r="AM18" s="56"/>
      <c r="AN18" s="88">
        <v>0</v>
      </c>
      <c r="AO18" s="88">
        <v>0</v>
      </c>
      <c r="AP18" s="88">
        <v>0</v>
      </c>
      <c r="AQ18" s="56"/>
      <c r="AR18" s="56">
        <v>0</v>
      </c>
      <c r="AS18" s="56"/>
      <c r="AT18" s="56">
        <v>0</v>
      </c>
      <c r="AU18" s="56"/>
      <c r="AV18" s="56">
        <f t="shared" si="2"/>
        <v>0</v>
      </c>
      <c r="AW18" s="56"/>
      <c r="AX18" s="56">
        <v>0</v>
      </c>
      <c r="AY18" s="56"/>
      <c r="AZ18" s="88">
        <v>1448</v>
      </c>
      <c r="BA18" s="56">
        <v>1448</v>
      </c>
      <c r="BB18" s="214"/>
      <c r="BC18" s="56"/>
      <c r="BD18" s="84">
        <f t="shared" si="3"/>
        <v>0</v>
      </c>
      <c r="BE18" s="56"/>
      <c r="BF18" s="56"/>
      <c r="BG18" s="56"/>
      <c r="BH18" s="72"/>
    </row>
    <row r="19" spans="1:62" ht="20.100000000000001" customHeight="1" outlineLevel="1">
      <c r="A19" s="77" t="s">
        <v>43</v>
      </c>
      <c r="B19" s="77" t="s">
        <v>218</v>
      </c>
      <c r="C19" s="77" t="s">
        <v>1084</v>
      </c>
      <c r="D19" s="78" t="s">
        <v>46</v>
      </c>
      <c r="E19" s="78" t="str">
        <f t="shared" si="4"/>
        <v>000</v>
      </c>
      <c r="F19" s="3">
        <v>653051</v>
      </c>
      <c r="G19" s="153" t="s">
        <v>71</v>
      </c>
      <c r="H19" s="87"/>
      <c r="I19" s="13"/>
      <c r="J19" s="13"/>
      <c r="L19" s="56">
        <v>0</v>
      </c>
      <c r="M19" s="56"/>
      <c r="N19" s="56"/>
      <c r="O19" s="56">
        <v>0</v>
      </c>
      <c r="P19" s="56"/>
      <c r="Q19" s="56"/>
      <c r="R19" s="56"/>
      <c r="S19" s="56"/>
      <c r="T19" s="56"/>
      <c r="U19" s="56"/>
      <c r="V19" s="56"/>
      <c r="W19" s="56"/>
      <c r="X19" s="56">
        <v>0</v>
      </c>
      <c r="Y19" s="56"/>
      <c r="Z19" s="56"/>
      <c r="AA19" s="56"/>
      <c r="AB19" s="56"/>
      <c r="AC19" s="56"/>
      <c r="AD19" s="56"/>
      <c r="AE19" s="56"/>
      <c r="AF19" s="56"/>
      <c r="AG19" s="56"/>
      <c r="AH19" s="56"/>
      <c r="AI19" s="56"/>
      <c r="AJ19" s="56"/>
      <c r="AK19" s="85"/>
      <c r="AL19" s="56"/>
      <c r="AM19" s="56"/>
      <c r="AN19" s="88">
        <v>0</v>
      </c>
      <c r="AO19" s="88"/>
      <c r="AP19" s="88">
        <v>368.52</v>
      </c>
      <c r="AQ19" s="56"/>
      <c r="AR19" s="56"/>
      <c r="AS19" s="56"/>
      <c r="AT19" s="56"/>
      <c r="AU19" s="56"/>
      <c r="AV19" s="56"/>
      <c r="AW19" s="56"/>
      <c r="AX19" s="56"/>
      <c r="AY19" s="56"/>
      <c r="AZ19" s="88">
        <v>0</v>
      </c>
      <c r="BA19" s="56">
        <v>335</v>
      </c>
      <c r="BB19" s="214"/>
      <c r="BC19" s="56"/>
      <c r="BD19" s="84">
        <f t="shared" si="3"/>
        <v>368.52</v>
      </c>
      <c r="BE19" s="56"/>
      <c r="BF19" s="56"/>
      <c r="BG19" s="56"/>
      <c r="BH19" s="72"/>
    </row>
    <row r="20" spans="1:62" ht="20.100000000000001" customHeight="1" outlineLevel="1">
      <c r="A20" s="77" t="s">
        <v>43</v>
      </c>
      <c r="B20" s="77" t="s">
        <v>540</v>
      </c>
      <c r="C20" s="77" t="s">
        <v>1084</v>
      </c>
      <c r="D20" s="78" t="s">
        <v>46</v>
      </c>
      <c r="E20" s="78" t="str">
        <f t="shared" si="4"/>
        <v>000</v>
      </c>
      <c r="F20" s="3">
        <v>658211</v>
      </c>
      <c r="G20" s="153" t="s">
        <v>72</v>
      </c>
      <c r="H20" s="87"/>
      <c r="I20" s="13">
        <v>6790</v>
      </c>
      <c r="J20" s="13">
        <v>3863</v>
      </c>
      <c r="L20" s="56">
        <v>0</v>
      </c>
      <c r="M20" s="56"/>
      <c r="N20" s="56">
        <v>2500</v>
      </c>
      <c r="O20" s="56"/>
      <c r="P20" s="56">
        <v>2500</v>
      </c>
      <c r="Q20" s="56"/>
      <c r="R20" s="56">
        <v>2500</v>
      </c>
      <c r="S20" s="56"/>
      <c r="T20" s="56">
        <v>0</v>
      </c>
      <c r="U20" s="56"/>
      <c r="V20" s="56">
        <v>2500</v>
      </c>
      <c r="W20" s="56"/>
      <c r="X20" s="56">
        <v>5634.72</v>
      </c>
      <c r="Y20" s="56"/>
      <c r="Z20" s="56">
        <v>2500</v>
      </c>
      <c r="AA20" s="56"/>
      <c r="AB20" s="56"/>
      <c r="AC20" s="56"/>
      <c r="AD20" s="56"/>
      <c r="AE20" s="56"/>
      <c r="AF20" s="56">
        <f t="shared" si="0"/>
        <v>2500</v>
      </c>
      <c r="AG20" s="56">
        <v>0</v>
      </c>
      <c r="AH20" s="56">
        <v>0</v>
      </c>
      <c r="AI20" s="56"/>
      <c r="AJ20" s="56">
        <f t="shared" si="1"/>
        <v>2500</v>
      </c>
      <c r="AK20" s="85"/>
      <c r="AL20" s="56">
        <v>0</v>
      </c>
      <c r="AM20" s="56"/>
      <c r="AN20" s="88">
        <v>2672.37</v>
      </c>
      <c r="AO20" s="88">
        <v>0</v>
      </c>
      <c r="AP20" s="88">
        <v>0</v>
      </c>
      <c r="AQ20" s="56"/>
      <c r="AR20" s="56">
        <v>0</v>
      </c>
      <c r="AS20" s="56"/>
      <c r="AT20" s="56">
        <v>0</v>
      </c>
      <c r="AU20" s="56"/>
      <c r="AV20" s="56">
        <f t="shared" si="2"/>
        <v>0</v>
      </c>
      <c r="AW20" s="56"/>
      <c r="AX20" s="56">
        <v>0</v>
      </c>
      <c r="AY20" s="56"/>
      <c r="AZ20" s="88">
        <v>2100</v>
      </c>
      <c r="BA20" s="56">
        <v>2100</v>
      </c>
      <c r="BB20" s="214"/>
      <c r="BC20" s="56"/>
      <c r="BD20" s="84">
        <f t="shared" si="3"/>
        <v>-2672.37</v>
      </c>
      <c r="BE20" s="56"/>
      <c r="BF20" s="56"/>
      <c r="BG20" s="56"/>
      <c r="BH20" s="72"/>
    </row>
    <row r="21" spans="1:62" ht="20.100000000000001" customHeight="1" outlineLevel="1">
      <c r="A21" s="77" t="s">
        <v>43</v>
      </c>
      <c r="B21" s="77" t="s">
        <v>368</v>
      </c>
      <c r="C21" s="77" t="s">
        <v>1084</v>
      </c>
      <c r="D21" s="78" t="s">
        <v>46</v>
      </c>
      <c r="E21" s="78" t="str">
        <f t="shared" si="4"/>
        <v>000</v>
      </c>
      <c r="F21" s="3">
        <v>661001</v>
      </c>
      <c r="G21" s="153" t="s">
        <v>543</v>
      </c>
      <c r="H21" s="87"/>
      <c r="I21" s="13">
        <v>1849</v>
      </c>
      <c r="J21" s="13">
        <v>500</v>
      </c>
      <c r="L21" s="56">
        <v>0</v>
      </c>
      <c r="M21" s="56"/>
      <c r="N21" s="56">
        <v>1300</v>
      </c>
      <c r="O21" s="56"/>
      <c r="P21" s="56">
        <v>1300</v>
      </c>
      <c r="Q21" s="56"/>
      <c r="R21" s="56">
        <v>1300</v>
      </c>
      <c r="S21" s="56"/>
      <c r="T21" s="56">
        <v>0</v>
      </c>
      <c r="U21" s="56"/>
      <c r="V21" s="56">
        <v>1300</v>
      </c>
      <c r="W21" s="56"/>
      <c r="X21" s="56">
        <v>767.12</v>
      </c>
      <c r="Y21" s="56"/>
      <c r="Z21" s="56">
        <v>1300</v>
      </c>
      <c r="AA21" s="56"/>
      <c r="AB21" s="56"/>
      <c r="AC21" s="56"/>
      <c r="AD21" s="56"/>
      <c r="AE21" s="56"/>
      <c r="AF21" s="56">
        <f t="shared" si="0"/>
        <v>1300</v>
      </c>
      <c r="AG21" s="56">
        <v>0</v>
      </c>
      <c r="AH21" s="56">
        <v>0</v>
      </c>
      <c r="AI21" s="56"/>
      <c r="AJ21" s="56">
        <f t="shared" si="1"/>
        <v>1300</v>
      </c>
      <c r="AK21" s="85"/>
      <c r="AL21" s="56">
        <v>0</v>
      </c>
      <c r="AM21" s="56"/>
      <c r="AN21" s="88">
        <v>33.21</v>
      </c>
      <c r="AO21" s="88">
        <v>0</v>
      </c>
      <c r="AP21" s="88">
        <v>0</v>
      </c>
      <c r="AQ21" s="56"/>
      <c r="AR21" s="56">
        <v>0</v>
      </c>
      <c r="AS21" s="56"/>
      <c r="AT21" s="56">
        <v>0</v>
      </c>
      <c r="AU21" s="56"/>
      <c r="AV21" s="56">
        <f t="shared" si="2"/>
        <v>0</v>
      </c>
      <c r="AW21" s="56"/>
      <c r="AX21" s="56">
        <v>0</v>
      </c>
      <c r="AY21" s="56"/>
      <c r="AZ21" s="88">
        <v>1379</v>
      </c>
      <c r="BA21" s="56">
        <v>1969</v>
      </c>
      <c r="BB21" s="214"/>
      <c r="BC21" s="56"/>
      <c r="BD21" s="84">
        <f t="shared" si="3"/>
        <v>-33.21</v>
      </c>
      <c r="BE21" s="56"/>
      <c r="BF21" s="56"/>
      <c r="BG21" s="56"/>
      <c r="BH21" s="72"/>
    </row>
    <row r="22" spans="1:62" ht="20.100000000000001" customHeight="1" outlineLevel="1">
      <c r="A22" s="77" t="s">
        <v>43</v>
      </c>
      <c r="B22" s="77" t="s">
        <v>368</v>
      </c>
      <c r="C22" s="77" t="s">
        <v>1084</v>
      </c>
      <c r="D22" s="78" t="s">
        <v>46</v>
      </c>
      <c r="E22" s="78" t="str">
        <f t="shared" si="4"/>
        <v>000</v>
      </c>
      <c r="F22" s="3">
        <v>673001</v>
      </c>
      <c r="G22" s="153" t="s">
        <v>544</v>
      </c>
      <c r="H22" s="87"/>
      <c r="I22" s="13">
        <v>1092</v>
      </c>
      <c r="J22" s="13">
        <v>0</v>
      </c>
      <c r="L22" s="56">
        <v>0</v>
      </c>
      <c r="M22" s="56"/>
      <c r="N22" s="56">
        <v>0</v>
      </c>
      <c r="O22" s="56"/>
      <c r="P22" s="56">
        <v>0</v>
      </c>
      <c r="Q22" s="56"/>
      <c r="R22" s="56">
        <v>0</v>
      </c>
      <c r="S22" s="56"/>
      <c r="T22" s="56">
        <v>0</v>
      </c>
      <c r="U22" s="56"/>
      <c r="V22" s="56">
        <v>0</v>
      </c>
      <c r="W22" s="56"/>
      <c r="X22" s="56">
        <v>0</v>
      </c>
      <c r="Y22" s="56"/>
      <c r="Z22" s="56">
        <v>0</v>
      </c>
      <c r="AA22" s="56"/>
      <c r="AB22" s="56"/>
      <c r="AC22" s="56"/>
      <c r="AD22" s="56"/>
      <c r="AE22" s="56"/>
      <c r="AF22" s="56">
        <f t="shared" si="0"/>
        <v>0</v>
      </c>
      <c r="AG22" s="56">
        <v>0</v>
      </c>
      <c r="AH22" s="56">
        <v>0</v>
      </c>
      <c r="AI22" s="56"/>
      <c r="AJ22" s="56">
        <f t="shared" si="1"/>
        <v>0</v>
      </c>
      <c r="AK22" s="85"/>
      <c r="AL22" s="56">
        <v>0</v>
      </c>
      <c r="AM22" s="56"/>
      <c r="AN22" s="88">
        <f>SUM(AI22:AM22)</f>
        <v>0</v>
      </c>
      <c r="AO22" s="88">
        <v>0</v>
      </c>
      <c r="AP22" s="88">
        <v>0</v>
      </c>
      <c r="AQ22" s="56"/>
      <c r="AR22" s="56">
        <v>0</v>
      </c>
      <c r="AS22" s="56"/>
      <c r="AT22" s="56">
        <v>0</v>
      </c>
      <c r="AU22" s="56"/>
      <c r="AV22" s="56">
        <f t="shared" si="2"/>
        <v>0</v>
      </c>
      <c r="AW22" s="56"/>
      <c r="AX22" s="56">
        <v>0</v>
      </c>
      <c r="AY22" s="56"/>
      <c r="AZ22" s="88">
        <v>0</v>
      </c>
      <c r="BA22" s="56">
        <v>0</v>
      </c>
      <c r="BB22" s="214"/>
      <c r="BC22" s="56"/>
      <c r="BD22" s="84">
        <f t="shared" si="3"/>
        <v>0</v>
      </c>
      <c r="BE22" s="56"/>
      <c r="BF22" s="56"/>
      <c r="BG22" s="56"/>
      <c r="BH22" s="72"/>
    </row>
    <row r="23" spans="1:62" ht="20.100000000000001" customHeight="1" outlineLevel="1">
      <c r="A23" s="77" t="s">
        <v>43</v>
      </c>
      <c r="B23" s="77" t="s">
        <v>137</v>
      </c>
      <c r="C23" s="77" t="s">
        <v>1084</v>
      </c>
      <c r="D23" s="78" t="s">
        <v>46</v>
      </c>
      <c r="E23" s="78" t="str">
        <f t="shared" si="4"/>
        <v>000</v>
      </c>
      <c r="F23" s="3">
        <v>611631</v>
      </c>
      <c r="G23" s="153" t="s">
        <v>545</v>
      </c>
      <c r="H23" s="87"/>
      <c r="I23" s="13">
        <v>0</v>
      </c>
      <c r="J23" s="13">
        <v>0</v>
      </c>
      <c r="L23" s="56">
        <v>0</v>
      </c>
      <c r="M23" s="56"/>
      <c r="N23" s="56">
        <v>0</v>
      </c>
      <c r="O23" s="56"/>
      <c r="P23" s="56">
        <v>0</v>
      </c>
      <c r="Q23" s="56"/>
      <c r="R23" s="56">
        <v>0</v>
      </c>
      <c r="S23" s="56"/>
      <c r="T23" s="56">
        <v>0</v>
      </c>
      <c r="U23" s="56"/>
      <c r="V23" s="56">
        <v>0</v>
      </c>
      <c r="W23" s="56"/>
      <c r="X23" s="56">
        <v>0</v>
      </c>
      <c r="Y23" s="56"/>
      <c r="Z23" s="56">
        <v>0</v>
      </c>
      <c r="AA23" s="56"/>
      <c r="AB23" s="56"/>
      <c r="AC23" s="56"/>
      <c r="AD23" s="56"/>
      <c r="AE23" s="56"/>
      <c r="AF23" s="56">
        <f t="shared" si="0"/>
        <v>0</v>
      </c>
      <c r="AG23" s="56">
        <v>0</v>
      </c>
      <c r="AH23" s="56">
        <v>0</v>
      </c>
      <c r="AI23" s="56"/>
      <c r="AJ23" s="56">
        <f t="shared" si="1"/>
        <v>0</v>
      </c>
      <c r="AK23" s="85"/>
      <c r="AL23" s="56">
        <v>0</v>
      </c>
      <c r="AM23" s="56"/>
      <c r="AN23" s="88">
        <f>SUM(AI23:AM23)</f>
        <v>0</v>
      </c>
      <c r="AO23" s="88">
        <v>0</v>
      </c>
      <c r="AP23" s="88">
        <v>0</v>
      </c>
      <c r="AQ23" s="56"/>
      <c r="AR23" s="56">
        <v>0</v>
      </c>
      <c r="AS23" s="56"/>
      <c r="AT23" s="56">
        <v>0</v>
      </c>
      <c r="AU23" s="56"/>
      <c r="AV23" s="56">
        <f t="shared" si="2"/>
        <v>0</v>
      </c>
      <c r="AW23" s="56"/>
      <c r="AX23" s="56">
        <v>0</v>
      </c>
      <c r="AY23" s="56"/>
      <c r="AZ23" s="88">
        <v>0</v>
      </c>
      <c r="BA23" s="56">
        <v>0</v>
      </c>
      <c r="BB23" s="214"/>
      <c r="BC23" s="56"/>
      <c r="BD23" s="84">
        <f t="shared" si="3"/>
        <v>0</v>
      </c>
      <c r="BE23" s="56"/>
      <c r="BF23" s="56"/>
      <c r="BG23" s="56"/>
      <c r="BH23" s="72">
        <v>1</v>
      </c>
      <c r="BJ23">
        <v>1</v>
      </c>
    </row>
    <row r="24" spans="1:62" ht="20.100000000000001" customHeight="1">
      <c r="B24" s="77"/>
      <c r="C24" s="77"/>
      <c r="D24" s="90"/>
      <c r="E24" s="90"/>
      <c r="F24" s="3"/>
      <c r="G24" s="110" t="s">
        <v>546</v>
      </c>
      <c r="H24" s="81"/>
      <c r="I24" s="92">
        <v>362475</v>
      </c>
      <c r="J24" s="93">
        <v>247842</v>
      </c>
      <c r="L24" s="125">
        <v>251857</v>
      </c>
      <c r="M24" s="126"/>
      <c r="N24" s="125">
        <v>397495</v>
      </c>
      <c r="O24" s="126"/>
      <c r="P24" s="125">
        <v>397495</v>
      </c>
      <c r="Q24" s="126"/>
      <c r="R24" s="125">
        <v>345195</v>
      </c>
      <c r="S24" s="95"/>
      <c r="T24" s="94">
        <v>0</v>
      </c>
      <c r="U24" s="126"/>
      <c r="V24" s="125">
        <v>345195</v>
      </c>
      <c r="W24" s="126"/>
      <c r="X24" s="125">
        <f>SUBTOTAL(9,X12:X23)</f>
        <v>279082.21999999997</v>
      </c>
      <c r="Y24" s="126"/>
      <c r="Z24" s="125">
        <f>SUBTOTAL(9,Z12:Z23)</f>
        <v>399005</v>
      </c>
      <c r="AA24" s="126"/>
      <c r="AB24" s="125">
        <f>SUBTOTAL(9,AB12:AB23)</f>
        <v>0</v>
      </c>
      <c r="AC24" s="126"/>
      <c r="AD24" s="125">
        <f>SUBTOTAL(9,AD12:AD23)</f>
        <v>0</v>
      </c>
      <c r="AE24" s="126"/>
      <c r="AF24" s="125">
        <f>SUBTOTAL(9,AF12:AF23)</f>
        <v>399005</v>
      </c>
      <c r="AG24" s="125">
        <f>SUBTOTAL(9,AG12:AG23)</f>
        <v>-5000</v>
      </c>
      <c r="AH24" s="125">
        <f>SUBTOTAL(9,AH12:AH23)</f>
        <v>3500</v>
      </c>
      <c r="AI24" s="126"/>
      <c r="AJ24" s="125">
        <f>SUBTOTAL(9,AJ12:AJ23)</f>
        <v>397505</v>
      </c>
      <c r="AK24" s="96"/>
      <c r="AL24" s="125">
        <f>SUBTOTAL(9,AL12:AL23)</f>
        <v>0</v>
      </c>
      <c r="AM24" s="126"/>
      <c r="AN24" s="127">
        <f>SUBTOTAL(9,AN12:AN23)</f>
        <v>265092.42000000004</v>
      </c>
      <c r="AO24" s="127">
        <f>SUBTOTAL(9,AO12:AO23)</f>
        <v>0</v>
      </c>
      <c r="AP24" s="127">
        <f>SUBTOTAL(9,AP12:AP23)</f>
        <v>212386.68</v>
      </c>
      <c r="AQ24" s="126"/>
      <c r="AR24" s="125">
        <f>SUBTOTAL(9,AR12:AR23)</f>
        <v>0</v>
      </c>
      <c r="AS24" s="126"/>
      <c r="AT24" s="125">
        <f>SUBTOTAL(9,AT12:AT23)</f>
        <v>0</v>
      </c>
      <c r="AU24" s="126"/>
      <c r="AV24" s="125">
        <f>SUBTOTAL(9,AV12:AV23)</f>
        <v>212018.16</v>
      </c>
      <c r="AW24" s="126"/>
      <c r="AX24" s="125">
        <f>SUBTOTAL(9,AX12:AX23)</f>
        <v>-92990</v>
      </c>
      <c r="AY24" s="126"/>
      <c r="AZ24" s="127">
        <f>SUBTOTAL(9,AZ12:AZ23)</f>
        <v>215307</v>
      </c>
      <c r="BA24" s="125">
        <f>SUBTOTAL(9,BA12:BA23)</f>
        <v>219231.5</v>
      </c>
      <c r="BB24" s="214"/>
      <c r="BC24" s="56"/>
      <c r="BD24" s="98">
        <f t="shared" si="3"/>
        <v>-52705.740000000049</v>
      </c>
      <c r="BE24" s="126"/>
      <c r="BF24" s="126"/>
      <c r="BG24" s="126"/>
    </row>
  </sheetData>
  <autoFilter ref="A9:BH24"/>
  <mergeCells count="8">
    <mergeCell ref="A8:E8"/>
    <mergeCell ref="AG2:AH2"/>
    <mergeCell ref="AG3:AH3"/>
    <mergeCell ref="AG4:AH4"/>
    <mergeCell ref="AB4:AD4"/>
    <mergeCell ref="A6:F6"/>
    <mergeCell ref="A7:F7"/>
    <mergeCell ref="AB5:AD5"/>
  </mergeCells>
  <phoneticPr fontId="3" type="noConversion"/>
  <conditionalFormatting sqref="F1:F1048576">
    <cfRule type="cellIs" dxfId="27" priority="1" stopIfTrue="1" operator="between">
      <formula>610000</formula>
      <formula>619999</formula>
    </cfRule>
  </conditionalFormatting>
  <pageMargins left="0.54" right="0.25" top="0.24" bottom="0.49" header="0.25" footer="0"/>
  <pageSetup scale="76" fitToHeight="0" orientation="landscape" r:id="rId1"/>
  <headerFooter alignWithMargins="0">
    <oddFooter>&amp;C&amp;8Detail of Expenditures Budget By Department, Page &amp;P of &amp;N</oddFooter>
  </headerFooter>
  <legacyDrawing r:id="rId2"/>
</worksheet>
</file>

<file path=xl/worksheets/sheet11.xml><?xml version="1.0" encoding="utf-8"?>
<worksheet xmlns="http://schemas.openxmlformats.org/spreadsheetml/2006/main" xmlns:r="http://schemas.openxmlformats.org/officeDocument/2006/relationships">
  <sheetPr codeName="Sheet16" enableFormatConditionsCalculation="0">
    <tabColor indexed="17"/>
    <pageSetUpPr fitToPage="1"/>
  </sheetPr>
  <dimension ref="A1:BK61"/>
  <sheetViews>
    <sheetView zoomScale="80" zoomScaleNormal="90" workbookViewId="0">
      <pane xSplit="8" ySplit="9" topLeftCell="I10" activePane="bottomRight" state="frozen"/>
      <selection activeCell="A28" sqref="A28"/>
      <selection pane="topRight" activeCell="A28" sqref="A28"/>
      <selection pane="bottomLeft" activeCell="A28" sqref="A28"/>
      <selection pane="bottomRight"/>
    </sheetView>
  </sheetViews>
  <sheetFormatPr defaultRowHeight="12.75" outlineLevelRow="1" outlineLevelCol="1"/>
  <cols>
    <col min="1" max="1" width="7" style="39" customWidth="1" outlineLevel="1"/>
    <col min="2" max="2" width="6.140625" style="39" customWidth="1" outlineLevel="1"/>
    <col min="3" max="3" width="3.7109375" style="39" customWidth="1" outlineLevel="1"/>
    <col min="4" max="5" width="4.85546875" style="168" customWidth="1" outlineLevel="1"/>
    <col min="6" max="6" width="8.7109375" style="40" customWidth="1" outlineLevel="1"/>
    <col min="7" max="7" width="28.5703125" style="4" customWidth="1"/>
    <col min="8" max="8" width="16.5703125" style="4" hidden="1" customWidth="1"/>
    <col min="9" max="10" width="15.140625" style="4" hidden="1" customWidth="1" collapsed="1"/>
    <col min="11" max="11" width="39.5703125" style="4" hidden="1" customWidth="1"/>
    <col min="12" max="12" width="15.140625" style="7" bestFit="1" customWidth="1" collapsed="1"/>
    <col min="13" max="13" width="31.7109375" style="7" hidden="1" customWidth="1"/>
    <col min="14" max="14" width="35.5703125" style="7" hidden="1" customWidth="1" collapsed="1"/>
    <col min="15" max="15" width="0.140625" style="7" customWidth="1"/>
    <col min="16" max="16" width="25.28515625" style="7" hidden="1" customWidth="1" outlineLevel="1" collapsed="1"/>
    <col min="17" max="17" width="23.42578125" style="7" hidden="1" customWidth="1" outlineLevel="1"/>
    <col min="18" max="18" width="20.5703125" style="7" hidden="1" customWidth="1" outlineLevel="1" collapsed="1"/>
    <col min="19" max="19" width="18" style="7" hidden="1" customWidth="1" outlineLevel="1"/>
    <col min="20" max="20" width="19.5703125" style="7" hidden="1" customWidth="1" outlineLevel="1"/>
    <col min="21" max="21" width="18.42578125" style="7" hidden="1" customWidth="1" outlineLevel="1"/>
    <col min="22" max="22" width="13.140625" style="7" hidden="1" customWidth="1"/>
    <col min="23" max="23" width="14.140625" style="7" hidden="1" customWidth="1"/>
    <col min="24" max="24" width="14.5703125" style="7" customWidth="1" collapsed="1"/>
    <col min="25" max="25" width="0.85546875" style="7" hidden="1" customWidth="1"/>
    <col min="26" max="26" width="16.140625" style="7" hidden="1" customWidth="1"/>
    <col min="27" max="27" width="0.140625" style="7" hidden="1" customWidth="1"/>
    <col min="28" max="28" width="16.140625" style="7" hidden="1" customWidth="1" outlineLevel="1"/>
    <col min="29" max="29" width="0.42578125" style="7" hidden="1" customWidth="1" outlineLevel="1"/>
    <col min="30" max="30" width="17.85546875" style="7" hidden="1" customWidth="1" outlineLevel="1"/>
    <col min="31" max="31" width="0.42578125" style="7" hidden="1" customWidth="1" outlineLevel="1"/>
    <col min="32" max="32" width="16.140625" style="7" hidden="1" customWidth="1" collapsed="1"/>
    <col min="33" max="33" width="16" style="7" hidden="1" customWidth="1" outlineLevel="1"/>
    <col min="34" max="34" width="17" style="7" hidden="1" customWidth="1" outlineLevel="1"/>
    <col min="35" max="35" width="10.5703125" style="7" hidden="1" customWidth="1" outlineLevel="1"/>
    <col min="36" max="36" width="16.140625" style="7" hidden="1" customWidth="1" collapsed="1"/>
    <col min="37" max="37" width="0.7109375" style="7" hidden="1" customWidth="1"/>
    <col min="38" max="38" width="16.140625" style="7" hidden="1" customWidth="1" outlineLevel="1"/>
    <col min="39" max="39" width="4.140625" style="7" hidden="1" customWidth="1" outlineLevel="1"/>
    <col min="40" max="40" width="16.140625" style="17" customWidth="1" collapsed="1"/>
    <col min="41" max="41" width="16.140625" style="17" hidden="1" customWidth="1" collapsed="1"/>
    <col min="42" max="42" width="16.140625" style="17" customWidth="1" collapsed="1"/>
    <col min="43" max="43" width="0.7109375" style="7" hidden="1" customWidth="1" outlineLevel="1"/>
    <col min="44" max="44" width="22.140625" style="7" hidden="1" customWidth="1" outlineLevel="1"/>
    <col min="45" max="45" width="0.42578125" style="7" hidden="1" customWidth="1" outlineLevel="1"/>
    <col min="46" max="46" width="17.85546875" style="7" hidden="1" customWidth="1" outlineLevel="1"/>
    <col min="47" max="47" width="0.42578125" style="7" hidden="1" customWidth="1" outlineLevel="1"/>
    <col min="48" max="48" width="18" style="7" hidden="1" customWidth="1" collapsed="1"/>
    <col min="49" max="49" width="0.5703125" style="7" hidden="1" customWidth="1"/>
    <col min="50" max="50" width="18" style="7" hidden="1" customWidth="1"/>
    <col min="51" max="51" width="0.5703125" style="7" customWidth="1"/>
    <col min="52" max="52" width="15.140625" style="7" customWidth="1"/>
    <col min="53" max="53" width="15.7109375" style="7" bestFit="1" customWidth="1"/>
    <col min="54" max="54" width="15.140625" style="7" customWidth="1"/>
    <col min="55" max="55" width="23.140625" style="7" customWidth="1"/>
    <col min="56" max="56" width="19.85546875" style="7" bestFit="1" customWidth="1"/>
    <col min="57" max="59" width="12.42578125" style="7" customWidth="1"/>
    <col min="60" max="60" width="3.85546875" style="76" customWidth="1"/>
    <col min="61" max="61" width="14.5703125" style="12" bestFit="1" customWidth="1"/>
  </cols>
  <sheetData>
    <row r="1" spans="1:62" ht="15">
      <c r="A1" s="1" t="s">
        <v>0</v>
      </c>
      <c r="B1" s="2"/>
      <c r="C1" s="2"/>
      <c r="D1" s="1"/>
      <c r="E1" s="1"/>
      <c r="F1" s="3"/>
      <c r="H1" s="5"/>
      <c r="I1" s="6"/>
      <c r="T1" s="8"/>
      <c r="Z1" s="9"/>
      <c r="AB1" s="9"/>
      <c r="AD1" s="9"/>
      <c r="AF1" s="9"/>
      <c r="AH1" s="10" t="e">
        <f>+#REF!</f>
        <v>#REF!</v>
      </c>
      <c r="AJ1" s="9"/>
      <c r="AK1" s="9"/>
      <c r="AN1" s="9"/>
      <c r="AO1" s="9"/>
      <c r="AP1" s="9"/>
      <c r="AR1" s="9"/>
      <c r="AT1" s="9"/>
      <c r="AV1" s="9"/>
      <c r="AW1" s="9"/>
      <c r="AX1" s="9"/>
      <c r="AY1" s="9"/>
      <c r="AZ1" s="9"/>
      <c r="BA1" s="9"/>
      <c r="BB1" s="9"/>
      <c r="BC1" s="9"/>
      <c r="BD1" s="9"/>
      <c r="BE1" s="9"/>
      <c r="BF1" s="9"/>
      <c r="BG1" s="9"/>
      <c r="BH1" s="11"/>
    </row>
    <row r="2" spans="1:62" ht="15">
      <c r="A2" s="1" t="s">
        <v>1053</v>
      </c>
      <c r="B2" s="2"/>
      <c r="C2" s="2"/>
      <c r="D2" s="1"/>
      <c r="E2" s="1"/>
      <c r="F2" s="3"/>
      <c r="H2" s="5"/>
      <c r="I2" s="13"/>
      <c r="J2" s="14"/>
      <c r="K2" s="14"/>
      <c r="L2" s="15"/>
      <c r="M2" s="15"/>
      <c r="N2" s="15"/>
      <c r="O2" s="15"/>
      <c r="P2" s="15"/>
      <c r="R2" s="15"/>
      <c r="T2" s="8"/>
      <c r="V2" s="15"/>
      <c r="X2" s="15"/>
      <c r="Z2" s="15"/>
      <c r="AB2" s="15"/>
      <c r="AD2" s="15"/>
      <c r="AF2" s="15"/>
      <c r="AG2" s="238" t="s">
        <v>1</v>
      </c>
      <c r="AH2" s="238"/>
      <c r="AI2" s="17"/>
      <c r="AJ2" s="18"/>
      <c r="AK2" s="15"/>
      <c r="AL2" s="10" t="e">
        <f>+#REF!</f>
        <v>#REF!</v>
      </c>
      <c r="AN2" s="18"/>
      <c r="AO2" s="18"/>
      <c r="AP2" s="18"/>
      <c r="AR2" s="15"/>
      <c r="AT2" s="15"/>
      <c r="AV2" s="15"/>
      <c r="AW2" s="15"/>
      <c r="AX2" s="15"/>
      <c r="AY2" s="15"/>
      <c r="AZ2" s="15"/>
      <c r="BA2" s="15"/>
      <c r="BB2" s="15"/>
      <c r="BC2" s="15"/>
      <c r="BD2" s="15"/>
      <c r="BE2" s="15"/>
      <c r="BF2" s="15"/>
      <c r="BG2" s="15"/>
      <c r="BH2" s="19"/>
    </row>
    <row r="3" spans="1:62" ht="15">
      <c r="A3" s="20" t="str">
        <f>IF(G7=1,"DETAIL OF EXPENDITURES BUDGET BY DEPARTMENT WITH COMPARATIVE AMOUNTS", "SUMMARY OF EXPENDITURES BUDGET BY DEPARTMENT WITH COMPARATIVE AMOUNTS")</f>
        <v>DETAIL OF EXPENDITURES BUDGET BY DEPARTMENT WITH COMPARATIVE AMOUNTS</v>
      </c>
      <c r="B3" s="21"/>
      <c r="C3" s="21"/>
      <c r="D3" s="22"/>
      <c r="E3" s="22"/>
      <c r="F3" s="3"/>
      <c r="H3" s="5"/>
      <c r="I3" s="23"/>
      <c r="J3" s="15"/>
      <c r="L3" s="15"/>
      <c r="M3" s="10"/>
      <c r="N3" s="10"/>
      <c r="O3" s="10"/>
      <c r="P3" s="24"/>
      <c r="R3" s="24"/>
      <c r="V3" s="24"/>
      <c r="W3" s="24"/>
      <c r="X3" s="15"/>
      <c r="Y3" s="24"/>
      <c r="AA3" s="24"/>
      <c r="AB3" s="24" t="e">
        <f>+#REF!</f>
        <v>#REF!</v>
      </c>
      <c r="AC3" s="24"/>
      <c r="AD3" s="24" t="e">
        <f>+#REF!</f>
        <v>#REF!</v>
      </c>
      <c r="AE3" s="24"/>
      <c r="AF3" s="10" t="e">
        <f>+#REF!</f>
        <v>#REF!</v>
      </c>
      <c r="AG3" s="239" t="s">
        <v>2</v>
      </c>
      <c r="AH3" s="239"/>
      <c r="AI3" s="25"/>
      <c r="AJ3" s="25" t="e">
        <f>+#REF!</f>
        <v>#REF!</v>
      </c>
      <c r="AK3" s="24"/>
      <c r="AL3" s="16" t="s">
        <v>1</v>
      </c>
      <c r="AM3" s="25"/>
      <c r="AN3" s="25"/>
      <c r="AO3" s="25"/>
      <c r="AP3" s="25"/>
      <c r="AQ3" s="24"/>
      <c r="AR3" s="24" t="e">
        <f>+#REF!</f>
        <v>#REF!</v>
      </c>
      <c r="AS3" s="24"/>
      <c r="AT3" s="24" t="e">
        <f>+#REF!</f>
        <v>#REF!</v>
      </c>
      <c r="AU3" s="24"/>
      <c r="AV3" s="24" t="e">
        <f>+#REF!</f>
        <v>#REF!</v>
      </c>
      <c r="AW3" s="24"/>
      <c r="AX3" s="24" t="e">
        <f>+#REF!</f>
        <v>#REF!</v>
      </c>
      <c r="AY3" s="24"/>
      <c r="AZ3" s="24"/>
      <c r="BA3" s="44"/>
      <c r="BB3" s="24"/>
      <c r="BC3" s="24"/>
      <c r="BD3" s="26"/>
      <c r="BE3" s="26"/>
      <c r="BF3" s="26"/>
      <c r="BG3" s="26"/>
      <c r="BH3" s="27"/>
    </row>
    <row r="4" spans="1:62" ht="15">
      <c r="A4" s="28" t="s">
        <v>1070</v>
      </c>
      <c r="B4" s="29"/>
      <c r="C4" s="29"/>
      <c r="D4" s="28"/>
      <c r="E4" s="28"/>
      <c r="F4" s="3"/>
      <c r="H4" s="30"/>
      <c r="I4" s="31" t="e">
        <f>+#REF!</f>
        <v>#REF!</v>
      </c>
      <c r="J4" s="31" t="e">
        <f>+#REF!</f>
        <v>#REF!</v>
      </c>
      <c r="L4" s="31"/>
      <c r="M4" s="32"/>
      <c r="N4" s="33"/>
      <c r="O4" s="32"/>
      <c r="P4" s="33"/>
      <c r="R4" s="33"/>
      <c r="T4" s="33"/>
      <c r="X4" s="31"/>
      <c r="Z4" s="10"/>
      <c r="AB4" s="241"/>
      <c r="AC4" s="241"/>
      <c r="AD4" s="241"/>
      <c r="AE4" s="35"/>
      <c r="AF4" s="34"/>
      <c r="AG4" s="240"/>
      <c r="AH4" s="240"/>
      <c r="AI4" s="17"/>
      <c r="AJ4" s="16"/>
      <c r="AK4" s="24"/>
      <c r="AL4" s="16"/>
      <c r="AM4" s="17"/>
      <c r="AN4" s="31"/>
      <c r="AO4" s="31"/>
      <c r="AP4" s="31"/>
      <c r="AR4" s="34" t="s">
        <v>5</v>
      </c>
      <c r="AU4" s="35"/>
      <c r="AV4" s="34"/>
      <c r="AW4" s="34"/>
      <c r="AX4" s="34" t="s">
        <v>5</v>
      </c>
      <c r="AY4" s="34"/>
      <c r="AZ4" s="34"/>
      <c r="BA4" s="34"/>
      <c r="BB4" s="34"/>
      <c r="BC4" s="34"/>
      <c r="BD4" s="37"/>
      <c r="BE4" s="37"/>
      <c r="BF4" s="37"/>
      <c r="BG4" s="37"/>
      <c r="BH4" s="38"/>
    </row>
    <row r="5" spans="1:62" ht="15">
      <c r="B5" s="29"/>
      <c r="C5" s="29"/>
      <c r="D5" s="28"/>
      <c r="E5" s="28"/>
      <c r="G5" s="28"/>
      <c r="H5" s="5"/>
      <c r="I5" s="41" t="s">
        <v>6</v>
      </c>
      <c r="J5" s="42" t="s">
        <v>7</v>
      </c>
      <c r="L5" s="16" t="s">
        <v>8</v>
      </c>
      <c r="M5" s="16"/>
      <c r="N5" s="16" t="s">
        <v>9</v>
      </c>
      <c r="O5" s="16"/>
      <c r="P5" s="16" t="s">
        <v>9</v>
      </c>
      <c r="Q5" s="17"/>
      <c r="R5" s="43"/>
      <c r="S5" s="17"/>
      <c r="T5" s="16"/>
      <c r="U5" s="17"/>
      <c r="V5" s="16" t="s">
        <v>9</v>
      </c>
      <c r="X5" s="16" t="s">
        <v>9</v>
      </c>
      <c r="Z5" s="34" t="s">
        <v>1</v>
      </c>
      <c r="AB5" s="243" t="s">
        <v>10</v>
      </c>
      <c r="AC5" s="243"/>
      <c r="AD5" s="243"/>
      <c r="AE5" s="35"/>
      <c r="AF5" s="34" t="s">
        <v>1</v>
      </c>
      <c r="AG5" s="17"/>
      <c r="AH5" s="16" t="s">
        <v>11</v>
      </c>
      <c r="AI5" s="17"/>
      <c r="AJ5" s="16" t="s">
        <v>1</v>
      </c>
      <c r="AK5" s="24"/>
      <c r="AL5" s="43" t="s">
        <v>12</v>
      </c>
      <c r="AM5" s="17"/>
      <c r="AN5" s="16" t="s">
        <v>1</v>
      </c>
      <c r="AO5" s="45" t="s">
        <v>1</v>
      </c>
      <c r="AP5" s="46" t="s">
        <v>5</v>
      </c>
      <c r="AQ5" s="47"/>
      <c r="AR5" s="48" t="s">
        <v>10</v>
      </c>
      <c r="AS5" s="47"/>
      <c r="AT5" s="47"/>
      <c r="AU5" s="47"/>
      <c r="AV5" s="46" t="s">
        <v>5</v>
      </c>
      <c r="AW5" s="34"/>
      <c r="AX5" s="49" t="s">
        <v>3</v>
      </c>
      <c r="AY5" s="34"/>
      <c r="AZ5" s="16" t="s">
        <v>1054</v>
      </c>
      <c r="BA5" s="16" t="s">
        <v>1054</v>
      </c>
      <c r="BB5" s="34" t="s">
        <v>1069</v>
      </c>
      <c r="BC5" s="34"/>
      <c r="BD5" s="50" t="s">
        <v>13</v>
      </c>
      <c r="BE5" s="37"/>
      <c r="BF5" s="37"/>
      <c r="BG5" s="37"/>
      <c r="BH5" s="51"/>
    </row>
    <row r="6" spans="1:62">
      <c r="A6" s="242"/>
      <c r="B6" s="242"/>
      <c r="C6" s="242"/>
      <c r="D6" s="242"/>
      <c r="E6" s="242"/>
      <c r="F6" s="242"/>
      <c r="G6" s="22"/>
      <c r="H6" s="5"/>
      <c r="I6" s="52" t="s">
        <v>14</v>
      </c>
      <c r="J6" s="52" t="s">
        <v>14</v>
      </c>
      <c r="L6" s="43" t="s">
        <v>14</v>
      </c>
      <c r="M6" s="43"/>
      <c r="N6" s="43" t="s">
        <v>15</v>
      </c>
      <c r="O6" s="43"/>
      <c r="P6" s="43" t="s">
        <v>4</v>
      </c>
      <c r="Q6" s="17"/>
      <c r="R6" s="43" t="s">
        <v>4</v>
      </c>
      <c r="S6" s="43"/>
      <c r="T6" s="43" t="s">
        <v>16</v>
      </c>
      <c r="U6" s="43"/>
      <c r="V6" s="43" t="s">
        <v>4</v>
      </c>
      <c r="W6" s="43"/>
      <c r="X6" s="43" t="s">
        <v>14</v>
      </c>
      <c r="Y6" s="43"/>
      <c r="Z6" s="34" t="s">
        <v>17</v>
      </c>
      <c r="AA6" s="43"/>
      <c r="AB6" s="53" t="s">
        <v>16</v>
      </c>
      <c r="AC6" s="53"/>
      <c r="AD6" s="34"/>
      <c r="AE6" s="53"/>
      <c r="AF6" s="34" t="s">
        <v>17</v>
      </c>
      <c r="AG6" s="43" t="s">
        <v>16</v>
      </c>
      <c r="AH6" s="16" t="s">
        <v>18</v>
      </c>
      <c r="AI6" s="43"/>
      <c r="AJ6" s="16" t="s">
        <v>19</v>
      </c>
      <c r="AK6" s="24"/>
      <c r="AL6" s="43" t="s">
        <v>16</v>
      </c>
      <c r="AM6" s="43"/>
      <c r="AN6" s="43" t="s">
        <v>14</v>
      </c>
      <c r="AO6" s="45" t="s">
        <v>20</v>
      </c>
      <c r="AP6" s="43" t="s">
        <v>14</v>
      </c>
      <c r="AQ6" s="54"/>
      <c r="AR6" s="54" t="s">
        <v>16</v>
      </c>
      <c r="AS6" s="54"/>
      <c r="AT6" s="46"/>
      <c r="AU6" s="54"/>
      <c r="AV6" s="46" t="s">
        <v>19</v>
      </c>
      <c r="AW6" s="34"/>
      <c r="AX6" s="55" t="s">
        <v>16</v>
      </c>
      <c r="AY6" s="34"/>
      <c r="AZ6" s="16" t="s">
        <v>17</v>
      </c>
      <c r="BA6" s="16" t="s">
        <v>17</v>
      </c>
      <c r="BB6" s="34" t="s">
        <v>19</v>
      </c>
      <c r="BC6" s="56"/>
      <c r="BD6" s="50" t="s">
        <v>21</v>
      </c>
      <c r="BE6" s="37"/>
      <c r="BF6" s="37"/>
      <c r="BG6" s="37"/>
      <c r="BH6" s="57"/>
    </row>
    <row r="7" spans="1:62" ht="15">
      <c r="A7" s="237"/>
      <c r="B7" s="237"/>
      <c r="C7" s="237"/>
      <c r="D7" s="237"/>
      <c r="E7" s="237"/>
      <c r="F7" s="237"/>
      <c r="G7" s="59">
        <v>1</v>
      </c>
      <c r="H7" s="60"/>
      <c r="I7" s="52" t="s">
        <v>22</v>
      </c>
      <c r="J7" s="52" t="s">
        <v>22</v>
      </c>
      <c r="L7" s="43" t="s">
        <v>22</v>
      </c>
      <c r="M7" s="43"/>
      <c r="N7" s="43" t="s">
        <v>23</v>
      </c>
      <c r="O7" s="43"/>
      <c r="P7" s="43" t="s">
        <v>24</v>
      </c>
      <c r="Q7" s="43"/>
      <c r="R7" s="43" t="s">
        <v>24</v>
      </c>
      <c r="S7" s="43"/>
      <c r="T7" s="43" t="s">
        <v>25</v>
      </c>
      <c r="U7" s="43"/>
      <c r="V7" s="43" t="s">
        <v>24</v>
      </c>
      <c r="W7" s="43"/>
      <c r="X7" s="43" t="s">
        <v>22</v>
      </c>
      <c r="Y7" s="43"/>
      <c r="Z7" s="53" t="s">
        <v>15</v>
      </c>
      <c r="AA7" s="43"/>
      <c r="AB7" s="53" t="s">
        <v>26</v>
      </c>
      <c r="AC7" s="53"/>
      <c r="AD7" s="53"/>
      <c r="AE7" s="53"/>
      <c r="AF7" s="53" t="s">
        <v>4</v>
      </c>
      <c r="AG7" s="43" t="s">
        <v>26</v>
      </c>
      <c r="AH7" s="43" t="s">
        <v>27</v>
      </c>
      <c r="AI7" s="43"/>
      <c r="AJ7" s="43" t="s">
        <v>4</v>
      </c>
      <c r="AK7" s="24"/>
      <c r="AL7" s="43" t="s">
        <v>26</v>
      </c>
      <c r="AM7" s="43"/>
      <c r="AN7" s="43" t="s">
        <v>22</v>
      </c>
      <c r="AO7" s="61" t="s">
        <v>22</v>
      </c>
      <c r="AP7" s="43" t="s">
        <v>22</v>
      </c>
      <c r="AQ7" s="54"/>
      <c r="AR7" s="54" t="s">
        <v>26</v>
      </c>
      <c r="AS7" s="54"/>
      <c r="AT7" s="54"/>
      <c r="AU7" s="54"/>
      <c r="AV7" s="54" t="s">
        <v>4</v>
      </c>
      <c r="AW7" s="53"/>
      <c r="AX7" s="55" t="s">
        <v>26</v>
      </c>
      <c r="AY7" s="53"/>
      <c r="AZ7" s="16" t="s">
        <v>15</v>
      </c>
      <c r="BA7" s="43" t="s">
        <v>4</v>
      </c>
      <c r="BB7" s="34" t="s">
        <v>15</v>
      </c>
      <c r="BC7" s="56"/>
      <c r="BD7" s="50" t="s">
        <v>28</v>
      </c>
      <c r="BE7" s="62"/>
      <c r="BF7" s="62"/>
      <c r="BG7" s="62"/>
      <c r="BH7" s="57"/>
      <c r="BI7" s="63"/>
    </row>
    <row r="8" spans="1:62" ht="15">
      <c r="A8" s="237" t="s">
        <v>29</v>
      </c>
      <c r="B8" s="237"/>
      <c r="C8" s="237"/>
      <c r="D8" s="237"/>
      <c r="E8" s="237"/>
      <c r="F8" s="64" t="s">
        <v>30</v>
      </c>
      <c r="G8" s="64" t="s">
        <v>31</v>
      </c>
      <c r="H8" s="60"/>
      <c r="I8" s="65" t="s">
        <v>32</v>
      </c>
      <c r="J8" s="65" t="s">
        <v>32</v>
      </c>
      <c r="L8" s="66" t="s">
        <v>32</v>
      </c>
      <c r="M8" s="36"/>
      <c r="N8" s="36" t="s">
        <v>2</v>
      </c>
      <c r="O8" s="36"/>
      <c r="P8" s="36" t="s">
        <v>33</v>
      </c>
      <c r="Q8" s="36"/>
      <c r="R8" s="36" t="s">
        <v>34</v>
      </c>
      <c r="S8" s="36"/>
      <c r="T8" s="36" t="s">
        <v>35</v>
      </c>
      <c r="U8" s="36"/>
      <c r="V8" s="36" t="s">
        <v>36</v>
      </c>
      <c r="W8" s="36"/>
      <c r="X8" s="66" t="s">
        <v>32</v>
      </c>
      <c r="Y8" s="36"/>
      <c r="Z8" s="44" t="s">
        <v>24</v>
      </c>
      <c r="AA8" s="36"/>
      <c r="AB8" s="44" t="s">
        <v>35</v>
      </c>
      <c r="AC8" s="44"/>
      <c r="AD8" s="44" t="s">
        <v>37</v>
      </c>
      <c r="AE8" s="44"/>
      <c r="AF8" s="44" t="s">
        <v>38</v>
      </c>
      <c r="AG8" s="36" t="s">
        <v>35</v>
      </c>
      <c r="AH8" s="36" t="s">
        <v>39</v>
      </c>
      <c r="AI8" s="36"/>
      <c r="AJ8" s="36" t="s">
        <v>40</v>
      </c>
      <c r="AK8" s="24"/>
      <c r="AL8" s="36" t="s">
        <v>35</v>
      </c>
      <c r="AM8" s="36"/>
      <c r="AN8" s="36" t="s">
        <v>32</v>
      </c>
      <c r="AO8" s="67" t="s">
        <v>32</v>
      </c>
      <c r="AP8" s="36" t="s">
        <v>32</v>
      </c>
      <c r="AQ8" s="48"/>
      <c r="AR8" s="48" t="s">
        <v>35</v>
      </c>
      <c r="AS8" s="48"/>
      <c r="AT8" s="48" t="s">
        <v>37</v>
      </c>
      <c r="AU8" s="48"/>
      <c r="AV8" s="48" t="s">
        <v>38</v>
      </c>
      <c r="AW8" s="44"/>
      <c r="AX8" s="49" t="s">
        <v>35</v>
      </c>
      <c r="AY8" s="44"/>
      <c r="AZ8" s="36" t="s">
        <v>2</v>
      </c>
      <c r="BA8" s="36" t="s">
        <v>40</v>
      </c>
      <c r="BB8" s="44" t="s">
        <v>2</v>
      </c>
      <c r="BC8" s="56"/>
      <c r="BD8" s="50" t="s">
        <v>41</v>
      </c>
      <c r="BE8" s="68"/>
      <c r="BF8" s="68"/>
      <c r="BG8" s="68"/>
      <c r="BH8" s="69"/>
    </row>
    <row r="9" spans="1:62" ht="15">
      <c r="A9" s="58"/>
      <c r="B9" s="58"/>
      <c r="C9" s="58"/>
      <c r="D9" s="64"/>
      <c r="E9" s="64"/>
      <c r="F9" s="64"/>
      <c r="G9" s="70"/>
      <c r="H9" s="60"/>
      <c r="J9" s="71"/>
      <c r="AK9" s="24"/>
      <c r="AZ9" s="34"/>
      <c r="BB9" s="34"/>
      <c r="BC9" s="56"/>
      <c r="BH9" s="72">
        <v>2</v>
      </c>
    </row>
    <row r="10" spans="1:62" ht="20.100000000000001" customHeight="1" outlineLevel="1">
      <c r="A10" s="75" t="s">
        <v>591</v>
      </c>
      <c r="B10" s="77"/>
      <c r="C10" s="77"/>
      <c r="D10" s="90"/>
      <c r="E10" s="90"/>
      <c r="F10" s="3"/>
      <c r="H10" s="87"/>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5"/>
      <c r="AL10" s="83"/>
      <c r="AM10" s="83"/>
      <c r="AN10" s="100"/>
      <c r="AO10" s="100"/>
      <c r="AP10" s="100"/>
      <c r="AQ10" s="83"/>
      <c r="AR10" s="83"/>
      <c r="AS10" s="83"/>
      <c r="AT10" s="83"/>
      <c r="AU10" s="83"/>
      <c r="AV10" s="83"/>
      <c r="AW10" s="83"/>
      <c r="AX10" s="83"/>
      <c r="AY10" s="83"/>
      <c r="AZ10" s="83"/>
      <c r="BA10" s="83"/>
      <c r="BB10" s="83"/>
      <c r="BC10" s="56"/>
      <c r="BD10" s="83"/>
      <c r="BE10" s="83"/>
      <c r="BF10" s="83"/>
      <c r="BG10" s="83"/>
      <c r="BH10" s="19"/>
    </row>
    <row r="11" spans="1:62" ht="20.100000000000001" customHeight="1" outlineLevel="1">
      <c r="A11" s="77" t="s">
        <v>43</v>
      </c>
      <c r="B11" s="77" t="s">
        <v>592</v>
      </c>
      <c r="C11" s="77" t="s">
        <v>1088</v>
      </c>
      <c r="D11" s="78" t="s">
        <v>46</v>
      </c>
      <c r="E11" s="78" t="str">
        <f t="shared" ref="E11:E40" si="0">+D11</f>
        <v>000</v>
      </c>
      <c r="F11" s="79">
        <v>611211</v>
      </c>
      <c r="G11" s="80" t="s">
        <v>593</v>
      </c>
      <c r="H11" s="87"/>
      <c r="I11" s="82">
        <v>0</v>
      </c>
      <c r="J11" s="82">
        <v>0</v>
      </c>
      <c r="L11" s="83">
        <v>4095093</v>
      </c>
      <c r="M11" s="83"/>
      <c r="N11" s="83">
        <v>4316051</v>
      </c>
      <c r="O11" s="83"/>
      <c r="P11" s="83">
        <v>4316051</v>
      </c>
      <c r="Q11" s="83"/>
      <c r="R11" s="83">
        <v>6815421</v>
      </c>
      <c r="S11" s="83"/>
      <c r="T11" s="83">
        <v>0</v>
      </c>
      <c r="U11" s="83"/>
      <c r="V11" s="83">
        <v>6815421</v>
      </c>
      <c r="W11" s="83"/>
      <c r="X11" s="83">
        <v>7019028.96</v>
      </c>
      <c r="Y11" s="83"/>
      <c r="Z11" s="83">
        <v>6788401</v>
      </c>
      <c r="AA11" s="83"/>
      <c r="AB11" s="83">
        <v>0</v>
      </c>
      <c r="AC11" s="83"/>
      <c r="AD11" s="83"/>
      <c r="AE11" s="83"/>
      <c r="AF11" s="84">
        <f t="shared" ref="AF11:AF19" si="1">SUM(Z11:AE11)</f>
        <v>6788401</v>
      </c>
      <c r="AG11" s="103">
        <v>2127274</v>
      </c>
      <c r="AH11" s="83">
        <v>256250</v>
      </c>
      <c r="AI11" s="83"/>
      <c r="AJ11" s="84">
        <f t="shared" ref="AJ11:AJ19" si="2">SUM(AE11:AI11)</f>
        <v>9171925</v>
      </c>
      <c r="AK11" s="85"/>
      <c r="AL11" s="83">
        <v>0</v>
      </c>
      <c r="AM11" s="83"/>
      <c r="AN11" s="86">
        <v>7016531.2199999997</v>
      </c>
      <c r="AO11" s="86">
        <v>0</v>
      </c>
      <c r="AP11" s="86">
        <v>0</v>
      </c>
      <c r="AQ11" s="83"/>
      <c r="AR11" s="83">
        <v>0</v>
      </c>
      <c r="AS11" s="83"/>
      <c r="AT11" s="83">
        <v>0</v>
      </c>
      <c r="AU11" s="83"/>
      <c r="AV11" s="84">
        <f t="shared" ref="AV11:AV19" si="3">SUM(AP11:AU11)</f>
        <v>0</v>
      </c>
      <c r="AW11" s="84"/>
      <c r="AX11" s="128">
        <v>-8977175</v>
      </c>
      <c r="AY11" s="84"/>
      <c r="AZ11" s="86">
        <v>5000</v>
      </c>
      <c r="BA11" s="84">
        <v>5000</v>
      </c>
      <c r="BB11" s="214" t="s">
        <v>1089</v>
      </c>
      <c r="BC11" s="56"/>
      <c r="BD11" s="84">
        <f t="shared" ref="BD11:BD19" si="4">+AP11-AN11</f>
        <v>-7016531.2199999997</v>
      </c>
      <c r="BE11" s="84"/>
      <c r="BF11" s="84"/>
      <c r="BG11" s="84"/>
      <c r="BH11" s="72">
        <v>1</v>
      </c>
      <c r="BJ11">
        <v>1</v>
      </c>
    </row>
    <row r="12" spans="1:62" ht="20.100000000000001" customHeight="1" outlineLevel="1">
      <c r="A12" s="77" t="s">
        <v>43</v>
      </c>
      <c r="B12" s="77" t="s">
        <v>592</v>
      </c>
      <c r="C12" s="77" t="s">
        <v>1088</v>
      </c>
      <c r="D12" s="78" t="s">
        <v>46</v>
      </c>
      <c r="E12" s="78" t="str">
        <f t="shared" si="0"/>
        <v>000</v>
      </c>
      <c r="F12" s="3">
        <v>633941</v>
      </c>
      <c r="G12" s="102" t="s">
        <v>607</v>
      </c>
      <c r="H12" s="87"/>
      <c r="I12" s="13">
        <v>0</v>
      </c>
      <c r="J12" s="13">
        <v>0</v>
      </c>
      <c r="L12" s="56">
        <v>0</v>
      </c>
      <c r="M12" s="56"/>
      <c r="N12" s="56">
        <v>0</v>
      </c>
      <c r="O12" s="56"/>
      <c r="P12" s="56">
        <v>0</v>
      </c>
      <c r="Q12" s="56"/>
      <c r="R12" s="56">
        <v>0</v>
      </c>
      <c r="S12" s="56"/>
      <c r="T12" s="56">
        <v>0</v>
      </c>
      <c r="U12" s="56"/>
      <c r="V12" s="56">
        <v>0</v>
      </c>
      <c r="W12" s="56"/>
      <c r="X12" s="56">
        <v>0</v>
      </c>
      <c r="Y12" s="56"/>
      <c r="Z12" s="56">
        <v>0</v>
      </c>
      <c r="AA12" s="56"/>
      <c r="AB12" s="56">
        <v>0</v>
      </c>
      <c r="AC12" s="56"/>
      <c r="AD12" s="56"/>
      <c r="AE12" s="56"/>
      <c r="AF12" s="56">
        <f t="shared" si="1"/>
        <v>0</v>
      </c>
      <c r="AG12" s="56">
        <v>0</v>
      </c>
      <c r="AH12" s="56">
        <v>0</v>
      </c>
      <c r="AI12" s="56"/>
      <c r="AJ12" s="56">
        <f t="shared" si="2"/>
        <v>0</v>
      </c>
      <c r="AK12" s="85"/>
      <c r="AL12" s="56">
        <v>0</v>
      </c>
      <c r="AM12" s="56"/>
      <c r="AN12" s="88">
        <f>SUM(AI12:AM12)</f>
        <v>0</v>
      </c>
      <c r="AO12" s="88">
        <v>0</v>
      </c>
      <c r="AP12" s="88">
        <v>0</v>
      </c>
      <c r="AQ12" s="56"/>
      <c r="AR12" s="56">
        <v>0</v>
      </c>
      <c r="AS12" s="56"/>
      <c r="AT12" s="56">
        <v>0</v>
      </c>
      <c r="AU12" s="56"/>
      <c r="AV12" s="56">
        <f t="shared" si="3"/>
        <v>0</v>
      </c>
      <c r="AW12" s="56"/>
      <c r="AX12" s="56">
        <v>0</v>
      </c>
      <c r="AY12" s="56"/>
      <c r="AZ12" s="88">
        <v>0</v>
      </c>
      <c r="BA12" s="56">
        <v>0</v>
      </c>
      <c r="BB12" s="214"/>
      <c r="BC12" s="56"/>
      <c r="BD12" s="84">
        <f t="shared" si="4"/>
        <v>0</v>
      </c>
      <c r="BE12" s="56"/>
      <c r="BF12" s="56"/>
      <c r="BG12" s="56"/>
      <c r="BH12" s="72"/>
    </row>
    <row r="13" spans="1:62" ht="20.100000000000001" customHeight="1" outlineLevel="1">
      <c r="A13" s="77" t="s">
        <v>43</v>
      </c>
      <c r="B13" s="77" t="s">
        <v>592</v>
      </c>
      <c r="C13" s="77" t="s">
        <v>1088</v>
      </c>
      <c r="D13" s="78" t="s">
        <v>46</v>
      </c>
      <c r="E13" s="78" t="str">
        <f t="shared" si="0"/>
        <v>000</v>
      </c>
      <c r="F13" s="3">
        <v>643011</v>
      </c>
      <c r="G13" s="102" t="s">
        <v>608</v>
      </c>
      <c r="H13" s="87"/>
      <c r="I13" s="13">
        <v>4111</v>
      </c>
      <c r="J13" s="13">
        <v>4432</v>
      </c>
      <c r="L13" s="56">
        <v>5034</v>
      </c>
      <c r="M13" s="56"/>
      <c r="N13" s="56">
        <v>5095</v>
      </c>
      <c r="O13" s="56"/>
      <c r="P13" s="56">
        <v>5095</v>
      </c>
      <c r="Q13" s="56"/>
      <c r="R13" s="56">
        <v>5095</v>
      </c>
      <c r="S13" s="56"/>
      <c r="T13" s="56">
        <v>0</v>
      </c>
      <c r="U13" s="56"/>
      <c r="V13" s="56">
        <v>5095</v>
      </c>
      <c r="W13" s="56"/>
      <c r="X13" s="56">
        <v>3218</v>
      </c>
      <c r="Y13" s="56"/>
      <c r="Z13" s="56">
        <v>5095</v>
      </c>
      <c r="AA13" s="56"/>
      <c r="AB13" s="56">
        <v>0</v>
      </c>
      <c r="AC13" s="56"/>
      <c r="AD13" s="56"/>
      <c r="AE13" s="56"/>
      <c r="AF13" s="56">
        <f t="shared" si="1"/>
        <v>5095</v>
      </c>
      <c r="AG13" s="56">
        <v>0</v>
      </c>
      <c r="AH13" s="56">
        <v>0</v>
      </c>
      <c r="AI13" s="56"/>
      <c r="AJ13" s="56">
        <f t="shared" si="2"/>
        <v>5095</v>
      </c>
      <c r="AK13" s="85"/>
      <c r="AL13" s="56">
        <v>0</v>
      </c>
      <c r="AM13" s="56"/>
      <c r="AN13" s="88">
        <v>4215.21</v>
      </c>
      <c r="AO13" s="88">
        <v>0</v>
      </c>
      <c r="AP13" s="88">
        <v>0</v>
      </c>
      <c r="AQ13" s="56"/>
      <c r="AR13" s="56">
        <v>0</v>
      </c>
      <c r="AS13" s="56"/>
      <c r="AT13" s="56">
        <v>0</v>
      </c>
      <c r="AU13" s="56"/>
      <c r="AV13" s="56">
        <f t="shared" si="3"/>
        <v>0</v>
      </c>
      <c r="AW13" s="56"/>
      <c r="AX13" s="56">
        <v>0</v>
      </c>
      <c r="AY13" s="56"/>
      <c r="AZ13" s="88">
        <v>2595</v>
      </c>
      <c r="BA13" s="56">
        <v>2595</v>
      </c>
      <c r="BB13" s="214"/>
      <c r="BC13" s="56"/>
      <c r="BD13" s="84">
        <f t="shared" si="4"/>
        <v>-4215.21</v>
      </c>
      <c r="BE13" s="56"/>
      <c r="BF13" s="56"/>
      <c r="BG13" s="56"/>
      <c r="BH13" s="72"/>
    </row>
    <row r="14" spans="1:62" ht="20.100000000000001" customHeight="1" outlineLevel="1">
      <c r="A14" s="77" t="s">
        <v>43</v>
      </c>
      <c r="B14" s="77" t="s">
        <v>592</v>
      </c>
      <c r="C14" s="77" t="s">
        <v>1088</v>
      </c>
      <c r="D14" s="78" t="s">
        <v>46</v>
      </c>
      <c r="E14" s="78" t="str">
        <f t="shared" si="0"/>
        <v>000</v>
      </c>
      <c r="F14" s="3">
        <v>658211</v>
      </c>
      <c r="G14" s="102" t="s">
        <v>609</v>
      </c>
      <c r="H14" s="87"/>
      <c r="I14" s="13">
        <v>92103</v>
      </c>
      <c r="J14" s="13">
        <v>88519</v>
      </c>
      <c r="L14" s="56">
        <v>99824</v>
      </c>
      <c r="M14" s="56"/>
      <c r="N14" s="56">
        <v>120000</v>
      </c>
      <c r="O14" s="56"/>
      <c r="P14" s="56">
        <v>120000</v>
      </c>
      <c r="Q14" s="56"/>
      <c r="R14" s="56">
        <v>120000</v>
      </c>
      <c r="S14" s="56"/>
      <c r="T14" s="56">
        <v>0</v>
      </c>
      <c r="U14" s="56"/>
      <c r="V14" s="56">
        <v>120000</v>
      </c>
      <c r="W14" s="56"/>
      <c r="X14" s="56">
        <v>97761.49</v>
      </c>
      <c r="Y14" s="56"/>
      <c r="Z14" s="56">
        <v>120000</v>
      </c>
      <c r="AA14" s="56"/>
      <c r="AB14" s="56">
        <v>0</v>
      </c>
      <c r="AC14" s="56"/>
      <c r="AD14" s="56"/>
      <c r="AE14" s="56"/>
      <c r="AF14" s="56">
        <f t="shared" si="1"/>
        <v>120000</v>
      </c>
      <c r="AG14" s="56">
        <v>0</v>
      </c>
      <c r="AH14" s="56">
        <v>0</v>
      </c>
      <c r="AI14" s="56"/>
      <c r="AJ14" s="56">
        <f t="shared" si="2"/>
        <v>120000</v>
      </c>
      <c r="AK14" s="85"/>
      <c r="AL14" s="56">
        <v>0</v>
      </c>
      <c r="AM14" s="56"/>
      <c r="AN14" s="88">
        <v>96683.199999999997</v>
      </c>
      <c r="AO14" s="88">
        <v>0</v>
      </c>
      <c r="AP14" s="88">
        <v>101872.13</v>
      </c>
      <c r="AQ14" s="56"/>
      <c r="AR14" s="56">
        <v>0</v>
      </c>
      <c r="AS14" s="56"/>
      <c r="AT14" s="56">
        <v>0</v>
      </c>
      <c r="AU14" s="56"/>
      <c r="AV14" s="56">
        <f t="shared" si="3"/>
        <v>101872.13</v>
      </c>
      <c r="AW14" s="56"/>
      <c r="AX14" s="56">
        <v>0</v>
      </c>
      <c r="AY14" s="56"/>
      <c r="AZ14" s="88">
        <v>100000</v>
      </c>
      <c r="BA14" s="56">
        <v>100000</v>
      </c>
      <c r="BB14" s="214"/>
      <c r="BC14" s="56"/>
      <c r="BD14" s="84">
        <f t="shared" si="4"/>
        <v>5188.9300000000076</v>
      </c>
      <c r="BE14" s="56"/>
      <c r="BF14" s="56"/>
      <c r="BG14" s="56"/>
      <c r="BH14" s="72"/>
    </row>
    <row r="15" spans="1:62" ht="20.100000000000001" customHeight="1" outlineLevel="1">
      <c r="A15" s="77" t="s">
        <v>43</v>
      </c>
      <c r="B15" s="77" t="s">
        <v>592</v>
      </c>
      <c r="C15" s="77" t="s">
        <v>1088</v>
      </c>
      <c r="D15" s="78" t="s">
        <v>46</v>
      </c>
      <c r="E15" s="78" t="str">
        <f t="shared" si="0"/>
        <v>000</v>
      </c>
      <c r="F15" s="3">
        <v>661021</v>
      </c>
      <c r="G15" s="102" t="s">
        <v>610</v>
      </c>
      <c r="H15" s="87"/>
      <c r="I15" s="13">
        <v>9194</v>
      </c>
      <c r="J15" s="13">
        <v>19745</v>
      </c>
      <c r="L15" s="56">
        <v>11568</v>
      </c>
      <c r="M15" s="56"/>
      <c r="N15" s="56">
        <v>20962</v>
      </c>
      <c r="O15" s="56"/>
      <c r="P15" s="56">
        <v>24434</v>
      </c>
      <c r="Q15" s="56"/>
      <c r="R15" s="56">
        <v>24434</v>
      </c>
      <c r="S15" s="56"/>
      <c r="T15" s="56">
        <v>0</v>
      </c>
      <c r="U15" s="56"/>
      <c r="V15" s="56">
        <v>24434</v>
      </c>
      <c r="W15" s="56"/>
      <c r="X15" s="56">
        <v>23365.96</v>
      </c>
      <c r="Y15" s="56"/>
      <c r="Z15" s="56">
        <v>24434</v>
      </c>
      <c r="AA15" s="56"/>
      <c r="AB15" s="56">
        <v>0</v>
      </c>
      <c r="AC15" s="56"/>
      <c r="AD15" s="56"/>
      <c r="AE15" s="56"/>
      <c r="AF15" s="56">
        <f t="shared" si="1"/>
        <v>24434</v>
      </c>
      <c r="AG15" s="56">
        <v>0</v>
      </c>
      <c r="AH15" s="56">
        <v>0</v>
      </c>
      <c r="AI15" s="56"/>
      <c r="AJ15" s="56">
        <f t="shared" si="2"/>
        <v>24434</v>
      </c>
      <c r="AK15" s="85"/>
      <c r="AL15" s="56">
        <v>0</v>
      </c>
      <c r="AM15" s="56"/>
      <c r="AN15" s="88">
        <v>24203.86</v>
      </c>
      <c r="AO15" s="88">
        <v>0</v>
      </c>
      <c r="AP15" s="88">
        <v>25176.25</v>
      </c>
      <c r="AQ15" s="56"/>
      <c r="AR15" s="56">
        <v>0</v>
      </c>
      <c r="AS15" s="56"/>
      <c r="AT15" s="56">
        <v>0</v>
      </c>
      <c r="AU15" s="56"/>
      <c r="AV15" s="56">
        <f t="shared" si="3"/>
        <v>25176.25</v>
      </c>
      <c r="AW15" s="56"/>
      <c r="AX15" s="56">
        <v>0</v>
      </c>
      <c r="AY15" s="56"/>
      <c r="AZ15" s="88">
        <v>15434</v>
      </c>
      <c r="BA15" s="56">
        <v>15434</v>
      </c>
      <c r="BB15" s="214"/>
      <c r="BC15" s="56"/>
      <c r="BD15" s="84">
        <f t="shared" si="4"/>
        <v>972.38999999999942</v>
      </c>
      <c r="BE15" s="56"/>
      <c r="BF15" s="56"/>
      <c r="BG15" s="56"/>
      <c r="BH15" s="72"/>
    </row>
    <row r="16" spans="1:62" ht="20.100000000000001" customHeight="1" outlineLevel="1">
      <c r="A16" s="77" t="s">
        <v>43</v>
      </c>
      <c r="B16" s="77" t="s">
        <v>592</v>
      </c>
      <c r="C16" s="77" t="s">
        <v>1088</v>
      </c>
      <c r="D16" s="78" t="s">
        <v>46</v>
      </c>
      <c r="E16" s="78" t="str">
        <f t="shared" si="0"/>
        <v>000</v>
      </c>
      <c r="F16" s="3">
        <v>673021</v>
      </c>
      <c r="G16" s="102" t="s">
        <v>611</v>
      </c>
      <c r="H16" s="87"/>
      <c r="I16" s="13">
        <v>0</v>
      </c>
      <c r="J16" s="13">
        <v>0</v>
      </c>
      <c r="L16" s="56">
        <v>0</v>
      </c>
      <c r="M16" s="56"/>
      <c r="N16" s="56">
        <v>0</v>
      </c>
      <c r="O16" s="56"/>
      <c r="P16" s="56">
        <v>0</v>
      </c>
      <c r="Q16" s="56"/>
      <c r="R16" s="56">
        <v>0</v>
      </c>
      <c r="S16" s="56"/>
      <c r="T16" s="56">
        <v>0</v>
      </c>
      <c r="U16" s="56"/>
      <c r="V16" s="56">
        <v>0</v>
      </c>
      <c r="W16" s="56"/>
      <c r="X16" s="56">
        <v>0</v>
      </c>
      <c r="Y16" s="56"/>
      <c r="Z16" s="56"/>
      <c r="AA16" s="56"/>
      <c r="AB16" s="56">
        <v>0</v>
      </c>
      <c r="AC16" s="56"/>
      <c r="AD16" s="56"/>
      <c r="AE16" s="56"/>
      <c r="AF16" s="56">
        <f t="shared" si="1"/>
        <v>0</v>
      </c>
      <c r="AG16" s="56">
        <v>0</v>
      </c>
      <c r="AH16" s="56">
        <v>0</v>
      </c>
      <c r="AI16" s="56"/>
      <c r="AJ16" s="56">
        <f t="shared" si="2"/>
        <v>0</v>
      </c>
      <c r="AK16" s="85"/>
      <c r="AL16" s="56">
        <v>0</v>
      </c>
      <c r="AM16" s="56"/>
      <c r="AN16" s="88">
        <f>SUM(AI16:AM16)</f>
        <v>0</v>
      </c>
      <c r="AO16" s="88">
        <v>0</v>
      </c>
      <c r="AP16" s="88">
        <v>0</v>
      </c>
      <c r="AQ16" s="56"/>
      <c r="AR16" s="56">
        <v>0</v>
      </c>
      <c r="AS16" s="56"/>
      <c r="AT16" s="56">
        <v>0</v>
      </c>
      <c r="AU16" s="56"/>
      <c r="AV16" s="56">
        <f t="shared" si="3"/>
        <v>0</v>
      </c>
      <c r="AW16" s="56"/>
      <c r="AX16" s="56">
        <v>0</v>
      </c>
      <c r="AY16" s="56"/>
      <c r="AZ16" s="88">
        <v>0</v>
      </c>
      <c r="BA16" s="56">
        <v>0</v>
      </c>
      <c r="BB16" s="214"/>
      <c r="BC16" s="56"/>
      <c r="BD16" s="84">
        <f t="shared" si="4"/>
        <v>0</v>
      </c>
      <c r="BE16" s="56"/>
      <c r="BF16" s="56"/>
      <c r="BG16" s="56"/>
      <c r="BH16" s="72"/>
    </row>
    <row r="17" spans="1:62" ht="20.100000000000001" customHeight="1" outlineLevel="1">
      <c r="A17" s="77" t="s">
        <v>43</v>
      </c>
      <c r="B17" s="77" t="s">
        <v>594</v>
      </c>
      <c r="C17" s="77" t="s">
        <v>1088</v>
      </c>
      <c r="D17" s="78" t="s">
        <v>46</v>
      </c>
      <c r="E17" s="78" t="str">
        <f t="shared" si="0"/>
        <v>000</v>
      </c>
      <c r="F17" s="79">
        <v>611211</v>
      </c>
      <c r="G17" s="102" t="s">
        <v>595</v>
      </c>
      <c r="H17" s="87"/>
      <c r="I17" s="87">
        <v>13626432</v>
      </c>
      <c r="J17" s="87">
        <v>13967881</v>
      </c>
      <c r="L17" s="56">
        <v>10948453</v>
      </c>
      <c r="M17" s="56"/>
      <c r="N17" s="56">
        <v>12229034</v>
      </c>
      <c r="O17" s="56"/>
      <c r="P17" s="56">
        <v>12229034</v>
      </c>
      <c r="Q17" s="56"/>
      <c r="R17" s="56">
        <v>10322506</v>
      </c>
      <c r="S17" s="56"/>
      <c r="T17" s="56">
        <v>0</v>
      </c>
      <c r="U17" s="56"/>
      <c r="V17" s="56">
        <v>10322506</v>
      </c>
      <c r="W17" s="56"/>
      <c r="X17" s="56">
        <f>10171372.44+80</f>
        <v>10171452.439999999</v>
      </c>
      <c r="Y17" s="56"/>
      <c r="Z17" s="56">
        <v>10241667</v>
      </c>
      <c r="AA17" s="56"/>
      <c r="AB17" s="56">
        <v>0</v>
      </c>
      <c r="AC17" s="56"/>
      <c r="AD17" s="56"/>
      <c r="AE17" s="56"/>
      <c r="AF17" s="56">
        <f t="shared" si="1"/>
        <v>10241667</v>
      </c>
      <c r="AG17" s="104">
        <v>-851785</v>
      </c>
      <c r="AH17" s="56">
        <v>240000</v>
      </c>
      <c r="AI17" s="56"/>
      <c r="AJ17" s="56">
        <f t="shared" si="2"/>
        <v>9629882</v>
      </c>
      <c r="AK17" s="85"/>
      <c r="AL17" s="56">
        <v>0</v>
      </c>
      <c r="AM17" s="56"/>
      <c r="AN17" s="88">
        <v>9876151.0299999993</v>
      </c>
      <c r="AO17" s="88">
        <v>0</v>
      </c>
      <c r="AP17" s="88">
        <f>14868631.68+1437.5</f>
        <v>14870069.18</v>
      </c>
      <c r="AQ17" s="56"/>
      <c r="AR17" s="56">
        <v>0</v>
      </c>
      <c r="AS17" s="56"/>
      <c r="AT17" s="56">
        <v>0</v>
      </c>
      <c r="AU17" s="56"/>
      <c r="AV17" s="56">
        <f t="shared" si="3"/>
        <v>14870069.18</v>
      </c>
      <c r="AW17" s="56"/>
      <c r="AX17" s="106">
        <v>5580362</v>
      </c>
      <c r="AY17" s="56"/>
      <c r="AZ17" s="88">
        <v>14122560</v>
      </c>
      <c r="BA17" s="56">
        <v>13960856</v>
      </c>
      <c r="BB17" s="214"/>
      <c r="BC17" s="56"/>
      <c r="BD17" s="84">
        <f t="shared" si="4"/>
        <v>4993918.1500000004</v>
      </c>
      <c r="BE17" s="56"/>
      <c r="BF17" s="56"/>
      <c r="BG17" s="56"/>
      <c r="BH17" s="72">
        <v>1</v>
      </c>
      <c r="BJ17">
        <v>1</v>
      </c>
    </row>
    <row r="18" spans="1:62" ht="20.100000000000001" customHeight="1" outlineLevel="1">
      <c r="A18" s="77" t="s">
        <v>43</v>
      </c>
      <c r="B18" s="77" t="s">
        <v>594</v>
      </c>
      <c r="C18" s="77" t="s">
        <v>1088</v>
      </c>
      <c r="D18" s="78" t="s">
        <v>46</v>
      </c>
      <c r="E18" s="78" t="str">
        <f t="shared" si="0"/>
        <v>000</v>
      </c>
      <c r="F18" s="3">
        <v>611511</v>
      </c>
      <c r="G18" s="102" t="s">
        <v>602</v>
      </c>
      <c r="H18" s="87"/>
      <c r="I18" s="13">
        <v>4507936</v>
      </c>
      <c r="J18" s="13">
        <v>4351753</v>
      </c>
      <c r="L18" s="56">
        <v>5093973</v>
      </c>
      <c r="M18" s="56"/>
      <c r="N18" s="56">
        <v>4650378</v>
      </c>
      <c r="O18" s="56"/>
      <c r="P18" s="56">
        <v>4650378</v>
      </c>
      <c r="Q18" s="56"/>
      <c r="R18" s="56">
        <v>5999250</v>
      </c>
      <c r="S18" s="56"/>
      <c r="T18" s="56">
        <v>0</v>
      </c>
      <c r="U18" s="56"/>
      <c r="V18" s="56">
        <v>5999250</v>
      </c>
      <c r="W18" s="56"/>
      <c r="X18" s="56">
        <v>5970250.3700000001</v>
      </c>
      <c r="Y18" s="56"/>
      <c r="Z18" s="56">
        <v>5480000</v>
      </c>
      <c r="AA18" s="56"/>
      <c r="AB18" s="56">
        <v>0</v>
      </c>
      <c r="AC18" s="56"/>
      <c r="AD18" s="56"/>
      <c r="AE18" s="56"/>
      <c r="AF18" s="56">
        <f t="shared" si="1"/>
        <v>5480000</v>
      </c>
      <c r="AG18" s="104">
        <v>-30000</v>
      </c>
      <c r="AH18" s="56">
        <v>832500</v>
      </c>
      <c r="AI18" s="56"/>
      <c r="AJ18" s="56">
        <f t="shared" si="2"/>
        <v>6282500</v>
      </c>
      <c r="AK18" s="85"/>
      <c r="AL18" s="56">
        <v>0</v>
      </c>
      <c r="AM18" s="56"/>
      <c r="AN18" s="88">
        <f>5026496.13+1229007</f>
        <v>6255503.1299999999</v>
      </c>
      <c r="AO18" s="88">
        <v>0</v>
      </c>
      <c r="AP18" s="88">
        <v>5450105.3399999999</v>
      </c>
      <c r="AQ18" s="56"/>
      <c r="AR18" s="56">
        <v>0</v>
      </c>
      <c r="AS18" s="56"/>
      <c r="AT18" s="56">
        <v>0</v>
      </c>
      <c r="AU18" s="56"/>
      <c r="AV18" s="56">
        <f t="shared" si="3"/>
        <v>5450105.3399999999</v>
      </c>
      <c r="AW18" s="56"/>
      <c r="AX18" s="106">
        <v>272500</v>
      </c>
      <c r="AY18" s="56"/>
      <c r="AZ18" s="88">
        <v>5054800</v>
      </c>
      <c r="BA18" s="56">
        <v>5124000</v>
      </c>
      <c r="BB18" s="214"/>
      <c r="BC18" s="56"/>
      <c r="BD18" s="84">
        <f t="shared" si="4"/>
        <v>-805397.79</v>
      </c>
      <c r="BE18" s="56"/>
      <c r="BF18" s="56"/>
      <c r="BG18" s="56"/>
      <c r="BH18" s="72">
        <v>1</v>
      </c>
      <c r="BJ18">
        <v>1</v>
      </c>
    </row>
    <row r="19" spans="1:62" ht="20.100000000000001" customHeight="1" outlineLevel="1">
      <c r="A19" s="77" t="s">
        <v>43</v>
      </c>
      <c r="B19" s="77" t="s">
        <v>596</v>
      </c>
      <c r="C19" s="77" t="s">
        <v>1088</v>
      </c>
      <c r="D19" s="78" t="s">
        <v>46</v>
      </c>
      <c r="E19" s="78" t="str">
        <f t="shared" si="0"/>
        <v>000</v>
      </c>
      <c r="F19" s="79">
        <v>611211</v>
      </c>
      <c r="G19" s="102" t="s">
        <v>597</v>
      </c>
      <c r="H19" s="87"/>
      <c r="I19" s="87">
        <v>0</v>
      </c>
      <c r="J19" s="87">
        <v>0</v>
      </c>
      <c r="L19" s="56">
        <v>67603</v>
      </c>
      <c r="M19" s="56"/>
      <c r="N19" s="56">
        <v>114156</v>
      </c>
      <c r="O19" s="56"/>
      <c r="P19" s="56">
        <v>114156</v>
      </c>
      <c r="Q19" s="56"/>
      <c r="R19" s="56">
        <v>96395</v>
      </c>
      <c r="S19" s="56"/>
      <c r="T19" s="56">
        <v>0</v>
      </c>
      <c r="U19" s="56"/>
      <c r="V19" s="56">
        <v>96395</v>
      </c>
      <c r="W19" s="56"/>
      <c r="X19" s="56">
        <v>96395.05</v>
      </c>
      <c r="Y19" s="56"/>
      <c r="Z19" s="56">
        <v>117500</v>
      </c>
      <c r="AA19" s="56"/>
      <c r="AB19" s="56">
        <v>0</v>
      </c>
      <c r="AC19" s="56"/>
      <c r="AD19" s="56"/>
      <c r="AE19" s="56"/>
      <c r="AF19" s="56">
        <f t="shared" si="1"/>
        <v>117500</v>
      </c>
      <c r="AG19" s="104">
        <v>-21601</v>
      </c>
      <c r="AH19" s="56">
        <v>2500</v>
      </c>
      <c r="AI19" s="56"/>
      <c r="AJ19" s="56">
        <f t="shared" si="2"/>
        <v>98399</v>
      </c>
      <c r="AK19" s="85"/>
      <c r="AL19" s="56">
        <v>0</v>
      </c>
      <c r="AM19" s="56"/>
      <c r="AN19" s="88">
        <v>193149.85</v>
      </c>
      <c r="AO19" s="88">
        <v>0</v>
      </c>
      <c r="AP19" s="88">
        <v>1072895.4099999999</v>
      </c>
      <c r="AQ19" s="56"/>
      <c r="AR19" s="56">
        <v>0</v>
      </c>
      <c r="AS19" s="56"/>
      <c r="AT19" s="56">
        <v>0</v>
      </c>
      <c r="AU19" s="56"/>
      <c r="AV19" s="56">
        <f t="shared" si="3"/>
        <v>1072895.4099999999</v>
      </c>
      <c r="AW19" s="56"/>
      <c r="AX19" s="106">
        <v>933685</v>
      </c>
      <c r="AY19" s="56"/>
      <c r="AZ19" s="88">
        <v>1052185</v>
      </c>
      <c r="BA19" s="56">
        <v>1700778</v>
      </c>
      <c r="BB19" s="214"/>
      <c r="BC19" s="56"/>
      <c r="BD19" s="84">
        <f t="shared" si="4"/>
        <v>879745.55999999994</v>
      </c>
      <c r="BE19" s="56"/>
      <c r="BF19" s="56"/>
      <c r="BG19" s="56"/>
      <c r="BH19" s="72">
        <v>1</v>
      </c>
      <c r="BJ19">
        <v>1</v>
      </c>
    </row>
    <row r="20" spans="1:62" ht="20.100000000000001" customHeight="1" outlineLevel="1">
      <c r="A20" s="77" t="s">
        <v>43</v>
      </c>
      <c r="B20" s="77" t="s">
        <v>612</v>
      </c>
      <c r="C20" s="77" t="s">
        <v>1088</v>
      </c>
      <c r="D20" s="78" t="s">
        <v>46</v>
      </c>
      <c r="E20" s="78" t="str">
        <f t="shared" si="0"/>
        <v>000</v>
      </c>
      <c r="F20" s="3">
        <v>611211</v>
      </c>
      <c r="G20" s="102" t="s">
        <v>1090</v>
      </c>
      <c r="H20" s="87"/>
      <c r="I20" s="13"/>
      <c r="J20" s="13"/>
      <c r="L20" s="56"/>
      <c r="M20" s="56"/>
      <c r="N20" s="56"/>
      <c r="O20" s="56"/>
      <c r="P20" s="56"/>
      <c r="Q20" s="56"/>
      <c r="R20" s="56"/>
      <c r="S20" s="56"/>
      <c r="T20" s="56"/>
      <c r="U20" s="56"/>
      <c r="V20" s="56"/>
      <c r="W20" s="56"/>
      <c r="X20" s="56">
        <v>0</v>
      </c>
      <c r="Y20" s="56"/>
      <c r="Z20" s="56"/>
      <c r="AA20" s="56"/>
      <c r="AB20" s="56"/>
      <c r="AC20" s="56"/>
      <c r="AD20" s="56"/>
      <c r="AE20" s="56"/>
      <c r="AF20" s="56"/>
      <c r="AG20" s="56"/>
      <c r="AH20" s="56"/>
      <c r="AI20" s="56"/>
      <c r="AJ20" s="56"/>
      <c r="AK20" s="85"/>
      <c r="AL20" s="56"/>
      <c r="AM20" s="56"/>
      <c r="AN20" s="88">
        <v>12003.24</v>
      </c>
      <c r="AO20" s="88"/>
      <c r="AP20" s="88">
        <v>48363</v>
      </c>
      <c r="AQ20" s="56"/>
      <c r="AR20" s="56"/>
      <c r="AS20" s="56"/>
      <c r="AT20" s="56"/>
      <c r="AU20" s="56"/>
      <c r="AV20" s="56"/>
      <c r="AW20" s="56"/>
      <c r="AX20" s="106">
        <v>48363</v>
      </c>
      <c r="AY20" s="56"/>
      <c r="AZ20" s="88">
        <v>48363</v>
      </c>
      <c r="BA20" s="56">
        <v>48713</v>
      </c>
      <c r="BB20" s="214"/>
      <c r="BC20" s="56"/>
      <c r="BD20" s="84"/>
      <c r="BE20" s="56"/>
      <c r="BF20" s="56"/>
      <c r="BG20" s="56"/>
      <c r="BH20" s="72"/>
    </row>
    <row r="21" spans="1:62" ht="20.100000000000001" customHeight="1" outlineLevel="1">
      <c r="A21" s="77" t="s">
        <v>43</v>
      </c>
      <c r="B21" s="77" t="s">
        <v>603</v>
      </c>
      <c r="C21" s="77" t="s">
        <v>1088</v>
      </c>
      <c r="D21" s="78" t="s">
        <v>46</v>
      </c>
      <c r="E21" s="78" t="str">
        <f t="shared" si="0"/>
        <v>000</v>
      </c>
      <c r="F21" s="3">
        <v>611211</v>
      </c>
      <c r="G21" s="102" t="s">
        <v>604</v>
      </c>
      <c r="H21" s="87"/>
      <c r="I21" s="13">
        <v>0</v>
      </c>
      <c r="J21" s="13">
        <v>391859</v>
      </c>
      <c r="L21" s="56">
        <v>535870</v>
      </c>
      <c r="M21" s="56"/>
      <c r="N21" s="56">
        <v>547790</v>
      </c>
      <c r="O21" s="56"/>
      <c r="P21" s="56">
        <v>547790</v>
      </c>
      <c r="Q21" s="56"/>
      <c r="R21" s="56">
        <v>598384</v>
      </c>
      <c r="S21" s="56"/>
      <c r="T21" s="56">
        <v>0</v>
      </c>
      <c r="U21" s="56"/>
      <c r="V21" s="56">
        <v>598384</v>
      </c>
      <c r="W21" s="56"/>
      <c r="X21" s="56">
        <v>598563.43999999994</v>
      </c>
      <c r="Y21" s="56"/>
      <c r="Z21" s="56">
        <v>593731</v>
      </c>
      <c r="AA21" s="56"/>
      <c r="AB21" s="56">
        <v>0</v>
      </c>
      <c r="AC21" s="56"/>
      <c r="AD21" s="56"/>
      <c r="AE21" s="56"/>
      <c r="AF21" s="56">
        <f>SUM(Z21:AE21)</f>
        <v>593731</v>
      </c>
      <c r="AG21" s="104">
        <v>-85000</v>
      </c>
      <c r="AH21" s="56">
        <v>12500</v>
      </c>
      <c r="AI21" s="56"/>
      <c r="AJ21" s="56">
        <f>SUM(AE21:AI21)</f>
        <v>521231</v>
      </c>
      <c r="AK21" s="85"/>
      <c r="AL21" s="56">
        <v>0</v>
      </c>
      <c r="AM21" s="56"/>
      <c r="AN21" s="88">
        <v>533642.69999999995</v>
      </c>
      <c r="AO21" s="88">
        <v>0</v>
      </c>
      <c r="AP21" s="88">
        <v>632672.18000000005</v>
      </c>
      <c r="AQ21" s="56"/>
      <c r="AR21" s="56">
        <v>0</v>
      </c>
      <c r="AS21" s="56"/>
      <c r="AT21" s="56">
        <v>0</v>
      </c>
      <c r="AU21" s="56"/>
      <c r="AV21" s="56">
        <f>SUM(AP21:AU21)</f>
        <v>632672.18000000005</v>
      </c>
      <c r="AW21" s="56"/>
      <c r="AX21" s="106">
        <v>104780</v>
      </c>
      <c r="AY21" s="56"/>
      <c r="AZ21" s="88">
        <v>616994</v>
      </c>
      <c r="BA21" s="56">
        <v>630000</v>
      </c>
      <c r="BB21" s="214"/>
      <c r="BC21" s="56"/>
      <c r="BD21" s="84">
        <f>+AP21-AN21</f>
        <v>99029.480000000098</v>
      </c>
      <c r="BE21" s="56"/>
      <c r="BF21" s="56"/>
      <c r="BG21" s="56"/>
      <c r="BH21" s="72">
        <v>1</v>
      </c>
      <c r="BJ21">
        <v>1</v>
      </c>
    </row>
    <row r="22" spans="1:62" ht="20.100000000000001" customHeight="1" outlineLevel="1">
      <c r="A22" s="77" t="s">
        <v>43</v>
      </c>
      <c r="B22" s="77" t="s">
        <v>598</v>
      </c>
      <c r="C22" s="77" t="s">
        <v>1088</v>
      </c>
      <c r="D22" s="78" t="s">
        <v>46</v>
      </c>
      <c r="E22" s="78" t="str">
        <f t="shared" si="0"/>
        <v>000</v>
      </c>
      <c r="F22" s="79">
        <v>611211</v>
      </c>
      <c r="G22" s="102" t="s">
        <v>599</v>
      </c>
      <c r="H22" s="87"/>
      <c r="I22" s="87">
        <v>0</v>
      </c>
      <c r="J22" s="87">
        <v>0</v>
      </c>
      <c r="L22" s="56">
        <v>215147</v>
      </c>
      <c r="M22" s="56"/>
      <c r="N22" s="56">
        <v>224485</v>
      </c>
      <c r="O22" s="56"/>
      <c r="P22" s="56">
        <v>224485</v>
      </c>
      <c r="Q22" s="56"/>
      <c r="R22" s="56">
        <v>134089</v>
      </c>
      <c r="S22" s="56"/>
      <c r="T22" s="56">
        <v>0</v>
      </c>
      <c r="U22" s="56"/>
      <c r="V22" s="56">
        <v>134089</v>
      </c>
      <c r="W22" s="56"/>
      <c r="X22" s="56">
        <v>131269.17000000001</v>
      </c>
      <c r="Y22" s="56"/>
      <c r="Z22" s="56">
        <v>133958</v>
      </c>
      <c r="AA22" s="56"/>
      <c r="AB22" s="56">
        <v>0</v>
      </c>
      <c r="AC22" s="56"/>
      <c r="AD22" s="56"/>
      <c r="AE22" s="56"/>
      <c r="AF22" s="56">
        <f>SUM(Z22:AE22)</f>
        <v>133958</v>
      </c>
      <c r="AG22" s="104">
        <v>0</v>
      </c>
      <c r="AH22" s="56">
        <v>3750</v>
      </c>
      <c r="AI22" s="56"/>
      <c r="AJ22" s="56">
        <f>SUM(AE22:AI22)</f>
        <v>137708</v>
      </c>
      <c r="AK22" s="85"/>
      <c r="AL22" s="56">
        <v>0</v>
      </c>
      <c r="AM22" s="56"/>
      <c r="AN22" s="88">
        <v>188077.27</v>
      </c>
      <c r="AO22" s="88">
        <v>0</v>
      </c>
      <c r="AP22" s="88">
        <v>333109.92</v>
      </c>
      <c r="AQ22" s="56"/>
      <c r="AR22" s="56">
        <v>0</v>
      </c>
      <c r="AS22" s="56"/>
      <c r="AT22" s="56">
        <v>0</v>
      </c>
      <c r="AU22" s="56"/>
      <c r="AV22" s="56">
        <f>SUM(AP22:AU22)</f>
        <v>333109.92</v>
      </c>
      <c r="AW22" s="56"/>
      <c r="AX22" s="106">
        <v>226962</v>
      </c>
      <c r="AY22" s="56"/>
      <c r="AZ22" s="88">
        <v>362418</v>
      </c>
      <c r="BA22" s="56">
        <v>331277</v>
      </c>
      <c r="BB22" s="214"/>
      <c r="BC22" s="56"/>
      <c r="BD22" s="84">
        <f>+AP22-AN22</f>
        <v>145032.65</v>
      </c>
      <c r="BE22" s="56"/>
      <c r="BF22" s="56"/>
      <c r="BG22" s="56"/>
      <c r="BH22" s="72">
        <v>1</v>
      </c>
      <c r="BJ22">
        <v>1</v>
      </c>
    </row>
    <row r="23" spans="1:62" ht="20.100000000000001" customHeight="1" outlineLevel="1">
      <c r="A23" s="77" t="s">
        <v>43</v>
      </c>
      <c r="B23" s="77" t="s">
        <v>605</v>
      </c>
      <c r="C23" s="77" t="s">
        <v>1088</v>
      </c>
      <c r="D23" s="78" t="s">
        <v>46</v>
      </c>
      <c r="E23" s="78" t="str">
        <f t="shared" si="0"/>
        <v>000</v>
      </c>
      <c r="F23" s="3">
        <v>611211</v>
      </c>
      <c r="G23" s="102" t="s">
        <v>606</v>
      </c>
      <c r="H23" s="87"/>
      <c r="I23" s="13"/>
      <c r="J23" s="13"/>
      <c r="L23" s="56"/>
      <c r="M23" s="56"/>
      <c r="N23" s="56"/>
      <c r="O23" s="56"/>
      <c r="P23" s="56"/>
      <c r="Q23" s="56"/>
      <c r="R23" s="56"/>
      <c r="S23" s="56"/>
      <c r="T23" s="56"/>
      <c r="U23" s="56"/>
      <c r="V23" s="56"/>
      <c r="W23" s="56"/>
      <c r="X23" s="56">
        <v>0</v>
      </c>
      <c r="Y23" s="56"/>
      <c r="Z23" s="56"/>
      <c r="AA23" s="56"/>
      <c r="AB23" s="56"/>
      <c r="AC23" s="56"/>
      <c r="AD23" s="56"/>
      <c r="AE23" s="56"/>
      <c r="AF23" s="56"/>
      <c r="AG23" s="104"/>
      <c r="AH23" s="56"/>
      <c r="AI23" s="56"/>
      <c r="AJ23" s="56"/>
      <c r="AK23" s="85"/>
      <c r="AL23" s="56"/>
      <c r="AM23" s="56"/>
      <c r="AN23" s="88">
        <v>466782.05</v>
      </c>
      <c r="AO23" s="88"/>
      <c r="AP23" s="88">
        <v>2144274.94</v>
      </c>
      <c r="AQ23" s="56"/>
      <c r="AR23" s="56"/>
      <c r="AS23" s="56"/>
      <c r="AT23" s="56"/>
      <c r="AU23" s="56"/>
      <c r="AV23" s="56"/>
      <c r="AW23" s="56"/>
      <c r="AX23" s="106">
        <v>2201168</v>
      </c>
      <c r="AY23" s="56"/>
      <c r="AZ23" s="88">
        <v>2201168</v>
      </c>
      <c r="BA23" s="56">
        <v>2050000</v>
      </c>
      <c r="BB23" s="214"/>
      <c r="BC23" s="56"/>
      <c r="BD23" s="84"/>
      <c r="BE23" s="56"/>
      <c r="BF23" s="56"/>
      <c r="BG23" s="56"/>
      <c r="BH23" s="72"/>
    </row>
    <row r="24" spans="1:62" ht="20.100000000000001" customHeight="1" outlineLevel="1">
      <c r="A24" s="77" t="s">
        <v>43</v>
      </c>
      <c r="B24" s="77" t="s">
        <v>600</v>
      </c>
      <c r="C24" s="77" t="s">
        <v>1088</v>
      </c>
      <c r="D24" s="78" t="s">
        <v>46</v>
      </c>
      <c r="E24" s="78" t="str">
        <f t="shared" si="0"/>
        <v>000</v>
      </c>
      <c r="F24" s="79">
        <v>611211</v>
      </c>
      <c r="G24" s="102" t="s">
        <v>601</v>
      </c>
      <c r="H24" s="87"/>
      <c r="I24" s="87">
        <v>0</v>
      </c>
      <c r="J24" s="87">
        <v>0</v>
      </c>
      <c r="L24" s="56">
        <v>832659</v>
      </c>
      <c r="M24" s="56"/>
      <c r="N24" s="56">
        <v>884486</v>
      </c>
      <c r="O24" s="56"/>
      <c r="P24" s="56">
        <v>884486</v>
      </c>
      <c r="Q24" s="56"/>
      <c r="R24" s="56">
        <v>817335</v>
      </c>
      <c r="S24" s="56"/>
      <c r="T24" s="56">
        <v>0</v>
      </c>
      <c r="U24" s="56"/>
      <c r="V24" s="56">
        <v>817335</v>
      </c>
      <c r="W24" s="56"/>
      <c r="X24" s="56">
        <v>786432.3</v>
      </c>
      <c r="Y24" s="56"/>
      <c r="Z24" s="56">
        <v>811008</v>
      </c>
      <c r="AA24" s="56"/>
      <c r="AB24" s="56">
        <v>0</v>
      </c>
      <c r="AC24" s="56"/>
      <c r="AD24" s="56"/>
      <c r="AE24" s="56"/>
      <c r="AF24" s="56">
        <f>SUM(Z24:AE24)</f>
        <v>811008</v>
      </c>
      <c r="AG24" s="104">
        <v>-98000</v>
      </c>
      <c r="AH24" s="56">
        <v>20000</v>
      </c>
      <c r="AI24" s="56"/>
      <c r="AJ24" s="56">
        <f>SUM(AE24:AI24)</f>
        <v>733008</v>
      </c>
      <c r="AK24" s="85"/>
      <c r="AL24" s="56">
        <v>0</v>
      </c>
      <c r="AM24" s="56"/>
      <c r="AN24" s="88">
        <v>772104.76</v>
      </c>
      <c r="AO24" s="88">
        <v>0</v>
      </c>
      <c r="AP24" s="88">
        <v>0</v>
      </c>
      <c r="AQ24" s="56"/>
      <c r="AR24" s="56">
        <v>0</v>
      </c>
      <c r="AS24" s="56"/>
      <c r="AT24" s="56">
        <v>0</v>
      </c>
      <c r="AU24" s="56"/>
      <c r="AV24" s="56">
        <f>SUM(AP24:AU24)</f>
        <v>0</v>
      </c>
      <c r="AW24" s="56"/>
      <c r="AX24" s="106">
        <v>-713865</v>
      </c>
      <c r="AY24" s="56"/>
      <c r="AZ24" s="88">
        <v>0</v>
      </c>
      <c r="BA24" s="56">
        <v>0</v>
      </c>
      <c r="BB24" s="214"/>
      <c r="BC24" s="56"/>
      <c r="BD24" s="84">
        <f t="shared" ref="BD24:BD41" si="5">+AP24-AN24</f>
        <v>-772104.76</v>
      </c>
      <c r="BE24" s="56"/>
      <c r="BF24" s="56"/>
      <c r="BG24" s="56"/>
      <c r="BH24" s="72">
        <v>1</v>
      </c>
      <c r="BJ24">
        <v>1</v>
      </c>
    </row>
    <row r="25" spans="1:62" ht="20.100000000000001" customHeight="1" outlineLevel="1">
      <c r="A25" s="77" t="s">
        <v>43</v>
      </c>
      <c r="B25" s="77" t="s">
        <v>613</v>
      </c>
      <c r="C25" s="77" t="s">
        <v>1088</v>
      </c>
      <c r="D25" s="78" t="s">
        <v>46</v>
      </c>
      <c r="E25" s="78" t="str">
        <f t="shared" si="0"/>
        <v>000</v>
      </c>
      <c r="F25" s="3">
        <v>611312</v>
      </c>
      <c r="G25" s="102" t="s">
        <v>614</v>
      </c>
      <c r="H25" s="87"/>
      <c r="I25" s="13">
        <v>0</v>
      </c>
      <c r="J25" s="13">
        <v>0</v>
      </c>
      <c r="L25" s="56">
        <v>42278</v>
      </c>
      <c r="M25" s="56"/>
      <c r="N25" s="56">
        <v>44298</v>
      </c>
      <c r="O25" s="56"/>
      <c r="P25" s="56">
        <v>44298</v>
      </c>
      <c r="Q25" s="56"/>
      <c r="R25" s="56">
        <v>208613</v>
      </c>
      <c r="S25" s="56"/>
      <c r="T25" s="56">
        <v>0</v>
      </c>
      <c r="U25" s="56"/>
      <c r="V25" s="56">
        <v>208613</v>
      </c>
      <c r="W25" s="56"/>
      <c r="X25" s="56">
        <v>213245.02</v>
      </c>
      <c r="Y25" s="56"/>
      <c r="Z25" s="56">
        <v>223320</v>
      </c>
      <c r="AA25" s="56"/>
      <c r="AB25" s="56">
        <v>0</v>
      </c>
      <c r="AC25" s="56"/>
      <c r="AD25" s="56"/>
      <c r="AE25" s="56"/>
      <c r="AF25" s="56">
        <f>SUM(Z25:AE25)</f>
        <v>223320</v>
      </c>
      <c r="AG25" s="104">
        <v>-84900</v>
      </c>
      <c r="AH25" s="56">
        <v>3750</v>
      </c>
      <c r="AI25" s="56"/>
      <c r="AJ25" s="56">
        <f>SUM(AE25:AI25)</f>
        <v>142170</v>
      </c>
      <c r="AK25" s="85"/>
      <c r="AL25" s="56">
        <v>0</v>
      </c>
      <c r="AM25" s="56"/>
      <c r="AN25" s="88">
        <v>111295.49</v>
      </c>
      <c r="AO25" s="88">
        <v>0</v>
      </c>
      <c r="AP25" s="88">
        <v>0</v>
      </c>
      <c r="AQ25" s="56"/>
      <c r="AR25" s="56">
        <v>0</v>
      </c>
      <c r="AS25" s="56"/>
      <c r="AT25" s="56">
        <v>0</v>
      </c>
      <c r="AU25" s="56"/>
      <c r="AV25" s="56">
        <f>SUM(AP25:AU25)</f>
        <v>0</v>
      </c>
      <c r="AW25" s="56"/>
      <c r="AX25" s="106">
        <v>-138538</v>
      </c>
      <c r="AY25" s="56"/>
      <c r="AZ25" s="88">
        <v>0</v>
      </c>
      <c r="BA25" s="56">
        <v>0</v>
      </c>
      <c r="BB25" s="214"/>
      <c r="BC25" s="56"/>
      <c r="BD25" s="84">
        <f t="shared" si="5"/>
        <v>-111295.49</v>
      </c>
      <c r="BE25" s="56"/>
      <c r="BF25" s="56"/>
      <c r="BG25" s="56"/>
      <c r="BH25" s="72">
        <v>1</v>
      </c>
      <c r="BJ25">
        <v>1</v>
      </c>
    </row>
    <row r="26" spans="1:62" ht="20.100000000000001" customHeight="1" outlineLevel="1">
      <c r="A26" s="77" t="s">
        <v>43</v>
      </c>
      <c r="B26" s="77" t="s">
        <v>615</v>
      </c>
      <c r="C26" s="77" t="s">
        <v>1088</v>
      </c>
      <c r="D26" s="78" t="s">
        <v>46</v>
      </c>
      <c r="E26" s="78" t="str">
        <f t="shared" si="0"/>
        <v>000</v>
      </c>
      <c r="F26" s="3">
        <v>611312</v>
      </c>
      <c r="G26" s="102" t="s">
        <v>616</v>
      </c>
      <c r="H26" s="87"/>
      <c r="I26" s="13">
        <v>0</v>
      </c>
      <c r="J26" s="13">
        <v>0</v>
      </c>
      <c r="L26" s="56">
        <v>80659</v>
      </c>
      <c r="M26" s="56"/>
      <c r="N26" s="56">
        <v>99873</v>
      </c>
      <c r="O26" s="56"/>
      <c r="P26" s="56">
        <v>99873</v>
      </c>
      <c r="Q26" s="56"/>
      <c r="R26" s="56">
        <v>103273</v>
      </c>
      <c r="S26" s="56"/>
      <c r="T26" s="56">
        <v>0</v>
      </c>
      <c r="U26" s="56"/>
      <c r="V26" s="56">
        <v>103273</v>
      </c>
      <c r="W26" s="56"/>
      <c r="X26" s="56">
        <v>92331.7</v>
      </c>
      <c r="Y26" s="56"/>
      <c r="Z26" s="56">
        <v>107529</v>
      </c>
      <c r="AA26" s="56"/>
      <c r="AB26" s="56">
        <v>0</v>
      </c>
      <c r="AC26" s="56"/>
      <c r="AD26" s="56"/>
      <c r="AE26" s="56"/>
      <c r="AF26" s="56">
        <f>SUM(Z26:AE26)</f>
        <v>107529</v>
      </c>
      <c r="AG26" s="104">
        <v>-11500</v>
      </c>
      <c r="AH26" s="56">
        <v>2500</v>
      </c>
      <c r="AI26" s="56"/>
      <c r="AJ26" s="56">
        <f>SUM(AE26:AI26)</f>
        <v>98529</v>
      </c>
      <c r="AK26" s="85"/>
      <c r="AL26" s="56">
        <v>0</v>
      </c>
      <c r="AM26" s="56"/>
      <c r="AN26" s="88">
        <f>94601.85+259582</f>
        <v>354183.85</v>
      </c>
      <c r="AO26" s="88">
        <v>0</v>
      </c>
      <c r="AP26" s="88">
        <v>122560.41</v>
      </c>
      <c r="AQ26" s="56"/>
      <c r="AR26" s="56">
        <v>0</v>
      </c>
      <c r="AS26" s="56"/>
      <c r="AT26" s="56">
        <v>0</v>
      </c>
      <c r="AU26" s="56"/>
      <c r="AV26" s="56">
        <f>SUM(AP26:AU26)</f>
        <v>122560.41</v>
      </c>
      <c r="AW26" s="56"/>
      <c r="AX26" s="106">
        <v>48092</v>
      </c>
      <c r="AY26" s="56"/>
      <c r="AZ26" s="88">
        <v>135862</v>
      </c>
      <c r="BA26" s="56">
        <v>97346</v>
      </c>
      <c r="BB26" s="214"/>
      <c r="BC26" s="56"/>
      <c r="BD26" s="84">
        <f t="shared" si="5"/>
        <v>-231623.43999999997</v>
      </c>
      <c r="BE26" s="56"/>
      <c r="BF26" s="56"/>
      <c r="BG26" s="56"/>
      <c r="BH26" s="72">
        <v>1</v>
      </c>
      <c r="BJ26">
        <v>1</v>
      </c>
    </row>
    <row r="27" spans="1:62" ht="20.100000000000001" customHeight="1" outlineLevel="1">
      <c r="A27" s="77" t="s">
        <v>43</v>
      </c>
      <c r="B27" s="77" t="s">
        <v>617</v>
      </c>
      <c r="C27" s="77" t="s">
        <v>1088</v>
      </c>
      <c r="D27" s="78" t="s">
        <v>46</v>
      </c>
      <c r="E27" s="78" t="str">
        <f t="shared" si="0"/>
        <v>000</v>
      </c>
      <c r="F27" s="3">
        <v>611917</v>
      </c>
      <c r="G27" s="102" t="s">
        <v>618</v>
      </c>
      <c r="H27" s="87"/>
      <c r="I27" s="13"/>
      <c r="J27" s="13"/>
      <c r="L27" s="56"/>
      <c r="M27" s="56"/>
      <c r="N27" s="56"/>
      <c r="O27" s="56"/>
      <c r="P27" s="56"/>
      <c r="Q27" s="56"/>
      <c r="R27" s="56"/>
      <c r="S27" s="56"/>
      <c r="T27" s="56"/>
      <c r="U27" s="56"/>
      <c r="V27" s="56"/>
      <c r="W27" s="56"/>
      <c r="X27" s="56">
        <v>0</v>
      </c>
      <c r="Y27" s="56"/>
      <c r="Z27" s="56"/>
      <c r="AA27" s="56"/>
      <c r="AB27" s="56"/>
      <c r="AC27" s="56"/>
      <c r="AD27" s="56"/>
      <c r="AE27" s="56"/>
      <c r="AF27" s="56"/>
      <c r="AG27" s="104"/>
      <c r="AH27" s="56"/>
      <c r="AI27" s="56"/>
      <c r="AJ27" s="56"/>
      <c r="AK27" s="85"/>
      <c r="AL27" s="56"/>
      <c r="AM27" s="56"/>
      <c r="AN27" s="88">
        <v>26104.62</v>
      </c>
      <c r="AO27" s="88"/>
      <c r="AP27" s="88">
        <v>165778.88</v>
      </c>
      <c r="AQ27" s="56"/>
      <c r="AR27" s="56"/>
      <c r="AS27" s="56"/>
      <c r="AT27" s="56"/>
      <c r="AU27" s="56"/>
      <c r="AV27" s="56"/>
      <c r="AW27" s="56"/>
      <c r="AX27" s="106">
        <v>173203</v>
      </c>
      <c r="AY27" s="56"/>
      <c r="AZ27" s="88">
        <v>173203</v>
      </c>
      <c r="BA27" s="56">
        <v>123790</v>
      </c>
      <c r="BB27" s="214"/>
      <c r="BC27" s="56"/>
      <c r="BD27" s="84">
        <f t="shared" si="5"/>
        <v>139674.26</v>
      </c>
      <c r="BE27" s="56"/>
      <c r="BF27" s="56"/>
      <c r="BG27" s="56"/>
      <c r="BH27" s="72"/>
    </row>
    <row r="28" spans="1:62" ht="20.100000000000001" customHeight="1" outlineLevel="1">
      <c r="A28" s="77" t="s">
        <v>43</v>
      </c>
      <c r="B28" s="77" t="s">
        <v>621</v>
      </c>
      <c r="C28" s="77" t="s">
        <v>1088</v>
      </c>
      <c r="D28" s="78" t="s">
        <v>46</v>
      </c>
      <c r="E28" s="78" t="str">
        <f t="shared" si="0"/>
        <v>000</v>
      </c>
      <c r="F28" s="3">
        <v>611116</v>
      </c>
      <c r="G28" s="102" t="s">
        <v>622</v>
      </c>
      <c r="H28" s="87"/>
      <c r="I28" s="13">
        <v>68781</v>
      </c>
      <c r="J28" s="13">
        <v>82398</v>
      </c>
      <c r="L28" s="56">
        <v>74461</v>
      </c>
      <c r="M28" s="56"/>
      <c r="N28" s="56">
        <v>82439</v>
      </c>
      <c r="O28" s="56"/>
      <c r="P28" s="56">
        <v>82439</v>
      </c>
      <c r="Q28" s="56"/>
      <c r="R28" s="56">
        <v>84139</v>
      </c>
      <c r="S28" s="56"/>
      <c r="T28" s="56">
        <v>0</v>
      </c>
      <c r="U28" s="56"/>
      <c r="V28" s="56">
        <v>84139</v>
      </c>
      <c r="W28" s="56"/>
      <c r="X28" s="56">
        <v>84139</v>
      </c>
      <c r="Y28" s="56"/>
      <c r="Z28" s="56">
        <v>84003</v>
      </c>
      <c r="AA28" s="56"/>
      <c r="AB28" s="56">
        <v>0</v>
      </c>
      <c r="AC28" s="56"/>
      <c r="AD28" s="56"/>
      <c r="AE28" s="56"/>
      <c r="AF28" s="56">
        <f>SUM(Z28:AE28)</f>
        <v>84003</v>
      </c>
      <c r="AG28" s="56">
        <v>0</v>
      </c>
      <c r="AH28" s="56">
        <v>1250</v>
      </c>
      <c r="AI28" s="56"/>
      <c r="AJ28" s="56">
        <f>SUM(AE28:AI28)</f>
        <v>85253</v>
      </c>
      <c r="AK28" s="85"/>
      <c r="AL28" s="56">
        <v>0</v>
      </c>
      <c r="AM28" s="56"/>
      <c r="AN28" s="88">
        <v>85252.96</v>
      </c>
      <c r="AO28" s="88">
        <v>0</v>
      </c>
      <c r="AP28" s="88">
        <v>84003</v>
      </c>
      <c r="AQ28" s="56"/>
      <c r="AR28" s="56">
        <v>0</v>
      </c>
      <c r="AS28" s="56"/>
      <c r="AT28" s="56">
        <v>0</v>
      </c>
      <c r="AU28" s="56"/>
      <c r="AV28" s="56">
        <f t="shared" ref="AV28:AV40" si="6">SUM(AP28:AU28)</f>
        <v>84003</v>
      </c>
      <c r="AW28" s="56"/>
      <c r="AX28" s="56">
        <v>0</v>
      </c>
      <c r="AY28" s="56"/>
      <c r="AZ28" s="88">
        <v>84003</v>
      </c>
      <c r="BA28" s="56">
        <v>84003</v>
      </c>
      <c r="BB28" s="214"/>
      <c r="BC28" s="56"/>
      <c r="BD28" s="84">
        <f t="shared" si="5"/>
        <v>-1249.9600000000064</v>
      </c>
      <c r="BE28" s="56"/>
      <c r="BF28" s="56"/>
      <c r="BG28" s="56"/>
      <c r="BH28" s="72">
        <v>1</v>
      </c>
      <c r="BJ28">
        <v>1</v>
      </c>
    </row>
    <row r="29" spans="1:62" ht="20.100000000000001" customHeight="1" outlineLevel="1">
      <c r="A29" s="77" t="s">
        <v>43</v>
      </c>
      <c r="B29" s="77" t="s">
        <v>621</v>
      </c>
      <c r="C29" s="77" t="s">
        <v>1088</v>
      </c>
      <c r="D29" s="78" t="s">
        <v>46</v>
      </c>
      <c r="E29" s="78" t="str">
        <f t="shared" si="0"/>
        <v>000</v>
      </c>
      <c r="F29" s="3">
        <v>611117</v>
      </c>
      <c r="G29" s="102" t="s">
        <v>623</v>
      </c>
      <c r="H29" s="87"/>
      <c r="I29" s="13">
        <v>133333</v>
      </c>
      <c r="J29" s="13">
        <v>127364</v>
      </c>
      <c r="L29" s="56">
        <v>141098</v>
      </c>
      <c r="M29" s="56"/>
      <c r="N29" s="56">
        <v>142482</v>
      </c>
      <c r="O29" s="56"/>
      <c r="P29" s="56">
        <v>142482</v>
      </c>
      <c r="Q29" s="56"/>
      <c r="R29" s="56">
        <v>145882</v>
      </c>
      <c r="S29" s="56"/>
      <c r="T29" s="56">
        <v>0</v>
      </c>
      <c r="U29" s="56"/>
      <c r="V29" s="56">
        <v>145882</v>
      </c>
      <c r="W29" s="56"/>
      <c r="X29" s="56">
        <v>145881</v>
      </c>
      <c r="Y29" s="56"/>
      <c r="Z29" s="56">
        <v>146910</v>
      </c>
      <c r="AA29" s="56"/>
      <c r="AB29" s="56">
        <v>0</v>
      </c>
      <c r="AC29" s="56"/>
      <c r="AD29" s="56"/>
      <c r="AE29" s="56"/>
      <c r="AF29" s="56">
        <f>SUM(Z29:AE29)</f>
        <v>146910</v>
      </c>
      <c r="AG29" s="56">
        <v>0</v>
      </c>
      <c r="AH29" s="56">
        <v>2500</v>
      </c>
      <c r="AI29" s="56"/>
      <c r="AJ29" s="56">
        <f>SUM(AE29:AI29)</f>
        <v>149410</v>
      </c>
      <c r="AK29" s="85"/>
      <c r="AL29" s="56">
        <v>0</v>
      </c>
      <c r="AM29" s="56"/>
      <c r="AN29" s="88">
        <v>149409.96</v>
      </c>
      <c r="AO29" s="88">
        <v>0</v>
      </c>
      <c r="AP29" s="88">
        <v>148580</v>
      </c>
      <c r="AQ29" s="56"/>
      <c r="AR29" s="56">
        <v>0</v>
      </c>
      <c r="AS29" s="56"/>
      <c r="AT29" s="56">
        <v>0</v>
      </c>
      <c r="AU29" s="56"/>
      <c r="AV29" s="56">
        <f t="shared" si="6"/>
        <v>148580</v>
      </c>
      <c r="AW29" s="56"/>
      <c r="AX29" s="56">
        <v>0</v>
      </c>
      <c r="AY29" s="56"/>
      <c r="AZ29" s="88">
        <v>148580</v>
      </c>
      <c r="BA29" s="56">
        <v>150259</v>
      </c>
      <c r="BB29" s="214"/>
      <c r="BC29" s="56"/>
      <c r="BD29" s="84">
        <f t="shared" si="5"/>
        <v>-829.95999999999185</v>
      </c>
      <c r="BE29" s="56"/>
      <c r="BF29" s="56"/>
      <c r="BG29" s="56"/>
      <c r="BH29" s="72">
        <v>1</v>
      </c>
      <c r="BJ29">
        <v>1</v>
      </c>
    </row>
    <row r="30" spans="1:62" ht="20.100000000000001" customHeight="1" outlineLevel="1">
      <c r="A30" s="77" t="s">
        <v>43</v>
      </c>
      <c r="B30" s="77" t="s">
        <v>621</v>
      </c>
      <c r="C30" s="77" t="s">
        <v>1088</v>
      </c>
      <c r="D30" s="78" t="s">
        <v>46</v>
      </c>
      <c r="E30" s="78" t="str">
        <f t="shared" si="0"/>
        <v>000</v>
      </c>
      <c r="F30" s="3">
        <v>611411</v>
      </c>
      <c r="G30" s="102" t="s">
        <v>624</v>
      </c>
      <c r="H30" s="87"/>
      <c r="I30" s="13">
        <v>147958</v>
      </c>
      <c r="J30" s="13">
        <v>157905</v>
      </c>
      <c r="L30" s="56">
        <v>182698</v>
      </c>
      <c r="M30" s="56"/>
      <c r="N30" s="56">
        <v>169870</v>
      </c>
      <c r="O30" s="56"/>
      <c r="P30" s="56">
        <v>169870</v>
      </c>
      <c r="Q30" s="56"/>
      <c r="R30" s="56">
        <v>143500</v>
      </c>
      <c r="S30" s="56"/>
      <c r="T30" s="56">
        <v>0</v>
      </c>
      <c r="U30" s="56"/>
      <c r="V30" s="56">
        <v>143500</v>
      </c>
      <c r="W30" s="56"/>
      <c r="X30" s="56">
        <v>137870.78</v>
      </c>
      <c r="Y30" s="56"/>
      <c r="Z30" s="56">
        <v>150391</v>
      </c>
      <c r="AA30" s="56"/>
      <c r="AB30" s="56">
        <v>0</v>
      </c>
      <c r="AC30" s="56"/>
      <c r="AD30" s="56"/>
      <c r="AE30" s="56"/>
      <c r="AF30" s="56">
        <f>SUM(Z30:AE30)</f>
        <v>150391</v>
      </c>
      <c r="AG30" s="56">
        <v>0</v>
      </c>
      <c r="AH30" s="56">
        <v>22500</v>
      </c>
      <c r="AI30" s="56"/>
      <c r="AJ30" s="56">
        <f>SUM(AE30:AI30)</f>
        <v>172891</v>
      </c>
      <c r="AK30" s="85"/>
      <c r="AL30" s="56">
        <v>0</v>
      </c>
      <c r="AM30" s="56"/>
      <c r="AN30" s="88">
        <v>154838.78</v>
      </c>
      <c r="AO30" s="88">
        <v>0</v>
      </c>
      <c r="AP30" s="88">
        <v>123252.25</v>
      </c>
      <c r="AQ30" s="56"/>
      <c r="AR30" s="56">
        <v>0</v>
      </c>
      <c r="AS30" s="56"/>
      <c r="AT30" s="56">
        <v>0</v>
      </c>
      <c r="AU30" s="56"/>
      <c r="AV30" s="56">
        <f t="shared" si="6"/>
        <v>123252.25</v>
      </c>
      <c r="AW30" s="56"/>
      <c r="AX30" s="56">
        <v>0</v>
      </c>
      <c r="AY30" s="56"/>
      <c r="AZ30" s="88">
        <v>135000</v>
      </c>
      <c r="BA30" s="56">
        <v>135000</v>
      </c>
      <c r="BB30" s="214"/>
      <c r="BC30" s="56"/>
      <c r="BD30" s="84">
        <f t="shared" si="5"/>
        <v>-31586.53</v>
      </c>
      <c r="BE30" s="56"/>
      <c r="BF30" s="56"/>
      <c r="BG30" s="56"/>
      <c r="BH30" s="72">
        <v>1</v>
      </c>
      <c r="BJ30">
        <v>1</v>
      </c>
    </row>
    <row r="31" spans="1:62" ht="20.100000000000001" customHeight="1" outlineLevel="1">
      <c r="A31" s="77" t="s">
        <v>43</v>
      </c>
      <c r="B31" s="77" t="s">
        <v>621</v>
      </c>
      <c r="C31" s="77" t="s">
        <v>1088</v>
      </c>
      <c r="D31" s="78" t="s">
        <v>46</v>
      </c>
      <c r="E31" s="78" t="str">
        <f t="shared" si="0"/>
        <v>000</v>
      </c>
      <c r="F31" s="3">
        <v>658211</v>
      </c>
      <c r="G31" s="102" t="s">
        <v>625</v>
      </c>
      <c r="H31" s="87"/>
      <c r="I31" s="13">
        <v>0</v>
      </c>
      <c r="J31" s="13">
        <v>0</v>
      </c>
      <c r="L31" s="56">
        <v>0</v>
      </c>
      <c r="M31" s="56"/>
      <c r="N31" s="56">
        <v>0</v>
      </c>
      <c r="O31" s="56"/>
      <c r="P31" s="56">
        <v>0</v>
      </c>
      <c r="Q31" s="56"/>
      <c r="R31" s="56">
        <v>0</v>
      </c>
      <c r="S31" s="56"/>
      <c r="T31" s="56">
        <v>0</v>
      </c>
      <c r="U31" s="56"/>
      <c r="V31" s="56">
        <v>0</v>
      </c>
      <c r="W31" s="56"/>
      <c r="X31" s="56">
        <v>7158.35</v>
      </c>
      <c r="Y31" s="56"/>
      <c r="Z31" s="56">
        <v>0</v>
      </c>
      <c r="AA31" s="56"/>
      <c r="AB31" s="56">
        <v>0</v>
      </c>
      <c r="AC31" s="56"/>
      <c r="AD31" s="56"/>
      <c r="AE31" s="56"/>
      <c r="AF31" s="56">
        <f>SUM(Z31:AE31)</f>
        <v>0</v>
      </c>
      <c r="AG31" s="56">
        <v>0</v>
      </c>
      <c r="AH31" s="56">
        <v>0</v>
      </c>
      <c r="AI31" s="56"/>
      <c r="AJ31" s="56">
        <f>SUM(AE31:AI31)</f>
        <v>0</v>
      </c>
      <c r="AK31" s="85"/>
      <c r="AL31" s="56">
        <v>0</v>
      </c>
      <c r="AM31" s="56"/>
      <c r="AN31" s="88">
        <f>SUM(AI31:AM31)</f>
        <v>0</v>
      </c>
      <c r="AO31" s="88">
        <v>0</v>
      </c>
      <c r="AP31" s="88">
        <v>0</v>
      </c>
      <c r="AQ31" s="56"/>
      <c r="AR31" s="56">
        <v>0</v>
      </c>
      <c r="AS31" s="56"/>
      <c r="AT31" s="56">
        <v>0</v>
      </c>
      <c r="AU31" s="56"/>
      <c r="AV31" s="56">
        <f t="shared" si="6"/>
        <v>0</v>
      </c>
      <c r="AW31" s="56"/>
      <c r="AX31" s="56">
        <v>0</v>
      </c>
      <c r="AY31" s="56"/>
      <c r="AZ31" s="88">
        <v>0</v>
      </c>
      <c r="BA31" s="56">
        <v>0</v>
      </c>
      <c r="BB31" s="214"/>
      <c r="BC31" s="56"/>
      <c r="BD31" s="84">
        <f t="shared" si="5"/>
        <v>0</v>
      </c>
      <c r="BE31" s="56"/>
      <c r="BF31" s="56"/>
      <c r="BG31" s="56"/>
      <c r="BH31" s="72"/>
    </row>
    <row r="32" spans="1:62" ht="20.100000000000001" customHeight="1" outlineLevel="1">
      <c r="A32" s="77" t="s">
        <v>43</v>
      </c>
      <c r="B32" s="77" t="s">
        <v>621</v>
      </c>
      <c r="C32" s="77" t="s">
        <v>1088</v>
      </c>
      <c r="D32" s="78" t="s">
        <v>46</v>
      </c>
      <c r="E32" s="78" t="str">
        <f t="shared" si="0"/>
        <v>000</v>
      </c>
      <c r="F32" s="3">
        <v>658213</v>
      </c>
      <c r="G32" s="102" t="s">
        <v>629</v>
      </c>
      <c r="H32" s="87"/>
      <c r="I32" s="13">
        <v>9697</v>
      </c>
      <c r="J32" s="13">
        <v>5892</v>
      </c>
      <c r="L32" s="56">
        <v>6045</v>
      </c>
      <c r="M32" s="56"/>
      <c r="N32" s="56">
        <v>10000</v>
      </c>
      <c r="O32" s="56"/>
      <c r="P32" s="56">
        <v>10000</v>
      </c>
      <c r="Q32" s="56"/>
      <c r="R32" s="56">
        <v>10000</v>
      </c>
      <c r="S32" s="56"/>
      <c r="T32" s="56">
        <v>0</v>
      </c>
      <c r="U32" s="56"/>
      <c r="V32" s="56">
        <v>10000</v>
      </c>
      <c r="W32" s="56"/>
      <c r="X32" s="56">
        <v>0</v>
      </c>
      <c r="Y32" s="56"/>
      <c r="Z32" s="56">
        <v>10000</v>
      </c>
      <c r="AA32" s="56"/>
      <c r="AB32" s="56">
        <v>0</v>
      </c>
      <c r="AC32" s="56"/>
      <c r="AD32" s="56"/>
      <c r="AE32" s="56"/>
      <c r="AF32" s="56">
        <f>SUM(Z32:AE32)</f>
        <v>10000</v>
      </c>
      <c r="AG32" s="56">
        <v>0</v>
      </c>
      <c r="AH32" s="56">
        <v>0</v>
      </c>
      <c r="AI32" s="56"/>
      <c r="AJ32" s="56">
        <f>SUM(AE32:AI32)</f>
        <v>10000</v>
      </c>
      <c r="AK32" s="85"/>
      <c r="AL32" s="56">
        <v>0</v>
      </c>
      <c r="AM32" s="56"/>
      <c r="AN32" s="88">
        <v>7931.46</v>
      </c>
      <c r="AO32" s="88">
        <v>0</v>
      </c>
      <c r="AP32" s="88">
        <v>9409.16</v>
      </c>
      <c r="AQ32" s="56"/>
      <c r="AR32" s="56">
        <v>0</v>
      </c>
      <c r="AS32" s="56"/>
      <c r="AT32" s="56">
        <v>0</v>
      </c>
      <c r="AU32" s="56"/>
      <c r="AV32" s="56">
        <f t="shared" si="6"/>
        <v>9409.16</v>
      </c>
      <c r="AW32" s="56"/>
      <c r="AX32" s="56">
        <v>0</v>
      </c>
      <c r="AY32" s="56"/>
      <c r="AZ32" s="88">
        <v>10000</v>
      </c>
      <c r="BA32" s="56">
        <v>10000</v>
      </c>
      <c r="BB32" s="214"/>
      <c r="BC32" s="56"/>
      <c r="BD32" s="84">
        <f t="shared" si="5"/>
        <v>1477.6999999999998</v>
      </c>
      <c r="BE32" s="56"/>
      <c r="BF32" s="56"/>
      <c r="BG32" s="56"/>
      <c r="BH32" s="72"/>
    </row>
    <row r="33" spans="1:62" ht="20.100000000000001" customHeight="1" outlineLevel="1">
      <c r="A33" s="77" t="s">
        <v>43</v>
      </c>
      <c r="B33" s="77" t="s">
        <v>216</v>
      </c>
      <c r="C33" s="77" t="s">
        <v>1088</v>
      </c>
      <c r="D33" s="78" t="s">
        <v>46</v>
      </c>
      <c r="E33" s="78" t="str">
        <f t="shared" si="0"/>
        <v>000</v>
      </c>
      <c r="F33" s="3">
        <v>611117</v>
      </c>
      <c r="G33" s="102" t="s">
        <v>626</v>
      </c>
      <c r="H33" s="87"/>
      <c r="I33" s="13">
        <v>0</v>
      </c>
      <c r="J33" s="13">
        <v>0</v>
      </c>
      <c r="L33" s="13">
        <v>0</v>
      </c>
      <c r="M33" s="56"/>
      <c r="N33" s="56"/>
      <c r="O33" s="56"/>
      <c r="P33" s="56"/>
      <c r="Q33" s="56"/>
      <c r="R33" s="56"/>
      <c r="S33" s="56"/>
      <c r="T33" s="56"/>
      <c r="U33" s="56"/>
      <c r="V33" s="56"/>
      <c r="W33" s="56"/>
      <c r="X33" s="56">
        <v>0</v>
      </c>
      <c r="Y33" s="56"/>
      <c r="Z33" s="56"/>
      <c r="AA33" s="56"/>
      <c r="AB33" s="56"/>
      <c r="AC33" s="56"/>
      <c r="AD33" s="56"/>
      <c r="AE33" s="56"/>
      <c r="AF33" s="56"/>
      <c r="AG33" s="56"/>
      <c r="AH33" s="56"/>
      <c r="AI33" s="56"/>
      <c r="AJ33" s="56"/>
      <c r="AK33" s="85"/>
      <c r="AL33" s="56"/>
      <c r="AM33" s="56"/>
      <c r="AN33" s="88">
        <v>0</v>
      </c>
      <c r="AO33" s="88"/>
      <c r="AP33" s="88">
        <v>47114.67</v>
      </c>
      <c r="AQ33" s="56"/>
      <c r="AR33" s="56"/>
      <c r="AS33" s="56"/>
      <c r="AT33" s="56"/>
      <c r="AU33" s="56"/>
      <c r="AV33" s="56">
        <f t="shared" si="6"/>
        <v>47114.67</v>
      </c>
      <c r="AW33" s="56"/>
      <c r="AX33" s="106">
        <v>51403</v>
      </c>
      <c r="AY33" s="56"/>
      <c r="AZ33" s="88">
        <v>72071</v>
      </c>
      <c r="BA33" s="56">
        <v>67493</v>
      </c>
      <c r="BB33" s="214"/>
      <c r="BC33" s="56"/>
      <c r="BD33" s="84">
        <f t="shared" si="5"/>
        <v>47114.67</v>
      </c>
      <c r="BE33" s="56"/>
      <c r="BF33" s="56"/>
      <c r="BG33" s="56"/>
      <c r="BH33" s="72"/>
    </row>
    <row r="34" spans="1:62" ht="20.100000000000001" customHeight="1" outlineLevel="1">
      <c r="A34" s="77" t="s">
        <v>43</v>
      </c>
      <c r="B34" s="77" t="s">
        <v>218</v>
      </c>
      <c r="C34" s="77" t="s">
        <v>1088</v>
      </c>
      <c r="D34" s="78" t="s">
        <v>46</v>
      </c>
      <c r="E34" s="78" t="str">
        <f t="shared" si="0"/>
        <v>000</v>
      </c>
      <c r="F34" s="3">
        <v>661001</v>
      </c>
      <c r="G34" s="102" t="s">
        <v>627</v>
      </c>
      <c r="H34" s="87"/>
      <c r="I34" s="13">
        <v>0</v>
      </c>
      <c r="J34" s="13">
        <v>0</v>
      </c>
      <c r="L34" s="56">
        <v>0</v>
      </c>
      <c r="M34" s="56"/>
      <c r="N34" s="56">
        <v>0</v>
      </c>
      <c r="O34" s="56"/>
      <c r="P34" s="56">
        <v>0</v>
      </c>
      <c r="Q34" s="56"/>
      <c r="R34" s="56">
        <v>0</v>
      </c>
      <c r="S34" s="56"/>
      <c r="T34" s="56">
        <v>0</v>
      </c>
      <c r="U34" s="56"/>
      <c r="V34" s="56">
        <v>0</v>
      </c>
      <c r="W34" s="56"/>
      <c r="X34" s="56">
        <v>0</v>
      </c>
      <c r="Y34" s="56"/>
      <c r="Z34" s="56">
        <v>0</v>
      </c>
      <c r="AA34" s="56"/>
      <c r="AB34" s="56">
        <v>0</v>
      </c>
      <c r="AC34" s="56"/>
      <c r="AD34" s="56"/>
      <c r="AE34" s="56"/>
      <c r="AF34" s="56">
        <f t="shared" ref="AF34:AF40" si="7">SUM(Z34:AE34)</f>
        <v>0</v>
      </c>
      <c r="AG34" s="56">
        <v>0</v>
      </c>
      <c r="AH34" s="56">
        <v>0</v>
      </c>
      <c r="AI34" s="56"/>
      <c r="AJ34" s="56">
        <f t="shared" ref="AJ34:AJ40" si="8">SUM(AE34:AI34)</f>
        <v>0</v>
      </c>
      <c r="AK34" s="85"/>
      <c r="AL34" s="56">
        <v>0</v>
      </c>
      <c r="AM34" s="56"/>
      <c r="AN34" s="88">
        <f>SUM(AI34:AM34)</f>
        <v>0</v>
      </c>
      <c r="AO34" s="88">
        <v>0</v>
      </c>
      <c r="AP34" s="88">
        <v>0</v>
      </c>
      <c r="AQ34" s="56"/>
      <c r="AR34" s="56">
        <v>0</v>
      </c>
      <c r="AS34" s="56"/>
      <c r="AT34" s="56">
        <v>0</v>
      </c>
      <c r="AU34" s="56"/>
      <c r="AV34" s="56">
        <f t="shared" si="6"/>
        <v>0</v>
      </c>
      <c r="AW34" s="56"/>
      <c r="AX34" s="56">
        <v>0</v>
      </c>
      <c r="AY34" s="56"/>
      <c r="AZ34" s="88">
        <v>0</v>
      </c>
      <c r="BA34" s="56">
        <v>0</v>
      </c>
      <c r="BB34" s="214"/>
      <c r="BC34" s="56"/>
      <c r="BD34" s="84">
        <f t="shared" si="5"/>
        <v>0</v>
      </c>
      <c r="BE34" s="56"/>
      <c r="BF34" s="56"/>
      <c r="BG34" s="56"/>
      <c r="BH34" s="72"/>
    </row>
    <row r="35" spans="1:62" ht="20.100000000000001" customHeight="1" outlineLevel="1">
      <c r="A35" s="77" t="s">
        <v>43</v>
      </c>
      <c r="B35" s="77" t="s">
        <v>218</v>
      </c>
      <c r="C35" s="77" t="s">
        <v>1088</v>
      </c>
      <c r="D35" s="78" t="s">
        <v>46</v>
      </c>
      <c r="E35" s="78" t="str">
        <f t="shared" si="0"/>
        <v>000</v>
      </c>
      <c r="F35" s="3">
        <v>673021</v>
      </c>
      <c r="G35" s="102" t="s">
        <v>628</v>
      </c>
      <c r="H35" s="87"/>
      <c r="I35" s="13">
        <v>0</v>
      </c>
      <c r="J35" s="13">
        <v>0</v>
      </c>
      <c r="L35" s="56">
        <v>0</v>
      </c>
      <c r="M35" s="56"/>
      <c r="N35" s="56">
        <v>0</v>
      </c>
      <c r="O35" s="56"/>
      <c r="P35" s="56">
        <v>0</v>
      </c>
      <c r="Q35" s="56"/>
      <c r="R35" s="56">
        <v>0</v>
      </c>
      <c r="S35" s="56"/>
      <c r="T35" s="56">
        <v>0</v>
      </c>
      <c r="U35" s="56"/>
      <c r="V35" s="56">
        <v>0</v>
      </c>
      <c r="W35" s="56"/>
      <c r="X35" s="56">
        <v>0</v>
      </c>
      <c r="Y35" s="56"/>
      <c r="Z35" s="56">
        <v>0</v>
      </c>
      <c r="AA35" s="56"/>
      <c r="AB35" s="56">
        <v>0</v>
      </c>
      <c r="AC35" s="56"/>
      <c r="AD35" s="56"/>
      <c r="AE35" s="56"/>
      <c r="AF35" s="56">
        <f t="shared" si="7"/>
        <v>0</v>
      </c>
      <c r="AG35" s="56">
        <v>0</v>
      </c>
      <c r="AH35" s="56">
        <v>0</v>
      </c>
      <c r="AI35" s="56"/>
      <c r="AJ35" s="56">
        <f t="shared" si="8"/>
        <v>0</v>
      </c>
      <c r="AK35" s="85"/>
      <c r="AL35" s="56">
        <v>0</v>
      </c>
      <c r="AM35" s="56"/>
      <c r="AN35" s="88">
        <f>SUM(AI35:AM35)</f>
        <v>0</v>
      </c>
      <c r="AO35" s="88">
        <v>0</v>
      </c>
      <c r="AP35" s="88">
        <v>0</v>
      </c>
      <c r="AQ35" s="56"/>
      <c r="AR35" s="56">
        <v>0</v>
      </c>
      <c r="AS35" s="56"/>
      <c r="AT35" s="56">
        <v>0</v>
      </c>
      <c r="AU35" s="56"/>
      <c r="AV35" s="56">
        <f t="shared" si="6"/>
        <v>0</v>
      </c>
      <c r="AW35" s="56"/>
      <c r="AX35" s="56">
        <v>0</v>
      </c>
      <c r="AY35" s="56"/>
      <c r="AZ35" s="88">
        <v>0</v>
      </c>
      <c r="BA35" s="56">
        <v>0</v>
      </c>
      <c r="BB35" s="214"/>
      <c r="BC35" s="56"/>
      <c r="BD35" s="84">
        <f t="shared" si="5"/>
        <v>0</v>
      </c>
      <c r="BE35" s="56"/>
      <c r="BF35" s="56"/>
      <c r="BG35" s="56"/>
      <c r="BH35" s="72"/>
    </row>
    <row r="36" spans="1:62" ht="20.100000000000001" customHeight="1" outlineLevel="1">
      <c r="A36" s="77" t="s">
        <v>43</v>
      </c>
      <c r="B36" s="77" t="s">
        <v>368</v>
      </c>
      <c r="C36" s="77" t="s">
        <v>1088</v>
      </c>
      <c r="D36" s="78" t="s">
        <v>46</v>
      </c>
      <c r="E36" s="78" t="str">
        <f t="shared" si="0"/>
        <v>000</v>
      </c>
      <c r="F36" s="3">
        <v>653051</v>
      </c>
      <c r="G36" s="102" t="s">
        <v>630</v>
      </c>
      <c r="H36" s="87"/>
      <c r="I36" s="13">
        <v>2403</v>
      </c>
      <c r="J36" s="13">
        <v>1901</v>
      </c>
      <c r="L36" s="56">
        <v>1843</v>
      </c>
      <c r="M36" s="56"/>
      <c r="N36" s="56">
        <v>2500</v>
      </c>
      <c r="O36" s="56"/>
      <c r="P36" s="56">
        <v>2500</v>
      </c>
      <c r="Q36" s="56"/>
      <c r="R36" s="56">
        <v>2500</v>
      </c>
      <c r="S36" s="56"/>
      <c r="T36" s="56">
        <v>0</v>
      </c>
      <c r="U36" s="56"/>
      <c r="V36" s="56">
        <v>2500</v>
      </c>
      <c r="W36" s="56"/>
      <c r="X36" s="56">
        <v>1852.53</v>
      </c>
      <c r="Y36" s="56"/>
      <c r="Z36" s="56">
        <v>2500</v>
      </c>
      <c r="AA36" s="56"/>
      <c r="AB36" s="56">
        <v>0</v>
      </c>
      <c r="AC36" s="56"/>
      <c r="AD36" s="56"/>
      <c r="AE36" s="56"/>
      <c r="AF36" s="56">
        <f t="shared" si="7"/>
        <v>2500</v>
      </c>
      <c r="AG36" s="56">
        <v>0</v>
      </c>
      <c r="AH36" s="56">
        <v>0</v>
      </c>
      <c r="AI36" s="56"/>
      <c r="AJ36" s="56">
        <f t="shared" si="8"/>
        <v>2500</v>
      </c>
      <c r="AK36" s="85"/>
      <c r="AL36" s="56">
        <v>0</v>
      </c>
      <c r="AM36" s="56"/>
      <c r="AN36" s="88">
        <v>1105.92</v>
      </c>
      <c r="AO36" s="88">
        <v>0</v>
      </c>
      <c r="AP36" s="88">
        <v>1339.49</v>
      </c>
      <c r="AQ36" s="56"/>
      <c r="AR36" s="56">
        <v>0</v>
      </c>
      <c r="AS36" s="56"/>
      <c r="AT36" s="56">
        <v>0</v>
      </c>
      <c r="AU36" s="56"/>
      <c r="AV36" s="56">
        <f t="shared" si="6"/>
        <v>1339.49</v>
      </c>
      <c r="AW36" s="56"/>
      <c r="AX36" s="56">
        <v>0</v>
      </c>
      <c r="AY36" s="56"/>
      <c r="AZ36" s="88">
        <v>2500</v>
      </c>
      <c r="BA36" s="56">
        <v>2500</v>
      </c>
      <c r="BB36" s="214"/>
      <c r="BC36" s="56"/>
      <c r="BD36" s="84">
        <f t="shared" si="5"/>
        <v>233.56999999999994</v>
      </c>
      <c r="BE36" s="56"/>
      <c r="BF36" s="56"/>
      <c r="BG36" s="56"/>
      <c r="BH36" s="72"/>
    </row>
    <row r="37" spans="1:62" ht="20.100000000000001" customHeight="1" outlineLevel="1">
      <c r="A37" s="77" t="s">
        <v>43</v>
      </c>
      <c r="B37" s="77" t="s">
        <v>368</v>
      </c>
      <c r="C37" s="77" t="s">
        <v>1088</v>
      </c>
      <c r="D37" s="78" t="s">
        <v>46</v>
      </c>
      <c r="E37" s="78" t="str">
        <f t="shared" si="0"/>
        <v>000</v>
      </c>
      <c r="F37" s="3">
        <v>661001</v>
      </c>
      <c r="G37" s="102" t="s">
        <v>631</v>
      </c>
      <c r="H37" s="87"/>
      <c r="I37" s="13">
        <v>4284</v>
      </c>
      <c r="J37" s="13">
        <v>5476</v>
      </c>
      <c r="L37" s="56">
        <v>6072</v>
      </c>
      <c r="M37" s="56"/>
      <c r="N37" s="56">
        <v>6753</v>
      </c>
      <c r="O37" s="56"/>
      <c r="P37" s="56">
        <v>6753</v>
      </c>
      <c r="Q37" s="56"/>
      <c r="R37" s="56">
        <v>6753</v>
      </c>
      <c r="S37" s="56"/>
      <c r="T37" s="56">
        <v>0</v>
      </c>
      <c r="U37" s="56"/>
      <c r="V37" s="56">
        <v>6753</v>
      </c>
      <c r="W37" s="56"/>
      <c r="X37" s="56">
        <v>4996.8599999999997</v>
      </c>
      <c r="Y37" s="56"/>
      <c r="Z37" s="56">
        <v>6753</v>
      </c>
      <c r="AA37" s="56"/>
      <c r="AB37" s="56">
        <v>0</v>
      </c>
      <c r="AC37" s="56"/>
      <c r="AD37" s="56"/>
      <c r="AE37" s="56"/>
      <c r="AF37" s="56">
        <f t="shared" si="7"/>
        <v>6753</v>
      </c>
      <c r="AG37" s="56">
        <v>0</v>
      </c>
      <c r="AH37" s="56">
        <v>0</v>
      </c>
      <c r="AI37" s="56"/>
      <c r="AJ37" s="56">
        <f t="shared" si="8"/>
        <v>6753</v>
      </c>
      <c r="AK37" s="85"/>
      <c r="AL37" s="56">
        <v>0</v>
      </c>
      <c r="AM37" s="56"/>
      <c r="AN37" s="88">
        <v>7988.11</v>
      </c>
      <c r="AO37" s="88">
        <v>0</v>
      </c>
      <c r="AP37" s="88">
        <v>6386.57</v>
      </c>
      <c r="AQ37" s="56"/>
      <c r="AR37" s="56">
        <v>0</v>
      </c>
      <c r="AS37" s="56"/>
      <c r="AT37" s="56">
        <v>0</v>
      </c>
      <c r="AU37" s="56"/>
      <c r="AV37" s="56">
        <f t="shared" si="6"/>
        <v>6386.57</v>
      </c>
      <c r="AW37" s="56"/>
      <c r="AX37" s="56">
        <v>0</v>
      </c>
      <c r="AY37" s="56"/>
      <c r="AZ37" s="88">
        <v>6753</v>
      </c>
      <c r="BA37" s="56">
        <v>6880</v>
      </c>
      <c r="BB37" s="214"/>
      <c r="BC37" s="56"/>
      <c r="BD37" s="84">
        <f t="shared" si="5"/>
        <v>-1601.54</v>
      </c>
      <c r="BE37" s="56"/>
      <c r="BF37" s="56"/>
      <c r="BG37" s="56"/>
      <c r="BH37" s="72"/>
    </row>
    <row r="38" spans="1:62" ht="20.100000000000001" customHeight="1" outlineLevel="1">
      <c r="A38" s="77" t="s">
        <v>43</v>
      </c>
      <c r="B38" s="77" t="s">
        <v>368</v>
      </c>
      <c r="C38" s="77" t="s">
        <v>1088</v>
      </c>
      <c r="D38" s="78" t="s">
        <v>46</v>
      </c>
      <c r="E38" s="78" t="str">
        <f t="shared" si="0"/>
        <v>000</v>
      </c>
      <c r="F38" s="3">
        <v>673001</v>
      </c>
      <c r="G38" s="102" t="s">
        <v>632</v>
      </c>
      <c r="H38" s="87"/>
      <c r="I38" s="13">
        <v>2750</v>
      </c>
      <c r="J38" s="13">
        <v>0</v>
      </c>
      <c r="L38" s="56">
        <v>0</v>
      </c>
      <c r="M38" s="56"/>
      <c r="N38" s="56">
        <v>0</v>
      </c>
      <c r="O38" s="56"/>
      <c r="P38" s="56">
        <v>0</v>
      </c>
      <c r="Q38" s="56"/>
      <c r="R38" s="56">
        <v>0</v>
      </c>
      <c r="S38" s="56"/>
      <c r="T38" s="56">
        <v>0</v>
      </c>
      <c r="U38" s="56"/>
      <c r="V38" s="56">
        <v>0</v>
      </c>
      <c r="W38" s="56"/>
      <c r="X38" s="56">
        <v>1126</v>
      </c>
      <c r="Y38" s="56"/>
      <c r="Z38" s="56">
        <v>0</v>
      </c>
      <c r="AA38" s="56"/>
      <c r="AB38" s="56">
        <v>0</v>
      </c>
      <c r="AC38" s="56"/>
      <c r="AD38" s="56"/>
      <c r="AE38" s="56"/>
      <c r="AF38" s="56">
        <f t="shared" si="7"/>
        <v>0</v>
      </c>
      <c r="AG38" s="56">
        <v>0</v>
      </c>
      <c r="AH38" s="56">
        <v>0</v>
      </c>
      <c r="AI38" s="56"/>
      <c r="AJ38" s="56">
        <f t="shared" si="8"/>
        <v>0</v>
      </c>
      <c r="AK38" s="85"/>
      <c r="AL38" s="56">
        <v>0</v>
      </c>
      <c r="AM38" s="56"/>
      <c r="AN38" s="88">
        <f>SUM(AI38:AM38)</f>
        <v>0</v>
      </c>
      <c r="AO38" s="88">
        <v>0</v>
      </c>
      <c r="AP38" s="88">
        <v>0</v>
      </c>
      <c r="AQ38" s="56"/>
      <c r="AR38" s="56">
        <v>0</v>
      </c>
      <c r="AS38" s="56"/>
      <c r="AT38" s="56">
        <v>0</v>
      </c>
      <c r="AU38" s="56"/>
      <c r="AV38" s="56">
        <f t="shared" si="6"/>
        <v>0</v>
      </c>
      <c r="AW38" s="56"/>
      <c r="AX38" s="56">
        <v>0</v>
      </c>
      <c r="AY38" s="56"/>
      <c r="AZ38" s="88">
        <v>0</v>
      </c>
      <c r="BA38" s="56">
        <v>0</v>
      </c>
      <c r="BB38" s="214"/>
      <c r="BC38" s="56"/>
      <c r="BD38" s="84">
        <f t="shared" si="5"/>
        <v>0</v>
      </c>
      <c r="BE38" s="56"/>
      <c r="BF38" s="56"/>
      <c r="BG38" s="56"/>
      <c r="BH38" s="72"/>
    </row>
    <row r="39" spans="1:62" ht="20.100000000000001" customHeight="1" outlineLevel="1">
      <c r="A39" s="77" t="s">
        <v>43</v>
      </c>
      <c r="B39" s="77" t="s">
        <v>619</v>
      </c>
      <c r="C39" s="77" t="s">
        <v>1088</v>
      </c>
      <c r="D39" s="78" t="s">
        <v>46</v>
      </c>
      <c r="E39" s="78" t="str">
        <f t="shared" si="0"/>
        <v>000</v>
      </c>
      <c r="F39" s="3">
        <v>611621</v>
      </c>
      <c r="G39" s="102" t="s">
        <v>620</v>
      </c>
      <c r="H39" s="87"/>
      <c r="I39" s="13">
        <v>0</v>
      </c>
      <c r="J39" s="13">
        <v>0</v>
      </c>
      <c r="L39" s="56">
        <v>0</v>
      </c>
      <c r="M39" s="56"/>
      <c r="N39" s="56">
        <v>0</v>
      </c>
      <c r="O39" s="56"/>
      <c r="P39" s="56">
        <v>0</v>
      </c>
      <c r="Q39" s="56"/>
      <c r="R39" s="56">
        <v>0</v>
      </c>
      <c r="S39" s="56"/>
      <c r="T39" s="56">
        <v>0</v>
      </c>
      <c r="U39" s="56"/>
      <c r="V39" s="56">
        <v>0</v>
      </c>
      <c r="W39" s="56"/>
      <c r="X39" s="56">
        <v>0</v>
      </c>
      <c r="Y39" s="56"/>
      <c r="Z39" s="56">
        <v>0</v>
      </c>
      <c r="AA39" s="56"/>
      <c r="AB39" s="56">
        <v>0</v>
      </c>
      <c r="AC39" s="56"/>
      <c r="AD39" s="56"/>
      <c r="AE39" s="56"/>
      <c r="AF39" s="56">
        <f t="shared" si="7"/>
        <v>0</v>
      </c>
      <c r="AG39" s="56">
        <v>0</v>
      </c>
      <c r="AH39" s="56">
        <v>0</v>
      </c>
      <c r="AI39" s="56"/>
      <c r="AJ39" s="56">
        <f t="shared" si="8"/>
        <v>0</v>
      </c>
      <c r="AK39" s="85"/>
      <c r="AL39" s="56">
        <v>0</v>
      </c>
      <c r="AM39" s="56"/>
      <c r="AN39" s="88">
        <f>SUM(AI39:AM39)</f>
        <v>0</v>
      </c>
      <c r="AO39" s="88">
        <v>0</v>
      </c>
      <c r="AP39" s="88">
        <v>0</v>
      </c>
      <c r="AQ39" s="56"/>
      <c r="AR39" s="56">
        <v>0</v>
      </c>
      <c r="AS39" s="56"/>
      <c r="AT39" s="56">
        <v>0</v>
      </c>
      <c r="AU39" s="56"/>
      <c r="AV39" s="56">
        <f t="shared" si="6"/>
        <v>0</v>
      </c>
      <c r="AW39" s="56"/>
      <c r="AX39" s="56">
        <v>0</v>
      </c>
      <c r="AY39" s="56"/>
      <c r="AZ39" s="88">
        <v>0</v>
      </c>
      <c r="BA39" s="56">
        <v>0</v>
      </c>
      <c r="BB39" s="214"/>
      <c r="BC39" s="56"/>
      <c r="BD39" s="84">
        <f t="shared" si="5"/>
        <v>0</v>
      </c>
      <c r="BE39" s="56"/>
      <c r="BF39" s="56"/>
      <c r="BG39" s="56"/>
      <c r="BH39" s="72">
        <v>1</v>
      </c>
      <c r="BJ39">
        <v>1</v>
      </c>
    </row>
    <row r="40" spans="1:62" ht="20.100000000000001" customHeight="1" outlineLevel="1">
      <c r="A40" s="77" t="s">
        <v>43</v>
      </c>
      <c r="B40" s="77" t="s">
        <v>633</v>
      </c>
      <c r="C40" s="77" t="s">
        <v>1088</v>
      </c>
      <c r="D40" s="78" t="s">
        <v>46</v>
      </c>
      <c r="E40" s="78" t="str">
        <f t="shared" si="0"/>
        <v>000</v>
      </c>
      <c r="F40" s="3">
        <v>651311</v>
      </c>
      <c r="G40" s="102" t="s">
        <v>634</v>
      </c>
      <c r="H40" s="87"/>
      <c r="I40" s="13">
        <v>4428</v>
      </c>
      <c r="J40" s="13">
        <v>8675</v>
      </c>
      <c r="L40" s="56">
        <v>22583</v>
      </c>
      <c r="M40" s="56"/>
      <c r="N40" s="56">
        <v>25000</v>
      </c>
      <c r="O40" s="56"/>
      <c r="P40" s="56">
        <v>25000</v>
      </c>
      <c r="Q40" s="56"/>
      <c r="R40" s="56">
        <v>25000</v>
      </c>
      <c r="S40" s="56"/>
      <c r="T40" s="56">
        <v>0</v>
      </c>
      <c r="U40" s="56"/>
      <c r="V40" s="56">
        <v>25000</v>
      </c>
      <c r="W40" s="56"/>
      <c r="X40" s="56">
        <v>12334.54</v>
      </c>
      <c r="Y40" s="56"/>
      <c r="Z40" s="56">
        <v>25000</v>
      </c>
      <c r="AA40" s="56"/>
      <c r="AB40" s="56">
        <v>0</v>
      </c>
      <c r="AC40" s="56"/>
      <c r="AD40" s="56"/>
      <c r="AE40" s="56"/>
      <c r="AF40" s="56">
        <f t="shared" si="7"/>
        <v>25000</v>
      </c>
      <c r="AG40" s="56">
        <v>0</v>
      </c>
      <c r="AH40" s="56">
        <v>0</v>
      </c>
      <c r="AI40" s="56"/>
      <c r="AJ40" s="56">
        <f t="shared" si="8"/>
        <v>25000</v>
      </c>
      <c r="AK40" s="85"/>
      <c r="AL40" s="56">
        <v>0</v>
      </c>
      <c r="AM40" s="56"/>
      <c r="AN40" s="88">
        <v>14487.22</v>
      </c>
      <c r="AO40" s="88">
        <v>0</v>
      </c>
      <c r="AP40" s="88">
        <v>17821</v>
      </c>
      <c r="AQ40" s="56"/>
      <c r="AR40" s="56">
        <v>0</v>
      </c>
      <c r="AS40" s="56"/>
      <c r="AT40" s="56">
        <v>0</v>
      </c>
      <c r="AU40" s="56"/>
      <c r="AV40" s="56">
        <f t="shared" si="6"/>
        <v>17821</v>
      </c>
      <c r="AW40" s="56"/>
      <c r="AX40" s="56">
        <v>0</v>
      </c>
      <c r="AY40" s="56"/>
      <c r="AZ40" s="88">
        <v>20000</v>
      </c>
      <c r="BA40" s="56">
        <v>20000</v>
      </c>
      <c r="BB40" s="214"/>
      <c r="BC40" s="56"/>
      <c r="BD40" s="84">
        <f t="shared" si="5"/>
        <v>3333.7800000000007</v>
      </c>
      <c r="BE40" s="56"/>
      <c r="BF40" s="56"/>
      <c r="BG40" s="56"/>
      <c r="BH40" s="72"/>
    </row>
    <row r="41" spans="1:62" ht="20.100000000000001" customHeight="1">
      <c r="B41" s="77"/>
      <c r="C41" s="77"/>
      <c r="D41" s="90"/>
      <c r="E41" s="90"/>
      <c r="F41" s="3"/>
      <c r="G41" s="110" t="s">
        <v>635</v>
      </c>
      <c r="H41" s="81"/>
      <c r="I41" s="92">
        <v>18665505</v>
      </c>
      <c r="J41" s="93">
        <v>19315973</v>
      </c>
      <c r="L41" s="125">
        <v>22462961</v>
      </c>
      <c r="M41" s="126"/>
      <c r="N41" s="125">
        <v>23695652</v>
      </c>
      <c r="O41" s="126"/>
      <c r="P41" s="125">
        <v>23699124</v>
      </c>
      <c r="Q41" s="126"/>
      <c r="R41" s="125">
        <v>25662569</v>
      </c>
      <c r="S41" s="95"/>
      <c r="T41" s="125">
        <v>0</v>
      </c>
      <c r="U41" s="126"/>
      <c r="V41" s="125">
        <v>25662569</v>
      </c>
      <c r="W41" s="126"/>
      <c r="X41" s="125">
        <f>SUBTOTAL(9,X11:X40)</f>
        <v>25598672.960000008</v>
      </c>
      <c r="Y41" s="126"/>
      <c r="Z41" s="125">
        <f>SUBTOTAL(9,Z11:Z40)</f>
        <v>25072200</v>
      </c>
      <c r="AA41" s="126"/>
      <c r="AB41" s="125">
        <f>SUBTOTAL(9,AB11:AB40)</f>
        <v>0</v>
      </c>
      <c r="AC41" s="126"/>
      <c r="AD41" s="125">
        <f>SUBTOTAL(9,AD11:AD40)</f>
        <v>0</v>
      </c>
      <c r="AE41" s="126"/>
      <c r="AF41" s="125">
        <f>SUBTOTAL(9,AF11:AF40)</f>
        <v>25072200</v>
      </c>
      <c r="AG41" s="125">
        <f>SUBTOTAL(9,AG11:AG40)</f>
        <v>944488</v>
      </c>
      <c r="AH41" s="125">
        <f>SUBTOTAL(9,AH11:AH40)</f>
        <v>1400000</v>
      </c>
      <c r="AI41" s="126"/>
      <c r="AJ41" s="125">
        <f>SUBTOTAL(9,AJ11:AJ40)</f>
        <v>27416688</v>
      </c>
      <c r="AK41" s="96"/>
      <c r="AL41" s="125">
        <f>SUBTOTAL(9,AL11:AL40)</f>
        <v>0</v>
      </c>
      <c r="AM41" s="126"/>
      <c r="AN41" s="127">
        <f>SUBTOTAL(9,AN11:AN40)</f>
        <v>26351645.890000004</v>
      </c>
      <c r="AO41" s="127">
        <f>SUBTOTAL(9,AO11:AO40)</f>
        <v>0</v>
      </c>
      <c r="AP41" s="127">
        <f>SUBTOTAL(9,AP11:AP40)</f>
        <v>25404783.780000001</v>
      </c>
      <c r="AQ41" s="126"/>
      <c r="AR41" s="125">
        <f>SUBTOTAL(9,AR11:AR40)</f>
        <v>0</v>
      </c>
      <c r="AS41" s="126"/>
      <c r="AT41" s="125">
        <f>SUBTOTAL(9,AT11:AT40)</f>
        <v>0</v>
      </c>
      <c r="AU41" s="126"/>
      <c r="AV41" s="125">
        <f>SUBTOTAL(9,AV11:AV40)</f>
        <v>23046366.960000001</v>
      </c>
      <c r="AW41" s="126"/>
      <c r="AX41" s="125">
        <f>SUBTOTAL(9,AX11:AX40)</f>
        <v>-189060</v>
      </c>
      <c r="AY41" s="126"/>
      <c r="AZ41" s="127">
        <f>SUBTOTAL(9,AZ11:AZ40)</f>
        <v>24369489</v>
      </c>
      <c r="BA41" s="125">
        <f>SUBTOTAL(9,BA11:BA40)</f>
        <v>24665924</v>
      </c>
      <c r="BB41" s="214"/>
      <c r="BC41" s="56"/>
      <c r="BD41" s="98">
        <f t="shared" si="5"/>
        <v>-946862.11000000313</v>
      </c>
      <c r="BE41" s="126"/>
      <c r="BF41" s="126"/>
      <c r="BG41" s="126"/>
    </row>
    <row r="60" spans="18:63">
      <c r="R60" s="7">
        <v>420044982</v>
      </c>
      <c r="BI60" s="211"/>
      <c r="BJ60" s="7"/>
      <c r="BK60" s="7"/>
    </row>
    <row r="61" spans="18:63">
      <c r="BI61" s="211"/>
      <c r="BJ61" s="7"/>
    </row>
  </sheetData>
  <autoFilter ref="A9:BH41"/>
  <mergeCells count="8">
    <mergeCell ref="A6:F6"/>
    <mergeCell ref="A7:F7"/>
    <mergeCell ref="AB5:AD5"/>
    <mergeCell ref="A8:E8"/>
    <mergeCell ref="AG2:AH2"/>
    <mergeCell ref="AG3:AH3"/>
    <mergeCell ref="AG4:AH4"/>
    <mergeCell ref="AB4:AD4"/>
  </mergeCells>
  <phoneticPr fontId="3" type="noConversion"/>
  <conditionalFormatting sqref="F1:F1048576">
    <cfRule type="cellIs" dxfId="26" priority="1" stopIfTrue="1" operator="between">
      <formula>610000</formula>
      <formula>619999</formula>
    </cfRule>
  </conditionalFormatting>
  <pageMargins left="0.54" right="0.25" top="0.24" bottom="0.49" header="0.25" footer="0"/>
  <pageSetup scale="77" fitToHeight="0" orientation="landscape" r:id="rId1"/>
  <headerFooter alignWithMargins="0">
    <oddFooter>&amp;C&amp;8Detail of Expenditures Budget By Department, Page &amp;P of &amp;N</oddFooter>
  </headerFooter>
  <legacyDrawing r:id="rId2"/>
</worksheet>
</file>

<file path=xl/worksheets/sheet12.xml><?xml version="1.0" encoding="utf-8"?>
<worksheet xmlns="http://schemas.openxmlformats.org/spreadsheetml/2006/main" xmlns:r="http://schemas.openxmlformats.org/officeDocument/2006/relationships">
  <sheetPr codeName="Sheet17" enableFormatConditionsCalculation="0">
    <tabColor indexed="17"/>
    <pageSetUpPr fitToPage="1"/>
  </sheetPr>
  <dimension ref="A1:BK86"/>
  <sheetViews>
    <sheetView zoomScale="80" zoomScaleNormal="90" workbookViewId="0">
      <pane xSplit="8" ySplit="9" topLeftCell="I10" activePane="bottomRight" state="frozen"/>
      <selection activeCell="A28" sqref="A28"/>
      <selection pane="topRight" activeCell="A28" sqref="A28"/>
      <selection pane="bottomLeft" activeCell="A28" sqref="A28"/>
      <selection pane="bottomRight"/>
    </sheetView>
  </sheetViews>
  <sheetFormatPr defaultRowHeight="12.75" outlineLevelRow="1" outlineLevelCol="1"/>
  <cols>
    <col min="1" max="1" width="7" style="39" customWidth="1" outlineLevel="1"/>
    <col min="2" max="2" width="6.140625" style="39" customWidth="1" outlineLevel="1"/>
    <col min="3" max="3" width="3.7109375" style="39" customWidth="1" outlineLevel="1"/>
    <col min="4" max="5" width="4.85546875" style="168" customWidth="1" outlineLevel="1"/>
    <col min="6" max="6" width="8.7109375" style="40" customWidth="1" outlineLevel="1"/>
    <col min="7" max="7" width="28.5703125" style="4" customWidth="1"/>
    <col min="8" max="8" width="16.5703125" style="4" hidden="1" customWidth="1"/>
    <col min="9" max="10" width="15.140625" style="4" hidden="1" customWidth="1" collapsed="1"/>
    <col min="11" max="11" width="39.5703125" style="4" hidden="1" customWidth="1"/>
    <col min="12" max="12" width="15.140625" style="7" bestFit="1" customWidth="1" collapsed="1"/>
    <col min="13" max="13" width="31.7109375" style="7" hidden="1" customWidth="1"/>
    <col min="14" max="14" width="35.5703125" style="7" hidden="1" customWidth="1" collapsed="1"/>
    <col min="15" max="15" width="0.140625" style="7" customWidth="1"/>
    <col min="16" max="16" width="25.28515625" style="7" hidden="1" customWidth="1" outlineLevel="1" collapsed="1"/>
    <col min="17" max="17" width="23.42578125" style="7" hidden="1" customWidth="1" outlineLevel="1"/>
    <col min="18" max="18" width="20.5703125" style="7" hidden="1" customWidth="1" outlineLevel="1" collapsed="1"/>
    <col min="19" max="19" width="18" style="7" hidden="1" customWidth="1" outlineLevel="1"/>
    <col min="20" max="20" width="19.5703125" style="7" hidden="1" customWidth="1" outlineLevel="1"/>
    <col min="21" max="21" width="18.42578125" style="7" hidden="1" customWidth="1" outlineLevel="1"/>
    <col min="22" max="22" width="13.140625" style="7" hidden="1" customWidth="1"/>
    <col min="23" max="23" width="14.140625" style="7" hidden="1" customWidth="1"/>
    <col min="24" max="24" width="14.5703125" style="7" customWidth="1" collapsed="1"/>
    <col min="25" max="25" width="0.85546875" style="7" hidden="1" customWidth="1"/>
    <col min="26" max="26" width="16.140625" style="7" hidden="1" customWidth="1"/>
    <col min="27" max="27" width="0.140625" style="7" hidden="1" customWidth="1"/>
    <col min="28" max="28" width="16.140625" style="7" hidden="1" customWidth="1" outlineLevel="1"/>
    <col min="29" max="29" width="0.42578125" style="7" hidden="1" customWidth="1" outlineLevel="1"/>
    <col min="30" max="30" width="17.85546875" style="7" hidden="1" customWidth="1" outlineLevel="1"/>
    <col min="31" max="31" width="0.42578125" style="7" hidden="1" customWidth="1" outlineLevel="1"/>
    <col min="32" max="32" width="16.140625" style="7" hidden="1" customWidth="1" collapsed="1"/>
    <col min="33" max="33" width="16" style="7" hidden="1" customWidth="1" outlineLevel="1"/>
    <col min="34" max="34" width="17" style="7" hidden="1" customWidth="1" outlineLevel="1"/>
    <col min="35" max="35" width="10.5703125" style="7" hidden="1" customWidth="1" outlineLevel="1"/>
    <col min="36" max="36" width="16.140625" style="7" hidden="1" customWidth="1" collapsed="1"/>
    <col min="37" max="37" width="0.7109375" style="7" hidden="1" customWidth="1"/>
    <col min="38" max="38" width="16.140625" style="7" hidden="1" customWidth="1" outlineLevel="1"/>
    <col min="39" max="39" width="4.140625" style="7" hidden="1" customWidth="1" outlineLevel="1"/>
    <col min="40" max="40" width="16.140625" style="17" customWidth="1" collapsed="1"/>
    <col min="41" max="41" width="16.140625" style="17" hidden="1" customWidth="1" collapsed="1"/>
    <col min="42" max="42" width="16.140625" style="17" customWidth="1" collapsed="1"/>
    <col min="43" max="43" width="0.7109375" style="7" hidden="1" customWidth="1" outlineLevel="1"/>
    <col min="44" max="44" width="22.140625" style="7" hidden="1" customWidth="1" outlineLevel="1"/>
    <col min="45" max="45" width="0.42578125" style="7" hidden="1" customWidth="1" outlineLevel="1"/>
    <col min="46" max="46" width="17.85546875" style="7" hidden="1" customWidth="1" outlineLevel="1"/>
    <col min="47" max="47" width="0.42578125" style="7" hidden="1" customWidth="1" outlineLevel="1"/>
    <col min="48" max="48" width="18" style="7" hidden="1" customWidth="1" collapsed="1"/>
    <col min="49" max="49" width="0.5703125" style="7" hidden="1" customWidth="1"/>
    <col min="50" max="50" width="18" style="7" hidden="1" customWidth="1"/>
    <col min="51" max="51" width="0.5703125" style="7" customWidth="1"/>
    <col min="52" max="52" width="16.140625" style="17" customWidth="1" collapsed="1"/>
    <col min="53" max="53" width="15.7109375" style="7" bestFit="1" customWidth="1"/>
    <col min="54" max="54" width="15.140625" style="7" customWidth="1"/>
    <col min="55" max="55" width="23.140625" style="7" customWidth="1"/>
    <col min="56" max="56" width="19.85546875" style="7" bestFit="1" customWidth="1"/>
    <col min="57" max="59" width="12.42578125" style="7" customWidth="1"/>
    <col min="60" max="60" width="3.85546875" style="76" customWidth="1"/>
    <col min="61" max="61" width="14.5703125" style="12" bestFit="1" customWidth="1"/>
  </cols>
  <sheetData>
    <row r="1" spans="1:62" ht="15">
      <c r="A1" s="1" t="s">
        <v>0</v>
      </c>
      <c r="B1" s="2"/>
      <c r="C1" s="2"/>
      <c r="D1" s="1"/>
      <c r="E1" s="1"/>
      <c r="F1" s="3"/>
      <c r="H1" s="5"/>
      <c r="I1" s="6"/>
      <c r="T1" s="8"/>
      <c r="Z1" s="9"/>
      <c r="AB1" s="9"/>
      <c r="AD1" s="9"/>
      <c r="AF1" s="9"/>
      <c r="AH1" s="10" t="e">
        <f>+#REF!</f>
        <v>#REF!</v>
      </c>
      <c r="AJ1" s="9"/>
      <c r="AK1" s="9"/>
      <c r="AN1" s="9"/>
      <c r="AO1" s="9"/>
      <c r="AP1" s="9"/>
      <c r="AR1" s="9"/>
      <c r="AT1" s="9"/>
      <c r="AV1" s="9"/>
      <c r="AW1" s="9"/>
      <c r="AX1" s="9"/>
      <c r="AY1" s="9"/>
      <c r="AZ1" s="9"/>
      <c r="BA1" s="9"/>
      <c r="BB1" s="9"/>
      <c r="BC1" s="9"/>
      <c r="BD1" s="9"/>
      <c r="BE1" s="9"/>
      <c r="BF1" s="9"/>
      <c r="BG1" s="9"/>
      <c r="BH1" s="11"/>
    </row>
    <row r="2" spans="1:62" ht="15">
      <c r="A2" s="1" t="s">
        <v>1053</v>
      </c>
      <c r="B2" s="2"/>
      <c r="C2" s="2"/>
      <c r="D2" s="1"/>
      <c r="E2" s="1"/>
      <c r="F2" s="3"/>
      <c r="H2" s="5"/>
      <c r="I2" s="13"/>
      <c r="J2" s="14"/>
      <c r="K2" s="14"/>
      <c r="L2" s="15"/>
      <c r="M2" s="15"/>
      <c r="N2" s="15"/>
      <c r="O2" s="15"/>
      <c r="P2" s="15"/>
      <c r="R2" s="15"/>
      <c r="T2" s="8"/>
      <c r="V2" s="15"/>
      <c r="X2" s="15"/>
      <c r="Z2" s="15"/>
      <c r="AB2" s="15"/>
      <c r="AD2" s="15"/>
      <c r="AF2" s="15"/>
      <c r="AG2" s="238" t="s">
        <v>1</v>
      </c>
      <c r="AH2" s="238"/>
      <c r="AI2" s="17"/>
      <c r="AJ2" s="18"/>
      <c r="AK2" s="15"/>
      <c r="AL2" s="10" t="e">
        <f>+#REF!</f>
        <v>#REF!</v>
      </c>
      <c r="AN2" s="18"/>
      <c r="AO2" s="18"/>
      <c r="AP2" s="18"/>
      <c r="AR2" s="15"/>
      <c r="AT2" s="15"/>
      <c r="AV2" s="15"/>
      <c r="AW2" s="15"/>
      <c r="AX2" s="15"/>
      <c r="AY2" s="15"/>
      <c r="AZ2" s="18"/>
      <c r="BA2" s="15"/>
      <c r="BB2" s="15"/>
      <c r="BC2" s="15"/>
      <c r="BD2" s="15"/>
      <c r="BE2" s="15"/>
      <c r="BF2" s="15"/>
      <c r="BG2" s="15"/>
      <c r="BH2" s="19"/>
    </row>
    <row r="3" spans="1:62">
      <c r="A3" s="20" t="str">
        <f>IF(G7=1,"DETAIL OF EXPENDITURES BUDGET BY DEPARTMENT WITH COMPARATIVE AMOUNTS", "SUMMARY OF EXPENDITURES BUDGET BY DEPARTMENT WITH COMPARATIVE AMOUNTS")</f>
        <v>DETAIL OF EXPENDITURES BUDGET BY DEPARTMENT WITH COMPARATIVE AMOUNTS</v>
      </c>
      <c r="B3" s="21"/>
      <c r="C3" s="21"/>
      <c r="D3" s="22"/>
      <c r="E3" s="22"/>
      <c r="F3" s="3"/>
      <c r="H3" s="5"/>
      <c r="I3" s="23"/>
      <c r="J3" s="15"/>
      <c r="L3" s="15"/>
      <c r="M3" s="10"/>
      <c r="N3" s="10"/>
      <c r="O3" s="10"/>
      <c r="P3" s="24"/>
      <c r="R3" s="24"/>
      <c r="V3" s="24"/>
      <c r="W3" s="24"/>
      <c r="X3" s="15"/>
      <c r="Y3" s="24"/>
      <c r="AA3" s="24"/>
      <c r="AB3" s="24" t="e">
        <f>+#REF!</f>
        <v>#REF!</v>
      </c>
      <c r="AC3" s="24"/>
      <c r="AD3" s="24" t="e">
        <f>+#REF!</f>
        <v>#REF!</v>
      </c>
      <c r="AE3" s="24"/>
      <c r="AF3" s="10" t="e">
        <f>+#REF!</f>
        <v>#REF!</v>
      </c>
      <c r="AG3" s="239" t="s">
        <v>2</v>
      </c>
      <c r="AH3" s="239"/>
      <c r="AI3" s="25"/>
      <c r="AJ3" s="25" t="e">
        <f>+#REF!</f>
        <v>#REF!</v>
      </c>
      <c r="AK3" s="24"/>
      <c r="AL3" s="16" t="s">
        <v>1</v>
      </c>
      <c r="AM3" s="25"/>
      <c r="AN3" s="25"/>
      <c r="AO3" s="25"/>
      <c r="AP3" s="25"/>
      <c r="AQ3" s="24"/>
      <c r="AR3" s="24" t="e">
        <f>+#REF!</f>
        <v>#REF!</v>
      </c>
      <c r="AS3" s="24"/>
      <c r="AT3" s="24" t="e">
        <f>+#REF!</f>
        <v>#REF!</v>
      </c>
      <c r="AU3" s="24"/>
      <c r="AV3" s="24" t="e">
        <f>+#REF!</f>
        <v>#REF!</v>
      </c>
      <c r="AW3" s="24"/>
      <c r="AX3" s="24" t="e">
        <f>+#REF!</f>
        <v>#REF!</v>
      </c>
      <c r="AY3" s="24"/>
      <c r="AZ3" s="25"/>
      <c r="BA3" s="24"/>
      <c r="BB3" s="24"/>
      <c r="BC3" s="24"/>
      <c r="BD3" s="26"/>
      <c r="BE3" s="26"/>
      <c r="BF3" s="26"/>
      <c r="BG3" s="26"/>
      <c r="BH3" s="27"/>
    </row>
    <row r="4" spans="1:62" ht="15">
      <c r="A4" s="28" t="s">
        <v>1070</v>
      </c>
      <c r="B4" s="29"/>
      <c r="C4" s="29"/>
      <c r="D4" s="28"/>
      <c r="E4" s="28"/>
      <c r="F4" s="3"/>
      <c r="H4" s="30"/>
      <c r="I4" s="31" t="e">
        <f>+#REF!</f>
        <v>#REF!</v>
      </c>
      <c r="J4" s="31" t="e">
        <f>+#REF!</f>
        <v>#REF!</v>
      </c>
      <c r="L4" s="31"/>
      <c r="M4" s="32"/>
      <c r="N4" s="33"/>
      <c r="O4" s="32"/>
      <c r="P4" s="33"/>
      <c r="R4" s="33"/>
      <c r="T4" s="33"/>
      <c r="X4" s="31"/>
      <c r="Z4" s="10"/>
      <c r="AB4" s="241"/>
      <c r="AC4" s="241"/>
      <c r="AD4" s="241"/>
      <c r="AE4" s="35"/>
      <c r="AF4" s="34"/>
      <c r="AG4" s="240"/>
      <c r="AH4" s="240"/>
      <c r="AI4" s="17"/>
      <c r="AJ4" s="16"/>
      <c r="AK4" s="24"/>
      <c r="AL4" s="16"/>
      <c r="AM4" s="17"/>
      <c r="AN4" s="31"/>
      <c r="AO4" s="31"/>
      <c r="AP4" s="31"/>
      <c r="AR4" s="34" t="s">
        <v>5</v>
      </c>
      <c r="AU4" s="35"/>
      <c r="AV4" s="34"/>
      <c r="AW4" s="34"/>
      <c r="AX4" s="34" t="s">
        <v>5</v>
      </c>
      <c r="AY4" s="34"/>
      <c r="AZ4" s="31"/>
      <c r="BA4" s="34"/>
      <c r="BB4" s="34"/>
      <c r="BC4" s="34"/>
      <c r="BD4" s="37"/>
      <c r="BE4" s="37"/>
      <c r="BF4" s="37"/>
      <c r="BG4" s="37"/>
      <c r="BH4" s="38"/>
    </row>
    <row r="5" spans="1:62" ht="15">
      <c r="B5" s="29"/>
      <c r="C5" s="29"/>
      <c r="D5" s="28"/>
      <c r="E5" s="28"/>
      <c r="G5" s="28"/>
      <c r="H5" s="5"/>
      <c r="I5" s="41" t="s">
        <v>6</v>
      </c>
      <c r="J5" s="42" t="s">
        <v>7</v>
      </c>
      <c r="L5" s="16" t="s">
        <v>8</v>
      </c>
      <c r="M5" s="16"/>
      <c r="N5" s="16" t="s">
        <v>9</v>
      </c>
      <c r="O5" s="16"/>
      <c r="P5" s="16" t="s">
        <v>9</v>
      </c>
      <c r="Q5" s="17"/>
      <c r="R5" s="43"/>
      <c r="S5" s="17"/>
      <c r="T5" s="16"/>
      <c r="U5" s="17"/>
      <c r="V5" s="16" t="s">
        <v>9</v>
      </c>
      <c r="X5" s="16" t="s">
        <v>9</v>
      </c>
      <c r="Z5" s="34" t="s">
        <v>1</v>
      </c>
      <c r="AB5" s="243" t="s">
        <v>10</v>
      </c>
      <c r="AC5" s="243"/>
      <c r="AD5" s="243"/>
      <c r="AE5" s="35"/>
      <c r="AF5" s="34" t="s">
        <v>1</v>
      </c>
      <c r="AG5" s="17"/>
      <c r="AH5" s="16" t="s">
        <v>11</v>
      </c>
      <c r="AI5" s="17"/>
      <c r="AJ5" s="16" t="s">
        <v>1</v>
      </c>
      <c r="AK5" s="24"/>
      <c r="AL5" s="43" t="s">
        <v>12</v>
      </c>
      <c r="AM5" s="17"/>
      <c r="AN5" s="16" t="s">
        <v>1</v>
      </c>
      <c r="AO5" s="45" t="s">
        <v>1</v>
      </c>
      <c r="AP5" s="46" t="s">
        <v>5</v>
      </c>
      <c r="AQ5" s="47"/>
      <c r="AR5" s="48" t="s">
        <v>10</v>
      </c>
      <c r="AS5" s="47"/>
      <c r="AT5" s="47"/>
      <c r="AU5" s="47"/>
      <c r="AV5" s="46" t="s">
        <v>5</v>
      </c>
      <c r="AW5" s="34"/>
      <c r="AX5" s="49" t="s">
        <v>3</v>
      </c>
      <c r="AY5" s="34"/>
      <c r="AZ5" s="46" t="s">
        <v>1054</v>
      </c>
      <c r="BA5" s="46" t="s">
        <v>1054</v>
      </c>
      <c r="BB5" s="34" t="s">
        <v>1069</v>
      </c>
      <c r="BC5" s="34"/>
      <c r="BD5" s="50" t="s">
        <v>13</v>
      </c>
      <c r="BE5" s="37"/>
      <c r="BF5" s="37"/>
      <c r="BG5" s="37"/>
      <c r="BH5" s="51"/>
    </row>
    <row r="6" spans="1:62">
      <c r="A6" s="242"/>
      <c r="B6" s="242"/>
      <c r="C6" s="242"/>
      <c r="D6" s="242"/>
      <c r="E6" s="242"/>
      <c r="F6" s="242"/>
      <c r="G6" s="22"/>
      <c r="H6" s="5"/>
      <c r="I6" s="52" t="s">
        <v>14</v>
      </c>
      <c r="J6" s="52" t="s">
        <v>14</v>
      </c>
      <c r="L6" s="43" t="s">
        <v>14</v>
      </c>
      <c r="M6" s="43"/>
      <c r="N6" s="43" t="s">
        <v>15</v>
      </c>
      <c r="O6" s="43"/>
      <c r="P6" s="43" t="s">
        <v>4</v>
      </c>
      <c r="Q6" s="17"/>
      <c r="R6" s="43" t="s">
        <v>4</v>
      </c>
      <c r="S6" s="43"/>
      <c r="T6" s="43" t="s">
        <v>16</v>
      </c>
      <c r="U6" s="43"/>
      <c r="V6" s="43" t="s">
        <v>4</v>
      </c>
      <c r="W6" s="43"/>
      <c r="X6" s="43" t="s">
        <v>14</v>
      </c>
      <c r="Y6" s="43"/>
      <c r="Z6" s="34" t="s">
        <v>17</v>
      </c>
      <c r="AA6" s="43"/>
      <c r="AB6" s="53" t="s">
        <v>16</v>
      </c>
      <c r="AC6" s="53"/>
      <c r="AD6" s="34"/>
      <c r="AE6" s="53"/>
      <c r="AF6" s="34" t="s">
        <v>17</v>
      </c>
      <c r="AG6" s="43" t="s">
        <v>16</v>
      </c>
      <c r="AH6" s="16" t="s">
        <v>18</v>
      </c>
      <c r="AI6" s="43"/>
      <c r="AJ6" s="16" t="s">
        <v>19</v>
      </c>
      <c r="AK6" s="24"/>
      <c r="AL6" s="43" t="s">
        <v>16</v>
      </c>
      <c r="AM6" s="43"/>
      <c r="AN6" s="43" t="s">
        <v>14</v>
      </c>
      <c r="AO6" s="45" t="s">
        <v>20</v>
      </c>
      <c r="AP6" s="43" t="s">
        <v>14</v>
      </c>
      <c r="AQ6" s="54"/>
      <c r="AR6" s="54" t="s">
        <v>16</v>
      </c>
      <c r="AS6" s="54"/>
      <c r="AT6" s="46"/>
      <c r="AU6" s="54"/>
      <c r="AV6" s="46" t="s">
        <v>19</v>
      </c>
      <c r="AW6" s="34"/>
      <c r="AX6" s="55" t="s">
        <v>16</v>
      </c>
      <c r="AY6" s="34"/>
      <c r="AZ6" s="54" t="s">
        <v>17</v>
      </c>
      <c r="BA6" s="46" t="s">
        <v>17</v>
      </c>
      <c r="BB6" s="34" t="s">
        <v>19</v>
      </c>
      <c r="BC6" s="56"/>
      <c r="BD6" s="50" t="s">
        <v>21</v>
      </c>
      <c r="BE6" s="37"/>
      <c r="BF6" s="37"/>
      <c r="BG6" s="37"/>
      <c r="BH6" s="57"/>
    </row>
    <row r="7" spans="1:62" ht="15">
      <c r="A7" s="237"/>
      <c r="B7" s="237"/>
      <c r="C7" s="237"/>
      <c r="D7" s="237"/>
      <c r="E7" s="237"/>
      <c r="F7" s="237"/>
      <c r="G7" s="59">
        <v>1</v>
      </c>
      <c r="H7" s="60"/>
      <c r="I7" s="52" t="s">
        <v>22</v>
      </c>
      <c r="J7" s="52" t="s">
        <v>22</v>
      </c>
      <c r="L7" s="43" t="s">
        <v>22</v>
      </c>
      <c r="M7" s="43"/>
      <c r="N7" s="43" t="s">
        <v>23</v>
      </c>
      <c r="O7" s="43"/>
      <c r="P7" s="43" t="s">
        <v>24</v>
      </c>
      <c r="Q7" s="43"/>
      <c r="R7" s="43" t="s">
        <v>24</v>
      </c>
      <c r="S7" s="43"/>
      <c r="T7" s="43" t="s">
        <v>25</v>
      </c>
      <c r="U7" s="43"/>
      <c r="V7" s="43" t="s">
        <v>24</v>
      </c>
      <c r="W7" s="43"/>
      <c r="X7" s="43" t="s">
        <v>22</v>
      </c>
      <c r="Y7" s="43"/>
      <c r="Z7" s="53" t="s">
        <v>15</v>
      </c>
      <c r="AA7" s="43"/>
      <c r="AB7" s="53" t="s">
        <v>26</v>
      </c>
      <c r="AC7" s="53"/>
      <c r="AD7" s="53"/>
      <c r="AE7" s="53"/>
      <c r="AF7" s="53" t="s">
        <v>4</v>
      </c>
      <c r="AG7" s="43" t="s">
        <v>26</v>
      </c>
      <c r="AH7" s="43" t="s">
        <v>27</v>
      </c>
      <c r="AI7" s="43"/>
      <c r="AJ7" s="43" t="s">
        <v>4</v>
      </c>
      <c r="AK7" s="24"/>
      <c r="AL7" s="43" t="s">
        <v>26</v>
      </c>
      <c r="AM7" s="43"/>
      <c r="AN7" s="43" t="s">
        <v>22</v>
      </c>
      <c r="AO7" s="61" t="s">
        <v>22</v>
      </c>
      <c r="AP7" s="43" t="s">
        <v>22</v>
      </c>
      <c r="AQ7" s="54"/>
      <c r="AR7" s="54" t="s">
        <v>26</v>
      </c>
      <c r="AS7" s="54"/>
      <c r="AT7" s="54"/>
      <c r="AU7" s="54"/>
      <c r="AV7" s="54" t="s">
        <v>4</v>
      </c>
      <c r="AW7" s="53"/>
      <c r="AX7" s="55" t="s">
        <v>26</v>
      </c>
      <c r="AY7" s="53"/>
      <c r="AZ7" s="54" t="s">
        <v>15</v>
      </c>
      <c r="BA7" s="54" t="s">
        <v>4</v>
      </c>
      <c r="BB7" s="34" t="s">
        <v>15</v>
      </c>
      <c r="BC7" s="56"/>
      <c r="BD7" s="50" t="s">
        <v>28</v>
      </c>
      <c r="BE7" s="62"/>
      <c r="BF7" s="62"/>
      <c r="BG7" s="62"/>
      <c r="BH7" s="57"/>
      <c r="BI7" s="63"/>
    </row>
    <row r="8" spans="1:62" ht="15">
      <c r="A8" s="237" t="s">
        <v>29</v>
      </c>
      <c r="B8" s="237"/>
      <c r="C8" s="237"/>
      <c r="D8" s="237"/>
      <c r="E8" s="237"/>
      <c r="F8" s="64" t="s">
        <v>30</v>
      </c>
      <c r="G8" s="64" t="s">
        <v>31</v>
      </c>
      <c r="H8" s="60"/>
      <c r="I8" s="65" t="s">
        <v>32</v>
      </c>
      <c r="J8" s="65" t="s">
        <v>32</v>
      </c>
      <c r="L8" s="66" t="s">
        <v>32</v>
      </c>
      <c r="M8" s="36"/>
      <c r="N8" s="36" t="s">
        <v>2</v>
      </c>
      <c r="O8" s="36"/>
      <c r="P8" s="36" t="s">
        <v>33</v>
      </c>
      <c r="Q8" s="36"/>
      <c r="R8" s="36" t="s">
        <v>34</v>
      </c>
      <c r="S8" s="36"/>
      <c r="T8" s="36" t="s">
        <v>35</v>
      </c>
      <c r="U8" s="36"/>
      <c r="V8" s="36" t="s">
        <v>36</v>
      </c>
      <c r="W8" s="36"/>
      <c r="X8" s="66" t="s">
        <v>32</v>
      </c>
      <c r="Y8" s="36"/>
      <c r="Z8" s="44" t="s">
        <v>24</v>
      </c>
      <c r="AA8" s="36"/>
      <c r="AB8" s="44" t="s">
        <v>35</v>
      </c>
      <c r="AC8" s="44"/>
      <c r="AD8" s="44" t="s">
        <v>37</v>
      </c>
      <c r="AE8" s="44"/>
      <c r="AF8" s="44" t="s">
        <v>38</v>
      </c>
      <c r="AG8" s="36" t="s">
        <v>35</v>
      </c>
      <c r="AH8" s="36" t="s">
        <v>39</v>
      </c>
      <c r="AI8" s="36"/>
      <c r="AJ8" s="36" t="s">
        <v>40</v>
      </c>
      <c r="AK8" s="24"/>
      <c r="AL8" s="36" t="s">
        <v>35</v>
      </c>
      <c r="AM8" s="36"/>
      <c r="AN8" s="36" t="s">
        <v>32</v>
      </c>
      <c r="AO8" s="67" t="s">
        <v>32</v>
      </c>
      <c r="AP8" s="36" t="s">
        <v>32</v>
      </c>
      <c r="AQ8" s="48"/>
      <c r="AR8" s="48" t="s">
        <v>35</v>
      </c>
      <c r="AS8" s="48"/>
      <c r="AT8" s="48" t="s">
        <v>37</v>
      </c>
      <c r="AU8" s="48"/>
      <c r="AV8" s="48" t="s">
        <v>38</v>
      </c>
      <c r="AW8" s="44"/>
      <c r="AX8" s="49" t="s">
        <v>35</v>
      </c>
      <c r="AY8" s="44"/>
      <c r="AZ8" s="48" t="s">
        <v>2</v>
      </c>
      <c r="BA8" s="48" t="s">
        <v>40</v>
      </c>
      <c r="BB8" s="44" t="s">
        <v>2</v>
      </c>
      <c r="BC8" s="56"/>
      <c r="BD8" s="50" t="s">
        <v>41</v>
      </c>
      <c r="BE8" s="68"/>
      <c r="BF8" s="68"/>
      <c r="BG8" s="68"/>
      <c r="BH8" s="69"/>
    </row>
    <row r="9" spans="1:62" ht="15">
      <c r="A9" s="58"/>
      <c r="B9" s="58"/>
      <c r="C9" s="58"/>
      <c r="D9" s="64"/>
      <c r="E9" s="64"/>
      <c r="F9" s="64"/>
      <c r="G9" s="70"/>
      <c r="H9" s="60"/>
      <c r="J9" s="71"/>
      <c r="AK9" s="24"/>
      <c r="BB9" s="34"/>
      <c r="BC9" s="56"/>
      <c r="BH9" s="72">
        <v>2</v>
      </c>
    </row>
    <row r="10" spans="1:62" ht="20.100000000000001" customHeight="1" outlineLevel="1">
      <c r="A10" s="236" t="s">
        <v>636</v>
      </c>
      <c r="B10" s="77"/>
      <c r="C10" s="77"/>
      <c r="D10" s="90"/>
      <c r="E10" s="90"/>
      <c r="F10" s="3"/>
      <c r="H10" s="87"/>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5"/>
      <c r="AL10" s="83"/>
      <c r="AM10" s="83"/>
      <c r="AN10" s="100"/>
      <c r="AO10" s="100"/>
      <c r="AP10" s="100"/>
      <c r="AQ10" s="83"/>
      <c r="AR10" s="83"/>
      <c r="AS10" s="83"/>
      <c r="AT10" s="83"/>
      <c r="AU10" s="83"/>
      <c r="AV10" s="83"/>
      <c r="AW10" s="83"/>
      <c r="AX10" s="83"/>
      <c r="AY10" s="83"/>
      <c r="AZ10" s="100"/>
      <c r="BA10" s="83"/>
      <c r="BB10" s="83"/>
      <c r="BC10" s="56"/>
      <c r="BD10" s="83"/>
      <c r="BE10" s="83"/>
      <c r="BF10" s="83"/>
      <c r="BG10" s="83"/>
      <c r="BH10" s="19"/>
    </row>
    <row r="11" spans="1:62" ht="20.100000000000001" customHeight="1" outlineLevel="1">
      <c r="A11" s="77" t="s">
        <v>43</v>
      </c>
      <c r="B11" s="157" t="s">
        <v>637</v>
      </c>
      <c r="C11" s="77" t="s">
        <v>1091</v>
      </c>
      <c r="D11" s="78" t="s">
        <v>46</v>
      </c>
      <c r="E11" s="78" t="str">
        <f>+D11</f>
        <v>000</v>
      </c>
      <c r="F11" s="79">
        <v>611211</v>
      </c>
      <c r="G11" s="147" t="s">
        <v>638</v>
      </c>
      <c r="H11" s="158">
        <v>1</v>
      </c>
      <c r="I11" s="82">
        <v>1916127</v>
      </c>
      <c r="J11" s="82">
        <v>1753359</v>
      </c>
      <c r="L11" s="83">
        <v>2058595</v>
      </c>
      <c r="M11" s="83"/>
      <c r="N11" s="83">
        <v>2230395</v>
      </c>
      <c r="O11" s="83"/>
      <c r="P11" s="83">
        <v>2230395</v>
      </c>
      <c r="Q11" s="83"/>
      <c r="R11" s="83">
        <v>2220229</v>
      </c>
      <c r="S11" s="83"/>
      <c r="T11" s="83">
        <v>0</v>
      </c>
      <c r="U11" s="83"/>
      <c r="V11" s="83">
        <v>2220229</v>
      </c>
      <c r="W11" s="83"/>
      <c r="X11" s="83">
        <v>2161972.96</v>
      </c>
      <c r="Y11" s="83"/>
      <c r="Z11" s="83">
        <v>2199986</v>
      </c>
      <c r="AA11" s="83"/>
      <c r="AB11" s="83">
        <v>0</v>
      </c>
      <c r="AC11" s="83"/>
      <c r="AD11" s="83"/>
      <c r="AE11" s="83"/>
      <c r="AF11" s="84">
        <f>SUM(Z11:AE11)</f>
        <v>2199986</v>
      </c>
      <c r="AG11" s="103">
        <v>14500</v>
      </c>
      <c r="AH11" s="83">
        <v>57500</v>
      </c>
      <c r="AI11" s="83"/>
      <c r="AJ11" s="84">
        <f>SUM(AE11:AI11)</f>
        <v>2271986</v>
      </c>
      <c r="AK11" s="85"/>
      <c r="AL11" s="83">
        <v>0</v>
      </c>
      <c r="AM11" s="83"/>
      <c r="AN11" s="100">
        <v>2304439</v>
      </c>
      <c r="AO11" s="100">
        <v>0</v>
      </c>
      <c r="AP11" s="100">
        <v>2483621.14</v>
      </c>
      <c r="AQ11" s="83"/>
      <c r="AR11" s="83">
        <v>0</v>
      </c>
      <c r="AS11" s="83"/>
      <c r="AT11" s="83">
        <v>0</v>
      </c>
      <c r="AU11" s="83"/>
      <c r="AV11" s="84">
        <f>SUM(AP11:AU11)</f>
        <v>2483621.14</v>
      </c>
      <c r="AW11" s="84"/>
      <c r="AX11" s="128">
        <v>291831</v>
      </c>
      <c r="AY11" s="84"/>
      <c r="AZ11" s="100">
        <v>2476567</v>
      </c>
      <c r="BA11" s="84">
        <v>2443205</v>
      </c>
      <c r="BB11" s="214"/>
      <c r="BC11" s="56"/>
      <c r="BD11" s="84">
        <f>+AP11-AN11</f>
        <v>179182.14000000013</v>
      </c>
      <c r="BE11" s="84"/>
      <c r="BF11" s="84"/>
      <c r="BG11" s="84"/>
      <c r="BH11" s="72">
        <v>1</v>
      </c>
      <c r="BJ11">
        <v>1</v>
      </c>
    </row>
    <row r="12" spans="1:62" ht="20.100000000000001" customHeight="1" outlineLevel="1">
      <c r="A12" s="77" t="s">
        <v>43</v>
      </c>
      <c r="B12" s="157" t="s">
        <v>637</v>
      </c>
      <c r="C12" s="77" t="s">
        <v>1091</v>
      </c>
      <c r="D12" s="78" t="s">
        <v>46</v>
      </c>
      <c r="E12" s="78" t="str">
        <f t="shared" ref="E12:E55" si="0">+D12</f>
        <v>000</v>
      </c>
      <c r="F12" s="79">
        <v>632013</v>
      </c>
      <c r="G12" s="147" t="s">
        <v>639</v>
      </c>
      <c r="H12" s="158"/>
      <c r="I12" s="82"/>
      <c r="J12" s="82"/>
      <c r="L12" s="83"/>
      <c r="M12" s="83"/>
      <c r="N12" s="83"/>
      <c r="O12" s="83"/>
      <c r="P12" s="83"/>
      <c r="Q12" s="83"/>
      <c r="R12" s="83"/>
      <c r="S12" s="83"/>
      <c r="T12" s="83"/>
      <c r="U12" s="83"/>
      <c r="V12" s="83"/>
      <c r="W12" s="83"/>
      <c r="X12" s="83"/>
      <c r="Y12" s="83"/>
      <c r="Z12" s="83"/>
      <c r="AA12" s="83"/>
      <c r="AB12" s="83"/>
      <c r="AC12" s="83"/>
      <c r="AD12" s="83"/>
      <c r="AE12" s="83"/>
      <c r="AF12" s="84"/>
      <c r="AG12" s="103"/>
      <c r="AH12" s="83"/>
      <c r="AI12" s="83"/>
      <c r="AJ12" s="84"/>
      <c r="AK12" s="85"/>
      <c r="AL12" s="83"/>
      <c r="AM12" s="83"/>
      <c r="AN12" s="100">
        <v>2986.73</v>
      </c>
      <c r="AO12" s="100"/>
      <c r="AP12" s="100">
        <v>0</v>
      </c>
      <c r="AQ12" s="83"/>
      <c r="AR12" s="83"/>
      <c r="AS12" s="83"/>
      <c r="AT12" s="83"/>
      <c r="AU12" s="83"/>
      <c r="AV12" s="56">
        <v>0</v>
      </c>
      <c r="AW12" s="84"/>
      <c r="AX12" s="56">
        <v>0</v>
      </c>
      <c r="AY12" s="84"/>
      <c r="AZ12" s="100">
        <v>0</v>
      </c>
      <c r="BA12" s="56">
        <v>0</v>
      </c>
      <c r="BB12" s="214"/>
      <c r="BC12" s="56"/>
      <c r="BD12" s="84"/>
      <c r="BE12" s="84"/>
      <c r="BF12" s="84"/>
      <c r="BG12" s="84"/>
      <c r="BH12" s="72"/>
    </row>
    <row r="13" spans="1:62" ht="20.100000000000001" customHeight="1" outlineLevel="1">
      <c r="A13" s="77" t="s">
        <v>43</v>
      </c>
      <c r="B13" s="157" t="s">
        <v>637</v>
      </c>
      <c r="C13" s="77" t="s">
        <v>1091</v>
      </c>
      <c r="D13" s="78" t="s">
        <v>46</v>
      </c>
      <c r="E13" s="78" t="str">
        <f t="shared" si="0"/>
        <v>000</v>
      </c>
      <c r="F13" s="3">
        <v>643011</v>
      </c>
      <c r="G13" s="147" t="s">
        <v>258</v>
      </c>
      <c r="H13" s="158">
        <v>1</v>
      </c>
      <c r="I13" s="13">
        <v>0</v>
      </c>
      <c r="J13" s="13">
        <v>0</v>
      </c>
      <c r="L13" s="56">
        <v>0</v>
      </c>
      <c r="M13" s="56"/>
      <c r="N13" s="56">
        <v>540</v>
      </c>
      <c r="O13" s="56"/>
      <c r="P13" s="56">
        <v>540</v>
      </c>
      <c r="Q13" s="56"/>
      <c r="R13" s="56">
        <v>540</v>
      </c>
      <c r="S13" s="56"/>
      <c r="T13" s="56">
        <v>0</v>
      </c>
      <c r="U13" s="56"/>
      <c r="V13" s="56">
        <v>540</v>
      </c>
      <c r="W13" s="56"/>
      <c r="X13" s="56">
        <v>204</v>
      </c>
      <c r="Y13" s="56"/>
      <c r="Z13" s="56">
        <v>540</v>
      </c>
      <c r="AA13" s="56"/>
      <c r="AB13" s="56">
        <v>0</v>
      </c>
      <c r="AC13" s="56"/>
      <c r="AD13" s="56"/>
      <c r="AE13" s="56"/>
      <c r="AF13" s="56">
        <f>SUM(Z13:AE13)</f>
        <v>540</v>
      </c>
      <c r="AG13" s="56">
        <v>0</v>
      </c>
      <c r="AH13" s="56">
        <v>0</v>
      </c>
      <c r="AI13" s="56"/>
      <c r="AJ13" s="56">
        <f>SUM(AE13:AI13)</f>
        <v>540</v>
      </c>
      <c r="AK13" s="85"/>
      <c r="AL13" s="56">
        <v>0</v>
      </c>
      <c r="AM13" s="56"/>
      <c r="AN13" s="88">
        <v>0</v>
      </c>
      <c r="AO13" s="88">
        <v>0</v>
      </c>
      <c r="AP13" s="88">
        <v>0</v>
      </c>
      <c r="AQ13" s="56"/>
      <c r="AR13" s="56">
        <v>0</v>
      </c>
      <c r="AS13" s="56"/>
      <c r="AT13" s="56">
        <v>0</v>
      </c>
      <c r="AU13" s="56"/>
      <c r="AV13" s="56">
        <f>SUM(AP13:AU13)</f>
        <v>0</v>
      </c>
      <c r="AW13" s="56"/>
      <c r="AX13" s="56">
        <v>-540</v>
      </c>
      <c r="AY13" s="56"/>
      <c r="AZ13" s="88">
        <v>0</v>
      </c>
      <c r="BA13" s="56">
        <v>0</v>
      </c>
      <c r="BB13" s="214"/>
      <c r="BC13" s="56"/>
      <c r="BD13" s="84">
        <f>+AP13-AN13</f>
        <v>0</v>
      </c>
      <c r="BE13" s="56"/>
      <c r="BF13" s="56"/>
      <c r="BG13" s="56"/>
      <c r="BH13" s="72"/>
    </row>
    <row r="14" spans="1:62" ht="20.100000000000001" customHeight="1" outlineLevel="1">
      <c r="A14" s="77" t="s">
        <v>43</v>
      </c>
      <c r="B14" s="157" t="s">
        <v>637</v>
      </c>
      <c r="C14" s="77" t="s">
        <v>1091</v>
      </c>
      <c r="D14" s="78" t="s">
        <v>46</v>
      </c>
      <c r="E14" s="78" t="str">
        <f t="shared" si="0"/>
        <v>000</v>
      </c>
      <c r="F14" s="3">
        <v>658212</v>
      </c>
      <c r="G14" s="147" t="s">
        <v>640</v>
      </c>
      <c r="H14" s="158"/>
      <c r="I14" s="13"/>
      <c r="J14" s="13"/>
      <c r="L14" s="56"/>
      <c r="M14" s="56"/>
      <c r="N14" s="56"/>
      <c r="O14" s="56"/>
      <c r="P14" s="56"/>
      <c r="Q14" s="56"/>
      <c r="R14" s="56"/>
      <c r="S14" s="56"/>
      <c r="T14" s="56"/>
      <c r="U14" s="56"/>
      <c r="V14" s="56"/>
      <c r="W14" s="56"/>
      <c r="X14" s="56">
        <v>0</v>
      </c>
      <c r="Y14" s="56"/>
      <c r="Z14" s="56"/>
      <c r="AA14" s="56"/>
      <c r="AB14" s="56"/>
      <c r="AC14" s="56"/>
      <c r="AD14" s="56"/>
      <c r="AE14" s="56"/>
      <c r="AF14" s="56"/>
      <c r="AG14" s="56"/>
      <c r="AH14" s="56"/>
      <c r="AI14" s="56"/>
      <c r="AJ14" s="56"/>
      <c r="AK14" s="85"/>
      <c r="AL14" s="56"/>
      <c r="AM14" s="56"/>
      <c r="AN14" s="88">
        <v>0</v>
      </c>
      <c r="AO14" s="88"/>
      <c r="AP14" s="88">
        <v>21481.03</v>
      </c>
      <c r="AQ14" s="56"/>
      <c r="AR14" s="56"/>
      <c r="AS14" s="56"/>
      <c r="AT14" s="56"/>
      <c r="AU14" s="56"/>
      <c r="AV14" s="56">
        <v>0</v>
      </c>
      <c r="AW14" s="56"/>
      <c r="AX14" s="56">
        <v>25000</v>
      </c>
      <c r="AY14" s="56"/>
      <c r="AZ14" s="88">
        <v>25000</v>
      </c>
      <c r="BA14" s="56">
        <v>25000</v>
      </c>
      <c r="BB14" s="214"/>
      <c r="BC14" s="56"/>
      <c r="BD14" s="84"/>
      <c r="BE14" s="56"/>
      <c r="BF14" s="56"/>
      <c r="BG14" s="56"/>
      <c r="BH14" s="72"/>
    </row>
    <row r="15" spans="1:62" ht="20.100000000000001" customHeight="1" outlineLevel="1">
      <c r="A15" s="77" t="s">
        <v>43</v>
      </c>
      <c r="B15" s="157" t="s">
        <v>637</v>
      </c>
      <c r="C15" s="77" t="s">
        <v>1091</v>
      </c>
      <c r="D15" s="78" t="s">
        <v>46</v>
      </c>
      <c r="E15" s="78" t="str">
        <f t="shared" si="0"/>
        <v>000</v>
      </c>
      <c r="F15" s="3">
        <v>659011</v>
      </c>
      <c r="G15" s="147" t="s">
        <v>641</v>
      </c>
      <c r="H15" s="158">
        <v>1</v>
      </c>
      <c r="I15" s="13">
        <v>1919</v>
      </c>
      <c r="J15" s="13">
        <v>2093</v>
      </c>
      <c r="L15" s="56">
        <v>2093</v>
      </c>
      <c r="M15" s="56"/>
      <c r="N15" s="56">
        <v>8800</v>
      </c>
      <c r="O15" s="56"/>
      <c r="P15" s="56">
        <v>8800</v>
      </c>
      <c r="Q15" s="56"/>
      <c r="R15" s="56">
        <v>8800</v>
      </c>
      <c r="S15" s="56"/>
      <c r="T15" s="56">
        <v>0</v>
      </c>
      <c r="U15" s="56"/>
      <c r="V15" s="56">
        <v>8800</v>
      </c>
      <c r="W15" s="56"/>
      <c r="X15" s="56">
        <v>2461.15</v>
      </c>
      <c r="Y15" s="56"/>
      <c r="Z15" s="56">
        <v>8800</v>
      </c>
      <c r="AA15" s="56"/>
      <c r="AB15" s="56">
        <v>0</v>
      </c>
      <c r="AC15" s="56"/>
      <c r="AD15" s="56"/>
      <c r="AE15" s="56"/>
      <c r="AF15" s="56">
        <f>SUM(Z15:AE15)</f>
        <v>8800</v>
      </c>
      <c r="AG15" s="56">
        <v>0</v>
      </c>
      <c r="AH15" s="56">
        <v>0</v>
      </c>
      <c r="AI15" s="56"/>
      <c r="AJ15" s="56">
        <f>SUM(AE15:AI15)</f>
        <v>8800</v>
      </c>
      <c r="AK15" s="85"/>
      <c r="AL15" s="56">
        <v>0</v>
      </c>
      <c r="AM15" s="56"/>
      <c r="AN15" s="88">
        <v>2701.71</v>
      </c>
      <c r="AO15" s="88">
        <v>0</v>
      </c>
      <c r="AP15" s="88">
        <v>206.74</v>
      </c>
      <c r="AQ15" s="56"/>
      <c r="AR15" s="56">
        <v>0</v>
      </c>
      <c r="AS15" s="56"/>
      <c r="AT15" s="56">
        <v>0</v>
      </c>
      <c r="AU15" s="56"/>
      <c r="AV15" s="56">
        <f>SUM(AP15:AU15)</f>
        <v>206.74</v>
      </c>
      <c r="AW15" s="56"/>
      <c r="AX15" s="56">
        <v>-8800</v>
      </c>
      <c r="AY15" s="56"/>
      <c r="AZ15" s="88">
        <v>0</v>
      </c>
      <c r="BA15" s="56">
        <v>0</v>
      </c>
      <c r="BB15" s="214"/>
      <c r="BC15" s="56"/>
      <c r="BD15" s="84">
        <f>+AP15-AN15</f>
        <v>-2494.9700000000003</v>
      </c>
      <c r="BE15" s="56"/>
      <c r="BF15" s="56"/>
      <c r="BG15" s="56"/>
      <c r="BH15" s="72"/>
    </row>
    <row r="16" spans="1:62" ht="20.100000000000001" customHeight="1" outlineLevel="1">
      <c r="A16" s="77" t="s">
        <v>43</v>
      </c>
      <c r="B16" s="157" t="s">
        <v>637</v>
      </c>
      <c r="C16" s="77" t="s">
        <v>1091</v>
      </c>
      <c r="D16" s="78" t="s">
        <v>46</v>
      </c>
      <c r="E16" s="78" t="str">
        <f t="shared" si="0"/>
        <v>000</v>
      </c>
      <c r="F16" s="3">
        <v>661021</v>
      </c>
      <c r="G16" s="147" t="s">
        <v>642</v>
      </c>
      <c r="H16" s="158">
        <v>1</v>
      </c>
      <c r="I16" s="13">
        <v>49957</v>
      </c>
      <c r="J16" s="13">
        <v>62510</v>
      </c>
      <c r="L16" s="56">
        <v>56932</v>
      </c>
      <c r="M16" s="56"/>
      <c r="N16" s="56">
        <v>109650</v>
      </c>
      <c r="O16" s="56"/>
      <c r="P16" s="56">
        <v>116514</v>
      </c>
      <c r="Q16" s="56"/>
      <c r="R16" s="56">
        <v>116514</v>
      </c>
      <c r="S16" s="56"/>
      <c r="T16" s="56">
        <v>0</v>
      </c>
      <c r="U16" s="56"/>
      <c r="V16" s="56">
        <v>116514</v>
      </c>
      <c r="W16" s="56"/>
      <c r="X16" s="56">
        <v>118929.52</v>
      </c>
      <c r="Y16" s="56"/>
      <c r="Z16" s="56">
        <v>109650</v>
      </c>
      <c r="AA16" s="56"/>
      <c r="AB16" s="56">
        <v>0</v>
      </c>
      <c r="AC16" s="56"/>
      <c r="AD16" s="56">
        <v>2810</v>
      </c>
      <c r="AE16" s="56"/>
      <c r="AF16" s="56">
        <f>SUM(Z16:AE16)</f>
        <v>112460</v>
      </c>
      <c r="AG16" s="56">
        <v>0</v>
      </c>
      <c r="AH16" s="56">
        <v>0</v>
      </c>
      <c r="AI16" s="56"/>
      <c r="AJ16" s="56">
        <f>SUM(AE16:AI16)</f>
        <v>112460</v>
      </c>
      <c r="AK16" s="85"/>
      <c r="AL16" s="56">
        <v>0</v>
      </c>
      <c r="AM16" s="56"/>
      <c r="AN16" s="88">
        <v>202970.85</v>
      </c>
      <c r="AO16" s="88">
        <v>0</v>
      </c>
      <c r="AP16" s="88">
        <v>174875.47</v>
      </c>
      <c r="AQ16" s="56"/>
      <c r="AR16" s="56">
        <v>0</v>
      </c>
      <c r="AS16" s="56"/>
      <c r="AT16" s="56">
        <v>1104.8</v>
      </c>
      <c r="AU16" s="56"/>
      <c r="AV16" s="56">
        <f>SUM(AP16:AU16)</f>
        <v>175980.27</v>
      </c>
      <c r="AW16" s="56"/>
      <c r="AX16" s="56">
        <v>-15000</v>
      </c>
      <c r="AY16" s="56"/>
      <c r="AZ16" s="88">
        <v>166715</v>
      </c>
      <c r="BA16" s="56">
        <v>165920</v>
      </c>
      <c r="BB16" s="214"/>
      <c r="BC16" s="56"/>
      <c r="BD16" s="84">
        <f>+AP16-AN16</f>
        <v>-28095.380000000005</v>
      </c>
      <c r="BE16" s="56"/>
      <c r="BF16" s="56"/>
      <c r="BG16" s="56"/>
      <c r="BH16" s="72"/>
    </row>
    <row r="17" spans="1:62" ht="20.100000000000001" customHeight="1" outlineLevel="1">
      <c r="A17" s="77" t="s">
        <v>43</v>
      </c>
      <c r="B17" s="157" t="s">
        <v>637</v>
      </c>
      <c r="C17" s="77" t="s">
        <v>1091</v>
      </c>
      <c r="D17" s="78" t="s">
        <v>46</v>
      </c>
      <c r="E17" s="78" t="str">
        <f t="shared" si="0"/>
        <v>000</v>
      </c>
      <c r="F17" s="3">
        <v>673021</v>
      </c>
      <c r="G17" s="147" t="s">
        <v>643</v>
      </c>
      <c r="H17" s="158">
        <v>1</v>
      </c>
      <c r="I17" s="13">
        <v>8392</v>
      </c>
      <c r="J17" s="13">
        <v>69785</v>
      </c>
      <c r="L17" s="56">
        <v>49404</v>
      </c>
      <c r="M17" s="56"/>
      <c r="N17" s="56">
        <v>78150</v>
      </c>
      <c r="O17" s="56"/>
      <c r="P17" s="56">
        <v>85389</v>
      </c>
      <c r="Q17" s="56"/>
      <c r="R17" s="56">
        <v>85389</v>
      </c>
      <c r="S17" s="56"/>
      <c r="T17" s="56">
        <v>0</v>
      </c>
      <c r="U17" s="56"/>
      <c r="V17" s="56">
        <v>85389</v>
      </c>
      <c r="W17" s="56"/>
      <c r="X17" s="56">
        <v>100627.18</v>
      </c>
      <c r="Y17" s="56"/>
      <c r="Z17" s="56">
        <v>78150</v>
      </c>
      <c r="AA17" s="56"/>
      <c r="AB17" s="56">
        <v>0</v>
      </c>
      <c r="AC17" s="56"/>
      <c r="AD17" s="56"/>
      <c r="AE17" s="56"/>
      <c r="AF17" s="56">
        <f>SUM(Z17:AE17)</f>
        <v>78150</v>
      </c>
      <c r="AG17" s="56">
        <v>0</v>
      </c>
      <c r="AH17" s="56">
        <v>0</v>
      </c>
      <c r="AI17" s="56"/>
      <c r="AJ17" s="56">
        <f>SUM(AE17:AI17)</f>
        <v>78150</v>
      </c>
      <c r="AK17" s="85"/>
      <c r="AL17" s="56">
        <v>0</v>
      </c>
      <c r="AM17" s="56"/>
      <c r="AN17" s="88">
        <v>0</v>
      </c>
      <c r="AO17" s="88">
        <v>0</v>
      </c>
      <c r="AP17" s="88">
        <v>0</v>
      </c>
      <c r="AQ17" s="56"/>
      <c r="AR17" s="56">
        <v>0</v>
      </c>
      <c r="AS17" s="56"/>
      <c r="AT17" s="56">
        <v>0</v>
      </c>
      <c r="AU17" s="56"/>
      <c r="AV17" s="56">
        <f>SUM(AP17:AU17)</f>
        <v>0</v>
      </c>
      <c r="AW17" s="56"/>
      <c r="AX17" s="56">
        <v>0</v>
      </c>
      <c r="AY17" s="56"/>
      <c r="AZ17" s="88">
        <v>0</v>
      </c>
      <c r="BA17" s="56">
        <v>0</v>
      </c>
      <c r="BB17" s="214"/>
      <c r="BC17" s="56"/>
      <c r="BD17" s="84">
        <f>+AP17-AN17</f>
        <v>0</v>
      </c>
      <c r="BE17" s="56"/>
      <c r="BF17" s="56"/>
      <c r="BG17" s="56"/>
      <c r="BH17" s="72"/>
    </row>
    <row r="18" spans="1:62" ht="20.100000000000001" customHeight="1" outlineLevel="1">
      <c r="A18" s="77" t="s">
        <v>43</v>
      </c>
      <c r="B18" s="109" t="s">
        <v>644</v>
      </c>
      <c r="C18" s="77" t="s">
        <v>1091</v>
      </c>
      <c r="D18" s="78" t="s">
        <v>46</v>
      </c>
      <c r="E18" s="78" t="str">
        <f t="shared" si="0"/>
        <v>000</v>
      </c>
      <c r="F18" s="79">
        <v>611211</v>
      </c>
      <c r="G18" s="155" t="s">
        <v>645</v>
      </c>
      <c r="H18" s="158">
        <v>2</v>
      </c>
      <c r="I18" s="82">
        <v>0</v>
      </c>
      <c r="J18" s="82">
        <v>0</v>
      </c>
      <c r="L18" s="83">
        <v>0</v>
      </c>
      <c r="M18" s="83"/>
      <c r="N18" s="83"/>
      <c r="O18" s="83"/>
      <c r="P18" s="83"/>
      <c r="Q18" s="83"/>
      <c r="R18" s="83"/>
      <c r="S18" s="83"/>
      <c r="T18" s="83"/>
      <c r="U18" s="83"/>
      <c r="V18" s="83"/>
      <c r="W18" s="83"/>
      <c r="X18" s="56">
        <v>0</v>
      </c>
      <c r="Y18" s="56"/>
      <c r="Z18" s="56"/>
      <c r="AA18" s="56"/>
      <c r="AB18" s="56"/>
      <c r="AC18" s="56"/>
      <c r="AD18" s="56"/>
      <c r="AE18" s="56"/>
      <c r="AF18" s="159"/>
      <c r="AG18" s="104"/>
      <c r="AH18" s="56"/>
      <c r="AI18" s="56"/>
      <c r="AJ18" s="159"/>
      <c r="AK18" s="160"/>
      <c r="AL18" s="56"/>
      <c r="AM18" s="56"/>
      <c r="AN18" s="88">
        <v>0</v>
      </c>
      <c r="AO18" s="106">
        <v>0</v>
      </c>
      <c r="AP18" s="106">
        <v>0</v>
      </c>
      <c r="AQ18" s="83"/>
      <c r="AR18" s="56">
        <v>0</v>
      </c>
      <c r="AS18" s="56"/>
      <c r="AT18" s="56">
        <v>0</v>
      </c>
      <c r="AU18" s="83"/>
      <c r="AV18" s="56">
        <f>SUM(AP18:AU18)</f>
        <v>0</v>
      </c>
      <c r="AW18" s="56"/>
      <c r="AX18" s="56">
        <v>0</v>
      </c>
      <c r="AY18" s="56"/>
      <c r="AZ18" s="106">
        <v>130000</v>
      </c>
      <c r="BA18" s="106">
        <v>130000</v>
      </c>
      <c r="BB18" s="214"/>
      <c r="BC18" s="56"/>
      <c r="BD18" s="84">
        <f>+AP18-AN18</f>
        <v>0</v>
      </c>
      <c r="BE18" s="84"/>
      <c r="BF18" s="84"/>
      <c r="BG18" s="84"/>
      <c r="BH18" s="72"/>
    </row>
    <row r="19" spans="1:62" ht="20.100000000000001" customHeight="1" outlineLevel="1">
      <c r="A19" s="77" t="s">
        <v>43</v>
      </c>
      <c r="B19" s="109" t="s">
        <v>644</v>
      </c>
      <c r="C19" s="77" t="s">
        <v>1091</v>
      </c>
      <c r="D19" s="78" t="s">
        <v>46</v>
      </c>
      <c r="E19" s="78" t="str">
        <f t="shared" si="0"/>
        <v>000</v>
      </c>
      <c r="F19" s="79">
        <v>632014</v>
      </c>
      <c r="G19" s="155" t="s">
        <v>646</v>
      </c>
      <c r="H19" s="158"/>
      <c r="I19" s="82"/>
      <c r="J19" s="82"/>
      <c r="L19" s="83"/>
      <c r="M19" s="83"/>
      <c r="N19" s="83"/>
      <c r="O19" s="83"/>
      <c r="P19" s="83"/>
      <c r="Q19" s="83"/>
      <c r="R19" s="83"/>
      <c r="S19" s="83"/>
      <c r="T19" s="83"/>
      <c r="U19" s="83"/>
      <c r="V19" s="83"/>
      <c r="W19" s="83"/>
      <c r="X19" s="56"/>
      <c r="Y19" s="56"/>
      <c r="Z19" s="56"/>
      <c r="AA19" s="56"/>
      <c r="AB19" s="56"/>
      <c r="AC19" s="56"/>
      <c r="AD19" s="56"/>
      <c r="AE19" s="56"/>
      <c r="AF19" s="159"/>
      <c r="AG19" s="104"/>
      <c r="AH19" s="56"/>
      <c r="AI19" s="56"/>
      <c r="AJ19" s="159"/>
      <c r="AK19" s="160"/>
      <c r="AL19" s="56"/>
      <c r="AM19" s="56"/>
      <c r="AN19" s="88"/>
      <c r="AO19" s="106"/>
      <c r="AP19" s="106">
        <v>4227.58</v>
      </c>
      <c r="AQ19" s="83"/>
      <c r="AR19" s="56"/>
      <c r="AS19" s="56"/>
      <c r="AT19" s="56"/>
      <c r="AU19" s="83"/>
      <c r="AV19" s="56">
        <v>0</v>
      </c>
      <c r="AW19" s="56"/>
      <c r="AX19" s="56">
        <v>14200</v>
      </c>
      <c r="AY19" s="56"/>
      <c r="AZ19" s="106">
        <v>14200</v>
      </c>
      <c r="BA19" s="106">
        <v>14200</v>
      </c>
      <c r="BB19" s="214"/>
      <c r="BC19" s="56"/>
      <c r="BD19" s="84"/>
      <c r="BE19" s="84"/>
      <c r="BF19" s="84"/>
      <c r="BG19" s="84"/>
      <c r="BH19" s="72"/>
    </row>
    <row r="20" spans="1:62" ht="20.100000000000001" customHeight="1" outlineLevel="1">
      <c r="A20" s="77" t="s">
        <v>43</v>
      </c>
      <c r="B20" s="109" t="s">
        <v>644</v>
      </c>
      <c r="C20" s="77" t="s">
        <v>1091</v>
      </c>
      <c r="D20" s="78" t="s">
        <v>46</v>
      </c>
      <c r="E20" s="78" t="str">
        <f t="shared" si="0"/>
        <v>000</v>
      </c>
      <c r="F20" s="3">
        <v>658212</v>
      </c>
      <c r="G20" s="155" t="s">
        <v>647</v>
      </c>
      <c r="H20" s="158">
        <v>2</v>
      </c>
      <c r="I20" s="13">
        <v>0</v>
      </c>
      <c r="J20" s="13">
        <v>0</v>
      </c>
      <c r="L20" s="56">
        <v>0</v>
      </c>
      <c r="M20" s="56"/>
      <c r="N20" s="56"/>
      <c r="O20" s="56"/>
      <c r="P20" s="56"/>
      <c r="Q20" s="56"/>
      <c r="R20" s="56"/>
      <c r="S20" s="56"/>
      <c r="T20" s="56"/>
      <c r="U20" s="56"/>
      <c r="V20" s="56"/>
      <c r="W20" s="56"/>
      <c r="X20" s="56">
        <v>0</v>
      </c>
      <c r="Y20" s="56"/>
      <c r="Z20" s="56"/>
      <c r="AA20" s="56"/>
      <c r="AB20" s="56"/>
      <c r="AC20" s="56"/>
      <c r="AD20" s="56"/>
      <c r="AE20" s="56"/>
      <c r="AF20" s="56"/>
      <c r="AG20" s="56"/>
      <c r="AH20" s="56"/>
      <c r="AI20" s="56"/>
      <c r="AJ20" s="56"/>
      <c r="AK20" s="85"/>
      <c r="AL20" s="56"/>
      <c r="AM20" s="56"/>
      <c r="AN20" s="88">
        <v>0</v>
      </c>
      <c r="AO20" s="106">
        <v>0</v>
      </c>
      <c r="AP20" s="106">
        <v>1946.86</v>
      </c>
      <c r="AQ20" s="56"/>
      <c r="AR20" s="56">
        <v>0</v>
      </c>
      <c r="AS20" s="56"/>
      <c r="AT20" s="56">
        <v>0</v>
      </c>
      <c r="AU20" s="56"/>
      <c r="AV20" s="56">
        <f t="shared" ref="AV20:AV30" si="1">SUM(AP20:AU20)</f>
        <v>1946.86</v>
      </c>
      <c r="AW20" s="56"/>
      <c r="AX20" s="56">
        <v>-5000</v>
      </c>
      <c r="AY20" s="56"/>
      <c r="AZ20" s="106">
        <v>15800</v>
      </c>
      <c r="BA20" s="106">
        <v>15800</v>
      </c>
      <c r="BB20" s="214"/>
      <c r="BC20" s="56"/>
      <c r="BD20" s="84">
        <f t="shared" ref="BD20:BD35" si="2">+AP20-AN20</f>
        <v>1946.86</v>
      </c>
      <c r="BE20" s="56"/>
      <c r="BF20" s="56"/>
      <c r="BG20" s="56"/>
      <c r="BH20" s="72"/>
    </row>
    <row r="21" spans="1:62" ht="20.100000000000001" customHeight="1" outlineLevel="1">
      <c r="A21" s="77" t="s">
        <v>43</v>
      </c>
      <c r="B21" s="109" t="s">
        <v>644</v>
      </c>
      <c r="C21" s="77" t="s">
        <v>1091</v>
      </c>
      <c r="D21" s="78" t="s">
        <v>46</v>
      </c>
      <c r="E21" s="78" t="str">
        <f t="shared" si="0"/>
        <v>000</v>
      </c>
      <c r="F21" s="3">
        <v>659011</v>
      </c>
      <c r="G21" s="155" t="s">
        <v>648</v>
      </c>
      <c r="H21" s="158">
        <v>1</v>
      </c>
      <c r="I21" s="13">
        <v>0</v>
      </c>
      <c r="J21" s="13">
        <v>0</v>
      </c>
      <c r="L21" s="56">
        <v>0</v>
      </c>
      <c r="M21" s="56"/>
      <c r="N21" s="56"/>
      <c r="O21" s="56"/>
      <c r="P21" s="56"/>
      <c r="Q21" s="56"/>
      <c r="R21" s="56"/>
      <c r="S21" s="56"/>
      <c r="T21" s="56"/>
      <c r="U21" s="56"/>
      <c r="V21" s="56"/>
      <c r="W21" s="56"/>
      <c r="X21" s="56">
        <v>0</v>
      </c>
      <c r="Y21" s="56"/>
      <c r="Z21" s="56"/>
      <c r="AA21" s="56"/>
      <c r="AB21" s="56"/>
      <c r="AC21" s="56"/>
      <c r="AD21" s="56"/>
      <c r="AE21" s="56"/>
      <c r="AF21" s="56"/>
      <c r="AG21" s="56"/>
      <c r="AH21" s="56"/>
      <c r="AI21" s="56"/>
      <c r="AJ21" s="56"/>
      <c r="AK21" s="85"/>
      <c r="AL21" s="56"/>
      <c r="AM21" s="56"/>
      <c r="AN21" s="88">
        <v>0</v>
      </c>
      <c r="AO21" s="106">
        <v>0</v>
      </c>
      <c r="AP21" s="106">
        <v>0</v>
      </c>
      <c r="AQ21" s="56"/>
      <c r="AR21" s="56">
        <v>0</v>
      </c>
      <c r="AS21" s="56"/>
      <c r="AT21" s="56">
        <v>0</v>
      </c>
      <c r="AU21" s="56"/>
      <c r="AV21" s="56">
        <f t="shared" si="1"/>
        <v>0</v>
      </c>
      <c r="AW21" s="56"/>
      <c r="AX21" s="56">
        <v>-20000</v>
      </c>
      <c r="AY21" s="56"/>
      <c r="AZ21" s="106">
        <v>0</v>
      </c>
      <c r="BA21" s="106">
        <v>0</v>
      </c>
      <c r="BB21" s="214"/>
      <c r="BC21" s="56"/>
      <c r="BD21" s="84">
        <f t="shared" si="2"/>
        <v>0</v>
      </c>
      <c r="BE21" s="56"/>
      <c r="BF21" s="56"/>
      <c r="BG21" s="56"/>
      <c r="BH21" s="72"/>
    </row>
    <row r="22" spans="1:62" ht="20.100000000000001" customHeight="1" outlineLevel="1">
      <c r="A22" s="77" t="s">
        <v>43</v>
      </c>
      <c r="B22" s="109" t="s">
        <v>644</v>
      </c>
      <c r="C22" s="77" t="s">
        <v>1091</v>
      </c>
      <c r="D22" s="78" t="s">
        <v>46</v>
      </c>
      <c r="E22" s="78" t="str">
        <f t="shared" si="0"/>
        <v>000</v>
      </c>
      <c r="F22" s="3">
        <v>661021</v>
      </c>
      <c r="G22" s="155" t="s">
        <v>649</v>
      </c>
      <c r="H22" s="158">
        <v>2</v>
      </c>
      <c r="I22" s="13">
        <v>0</v>
      </c>
      <c r="J22" s="13">
        <v>0</v>
      </c>
      <c r="L22" s="56">
        <v>0</v>
      </c>
      <c r="M22" s="56"/>
      <c r="N22" s="56"/>
      <c r="O22" s="56"/>
      <c r="P22" s="56"/>
      <c r="Q22" s="56"/>
      <c r="R22" s="56"/>
      <c r="S22" s="56"/>
      <c r="T22" s="56"/>
      <c r="U22" s="56"/>
      <c r="V22" s="56"/>
      <c r="W22" s="56"/>
      <c r="X22" s="56">
        <v>0</v>
      </c>
      <c r="Y22" s="56"/>
      <c r="Z22" s="56"/>
      <c r="AA22" s="56"/>
      <c r="AB22" s="56"/>
      <c r="AC22" s="56"/>
      <c r="AD22" s="56"/>
      <c r="AE22" s="56"/>
      <c r="AF22" s="56"/>
      <c r="AG22" s="56"/>
      <c r="AH22" s="56"/>
      <c r="AI22" s="56"/>
      <c r="AJ22" s="56"/>
      <c r="AK22" s="85"/>
      <c r="AL22" s="56"/>
      <c r="AM22" s="56"/>
      <c r="AN22" s="88">
        <v>0</v>
      </c>
      <c r="AO22" s="106">
        <v>0</v>
      </c>
      <c r="AP22" s="106">
        <v>48723.46</v>
      </c>
      <c r="AQ22" s="56"/>
      <c r="AR22" s="56">
        <v>0</v>
      </c>
      <c r="AS22" s="56"/>
      <c r="AT22" s="56">
        <v>0</v>
      </c>
      <c r="AU22" s="56"/>
      <c r="AV22" s="56">
        <f t="shared" si="1"/>
        <v>48723.46</v>
      </c>
      <c r="AW22" s="56"/>
      <c r="AX22" s="56">
        <v>0</v>
      </c>
      <c r="AY22" s="56"/>
      <c r="AZ22" s="106">
        <v>75000</v>
      </c>
      <c r="BA22" s="106">
        <v>75000</v>
      </c>
      <c r="BB22" s="214"/>
      <c r="BC22" s="56"/>
      <c r="BD22" s="84">
        <f t="shared" si="2"/>
        <v>48723.46</v>
      </c>
      <c r="BE22" s="56"/>
      <c r="BF22" s="56"/>
      <c r="BG22" s="56"/>
      <c r="BH22" s="72"/>
    </row>
    <row r="23" spans="1:62" ht="20.100000000000001" customHeight="1" outlineLevel="1">
      <c r="A23" s="77" t="s">
        <v>43</v>
      </c>
      <c r="B23" s="161" t="s">
        <v>650</v>
      </c>
      <c r="C23" s="77" t="s">
        <v>1091</v>
      </c>
      <c r="D23" s="78" t="s">
        <v>46</v>
      </c>
      <c r="E23" s="78" t="str">
        <f t="shared" si="0"/>
        <v>000</v>
      </c>
      <c r="F23" s="3">
        <v>658212</v>
      </c>
      <c r="G23" s="162" t="s">
        <v>651</v>
      </c>
      <c r="H23" s="158">
        <v>3</v>
      </c>
      <c r="I23" s="13">
        <v>0</v>
      </c>
      <c r="J23" s="13">
        <v>0</v>
      </c>
      <c r="L23" s="56">
        <v>0</v>
      </c>
      <c r="M23" s="56"/>
      <c r="N23" s="56"/>
      <c r="O23" s="56"/>
      <c r="P23" s="56"/>
      <c r="Q23" s="56"/>
      <c r="R23" s="56"/>
      <c r="S23" s="56"/>
      <c r="T23" s="56"/>
      <c r="U23" s="56"/>
      <c r="V23" s="56"/>
      <c r="W23" s="56"/>
      <c r="X23" s="56">
        <v>0</v>
      </c>
      <c r="Y23" s="56"/>
      <c r="Z23" s="56"/>
      <c r="AA23" s="56"/>
      <c r="AB23" s="56"/>
      <c r="AC23" s="56"/>
      <c r="AD23" s="56"/>
      <c r="AE23" s="56"/>
      <c r="AF23" s="56"/>
      <c r="AG23" s="56"/>
      <c r="AH23" s="56"/>
      <c r="AI23" s="56"/>
      <c r="AJ23" s="56"/>
      <c r="AK23" s="85"/>
      <c r="AL23" s="56"/>
      <c r="AM23" s="56"/>
      <c r="AN23" s="88">
        <v>0</v>
      </c>
      <c r="AO23" s="163">
        <v>0</v>
      </c>
      <c r="AP23" s="164">
        <v>218.72</v>
      </c>
      <c r="AQ23" s="56"/>
      <c r="AR23" s="56">
        <v>0</v>
      </c>
      <c r="AS23" s="56"/>
      <c r="AT23" s="56">
        <v>0</v>
      </c>
      <c r="AU23" s="56"/>
      <c r="AV23" s="56">
        <f t="shared" si="1"/>
        <v>218.72</v>
      </c>
      <c r="AW23" s="56"/>
      <c r="AX23" s="56">
        <v>-65662</v>
      </c>
      <c r="AY23" s="56"/>
      <c r="AZ23" s="164">
        <v>10000</v>
      </c>
      <c r="BA23" s="164">
        <v>10000</v>
      </c>
      <c r="BB23" s="214"/>
      <c r="BC23" s="56"/>
      <c r="BD23" s="84">
        <f t="shared" si="2"/>
        <v>218.72</v>
      </c>
      <c r="BE23" s="56"/>
      <c r="BF23" s="56"/>
      <c r="BG23" s="56"/>
      <c r="BH23" s="72"/>
    </row>
    <row r="24" spans="1:62" ht="20.100000000000001" customHeight="1" outlineLevel="1">
      <c r="A24" s="77" t="s">
        <v>43</v>
      </c>
      <c r="B24" s="161" t="s">
        <v>650</v>
      </c>
      <c r="C24" s="77" t="s">
        <v>1091</v>
      </c>
      <c r="D24" s="78" t="s">
        <v>46</v>
      </c>
      <c r="E24" s="78" t="str">
        <f t="shared" si="0"/>
        <v>000</v>
      </c>
      <c r="F24" s="3">
        <v>659013</v>
      </c>
      <c r="G24" s="162" t="s">
        <v>652</v>
      </c>
      <c r="H24" s="158">
        <v>3</v>
      </c>
      <c r="I24" s="13">
        <v>0</v>
      </c>
      <c r="J24" s="13">
        <v>0</v>
      </c>
      <c r="L24" s="56">
        <v>0</v>
      </c>
      <c r="M24" s="56"/>
      <c r="N24" s="56"/>
      <c r="O24" s="56"/>
      <c r="P24" s="56"/>
      <c r="Q24" s="56"/>
      <c r="R24" s="56"/>
      <c r="S24" s="56"/>
      <c r="T24" s="56"/>
      <c r="U24" s="56"/>
      <c r="V24" s="56"/>
      <c r="W24" s="56"/>
      <c r="X24" s="56">
        <v>0</v>
      </c>
      <c r="Y24" s="56"/>
      <c r="Z24" s="56"/>
      <c r="AA24" s="56"/>
      <c r="AB24" s="56"/>
      <c r="AC24" s="56"/>
      <c r="AD24" s="56"/>
      <c r="AE24" s="56"/>
      <c r="AF24" s="56"/>
      <c r="AG24" s="56"/>
      <c r="AH24" s="56"/>
      <c r="AI24" s="56"/>
      <c r="AJ24" s="56"/>
      <c r="AK24" s="85"/>
      <c r="AL24" s="56"/>
      <c r="AM24" s="56"/>
      <c r="AN24" s="88">
        <v>0</v>
      </c>
      <c r="AO24" s="163">
        <v>0</v>
      </c>
      <c r="AP24" s="164">
        <v>0</v>
      </c>
      <c r="AQ24" s="56"/>
      <c r="AR24" s="56">
        <v>0</v>
      </c>
      <c r="AS24" s="56"/>
      <c r="AT24" s="56">
        <v>0</v>
      </c>
      <c r="AU24" s="56"/>
      <c r="AV24" s="56">
        <f t="shared" si="1"/>
        <v>0</v>
      </c>
      <c r="AW24" s="56"/>
      <c r="AX24" s="56">
        <v>0</v>
      </c>
      <c r="AY24" s="56"/>
      <c r="AZ24" s="164">
        <v>0</v>
      </c>
      <c r="BA24" s="164">
        <v>0</v>
      </c>
      <c r="BB24" s="214"/>
      <c r="BC24" s="56"/>
      <c r="BD24" s="84">
        <f t="shared" si="2"/>
        <v>0</v>
      </c>
      <c r="BE24" s="56"/>
      <c r="BF24" s="56"/>
      <c r="BG24" s="56"/>
      <c r="BH24" s="72"/>
    </row>
    <row r="25" spans="1:62" ht="20.100000000000001" customHeight="1" outlineLevel="1">
      <c r="A25" s="77" t="s">
        <v>43</v>
      </c>
      <c r="B25" s="161" t="s">
        <v>650</v>
      </c>
      <c r="C25" s="77" t="s">
        <v>1091</v>
      </c>
      <c r="D25" s="78" t="s">
        <v>46</v>
      </c>
      <c r="E25" s="78" t="str">
        <f t="shared" si="0"/>
        <v>000</v>
      </c>
      <c r="F25" s="3">
        <v>661021</v>
      </c>
      <c r="G25" s="162" t="s">
        <v>653</v>
      </c>
      <c r="H25" s="158">
        <v>3</v>
      </c>
      <c r="I25" s="13">
        <v>0</v>
      </c>
      <c r="J25" s="13">
        <v>0</v>
      </c>
      <c r="L25" s="56">
        <v>0</v>
      </c>
      <c r="M25" s="56"/>
      <c r="N25" s="56"/>
      <c r="O25" s="56"/>
      <c r="P25" s="56"/>
      <c r="Q25" s="56"/>
      <c r="R25" s="56"/>
      <c r="S25" s="56"/>
      <c r="T25" s="56"/>
      <c r="U25" s="56"/>
      <c r="V25" s="56"/>
      <c r="W25" s="56"/>
      <c r="X25" s="56">
        <v>0</v>
      </c>
      <c r="Y25" s="56"/>
      <c r="Z25" s="56"/>
      <c r="AA25" s="56"/>
      <c r="AB25" s="56"/>
      <c r="AC25" s="56"/>
      <c r="AD25" s="56"/>
      <c r="AE25" s="56"/>
      <c r="AF25" s="56"/>
      <c r="AG25" s="56"/>
      <c r="AH25" s="56"/>
      <c r="AI25" s="56"/>
      <c r="AJ25" s="56"/>
      <c r="AK25" s="85"/>
      <c r="AL25" s="56"/>
      <c r="AM25" s="56"/>
      <c r="AN25" s="88">
        <v>0</v>
      </c>
      <c r="AO25" s="163">
        <v>0</v>
      </c>
      <c r="AP25" s="164">
        <v>40772.57</v>
      </c>
      <c r="AQ25" s="56"/>
      <c r="AR25" s="56">
        <v>0</v>
      </c>
      <c r="AS25" s="56"/>
      <c r="AT25" s="56">
        <v>0</v>
      </c>
      <c r="AU25" s="56"/>
      <c r="AV25" s="56">
        <f t="shared" si="1"/>
        <v>40772.57</v>
      </c>
      <c r="AW25" s="56"/>
      <c r="AX25" s="56">
        <v>0</v>
      </c>
      <c r="AY25" s="56"/>
      <c r="AZ25" s="164">
        <v>125000</v>
      </c>
      <c r="BA25" s="164">
        <v>125000</v>
      </c>
      <c r="BB25" s="214"/>
      <c r="BC25" s="56"/>
      <c r="BD25" s="84">
        <f t="shared" si="2"/>
        <v>40772.57</v>
      </c>
      <c r="BE25" s="56"/>
      <c r="BF25" s="56"/>
      <c r="BG25" s="56"/>
      <c r="BH25" s="72"/>
    </row>
    <row r="26" spans="1:62" ht="20.100000000000001" customHeight="1" outlineLevel="1">
      <c r="A26" s="77" t="s">
        <v>43</v>
      </c>
      <c r="B26" s="77" t="s">
        <v>654</v>
      </c>
      <c r="C26" s="77" t="s">
        <v>1091</v>
      </c>
      <c r="D26" s="78" t="s">
        <v>46</v>
      </c>
      <c r="E26" s="78" t="str">
        <f t="shared" si="0"/>
        <v>000</v>
      </c>
      <c r="F26" s="3">
        <v>611117</v>
      </c>
      <c r="G26" s="102" t="s">
        <v>1031</v>
      </c>
      <c r="H26" s="158">
        <v>0</v>
      </c>
      <c r="I26" s="13">
        <v>56340</v>
      </c>
      <c r="J26" s="13">
        <v>57475</v>
      </c>
      <c r="L26" s="56">
        <v>63718</v>
      </c>
      <c r="M26" s="56"/>
      <c r="N26" s="56">
        <v>71380</v>
      </c>
      <c r="O26" s="56"/>
      <c r="P26" s="56">
        <v>71380</v>
      </c>
      <c r="Q26" s="56"/>
      <c r="R26" s="56">
        <v>73080</v>
      </c>
      <c r="S26" s="56"/>
      <c r="T26" s="56">
        <v>0</v>
      </c>
      <c r="U26" s="56"/>
      <c r="V26" s="56">
        <v>73080</v>
      </c>
      <c r="W26" s="56"/>
      <c r="X26" s="56">
        <v>73079.960000000006</v>
      </c>
      <c r="Y26" s="56"/>
      <c r="Z26" s="56">
        <v>73559</v>
      </c>
      <c r="AA26" s="56"/>
      <c r="AB26" s="56">
        <v>0</v>
      </c>
      <c r="AC26" s="56"/>
      <c r="AD26" s="56"/>
      <c r="AE26" s="56"/>
      <c r="AF26" s="56">
        <f>SUM(Z26:AE26)</f>
        <v>73559</v>
      </c>
      <c r="AG26" s="56">
        <v>0</v>
      </c>
      <c r="AH26" s="56">
        <v>1250</v>
      </c>
      <c r="AI26" s="56"/>
      <c r="AJ26" s="56">
        <f>SUM(AE26:AI26)</f>
        <v>74809</v>
      </c>
      <c r="AK26" s="85"/>
      <c r="AL26" s="56">
        <v>0</v>
      </c>
      <c r="AM26" s="56"/>
      <c r="AN26" s="88">
        <v>74808.92</v>
      </c>
      <c r="AO26" s="88">
        <v>0</v>
      </c>
      <c r="AP26" s="88">
        <v>74408.960000000006</v>
      </c>
      <c r="AQ26" s="56"/>
      <c r="AR26" s="56">
        <v>0</v>
      </c>
      <c r="AS26" s="56"/>
      <c r="AT26" s="56">
        <v>0</v>
      </c>
      <c r="AU26" s="56"/>
      <c r="AV26" s="56">
        <f t="shared" si="1"/>
        <v>74408.960000000006</v>
      </c>
      <c r="AW26" s="56"/>
      <c r="AX26" s="56">
        <v>0</v>
      </c>
      <c r="AY26" s="56"/>
      <c r="AZ26" s="88">
        <v>74409</v>
      </c>
      <c r="BA26" s="56">
        <v>75260</v>
      </c>
      <c r="BB26" s="214"/>
      <c r="BC26" s="56"/>
      <c r="BD26" s="84">
        <f t="shared" si="2"/>
        <v>-399.95999999999185</v>
      </c>
      <c r="BE26" s="56"/>
      <c r="BF26" s="56"/>
      <c r="BG26" s="56"/>
      <c r="BH26" s="72">
        <v>1</v>
      </c>
      <c r="BJ26">
        <v>1</v>
      </c>
    </row>
    <row r="27" spans="1:62" ht="20.100000000000001" customHeight="1" outlineLevel="1">
      <c r="A27" s="77" t="s">
        <v>43</v>
      </c>
      <c r="B27" s="77" t="s">
        <v>654</v>
      </c>
      <c r="C27" s="77" t="s">
        <v>1091</v>
      </c>
      <c r="D27" s="78" t="s">
        <v>46</v>
      </c>
      <c r="E27" s="78" t="str">
        <f t="shared" si="0"/>
        <v>000</v>
      </c>
      <c r="F27" s="3">
        <v>611411</v>
      </c>
      <c r="G27" s="102" t="s">
        <v>1032</v>
      </c>
      <c r="H27" s="158">
        <v>0</v>
      </c>
      <c r="I27" s="13">
        <v>25342</v>
      </c>
      <c r="J27" s="13">
        <v>24542</v>
      </c>
      <c r="L27" s="56">
        <v>27742</v>
      </c>
      <c r="M27" s="56"/>
      <c r="N27" s="56">
        <v>26292</v>
      </c>
      <c r="O27" s="56"/>
      <c r="P27" s="56">
        <v>26292</v>
      </c>
      <c r="Q27" s="56"/>
      <c r="R27" s="56">
        <v>29700</v>
      </c>
      <c r="S27" s="56"/>
      <c r="T27" s="56">
        <v>0</v>
      </c>
      <c r="U27" s="56"/>
      <c r="V27" s="56">
        <v>29700</v>
      </c>
      <c r="W27" s="56"/>
      <c r="X27" s="56">
        <v>29939.42</v>
      </c>
      <c r="Y27" s="56"/>
      <c r="Z27" s="56">
        <v>23317</v>
      </c>
      <c r="AA27" s="56"/>
      <c r="AB27" s="56">
        <v>0</v>
      </c>
      <c r="AC27" s="56"/>
      <c r="AD27" s="56"/>
      <c r="AE27" s="56"/>
      <c r="AF27" s="56">
        <f>SUM(Z27:AE27)</f>
        <v>23317</v>
      </c>
      <c r="AG27" s="104">
        <v>3150</v>
      </c>
      <c r="AH27" s="56">
        <v>2250</v>
      </c>
      <c r="AI27" s="56"/>
      <c r="AJ27" s="56">
        <f>SUM(AE27:AI27)</f>
        <v>28717</v>
      </c>
      <c r="AK27" s="85"/>
      <c r="AL27" s="56">
        <v>0</v>
      </c>
      <c r="AM27" s="56"/>
      <c r="AN27" s="88">
        <v>26420.47</v>
      </c>
      <c r="AO27" s="88">
        <v>0</v>
      </c>
      <c r="AP27" s="88">
        <v>40709.4</v>
      </c>
      <c r="AQ27" s="56"/>
      <c r="AR27" s="56">
        <v>0</v>
      </c>
      <c r="AS27" s="56"/>
      <c r="AT27" s="56">
        <v>0</v>
      </c>
      <c r="AU27" s="56"/>
      <c r="AV27" s="56">
        <f t="shared" si="1"/>
        <v>40709.4</v>
      </c>
      <c r="AW27" s="56"/>
      <c r="AX27" s="56">
        <v>0</v>
      </c>
      <c r="AY27" s="56"/>
      <c r="AZ27" s="88">
        <v>44000</v>
      </c>
      <c r="BA27" s="56">
        <v>44000</v>
      </c>
      <c r="BB27" s="214"/>
      <c r="BC27" s="56"/>
      <c r="BD27" s="84">
        <f t="shared" si="2"/>
        <v>14288.93</v>
      </c>
      <c r="BE27" s="56"/>
      <c r="BF27" s="56"/>
      <c r="BG27" s="56"/>
      <c r="BH27" s="72">
        <v>1</v>
      </c>
      <c r="BJ27">
        <v>1</v>
      </c>
    </row>
    <row r="28" spans="1:62" ht="20.100000000000001" customHeight="1" outlineLevel="1">
      <c r="A28" s="77" t="s">
        <v>43</v>
      </c>
      <c r="B28" s="77" t="s">
        <v>654</v>
      </c>
      <c r="C28" s="77" t="s">
        <v>1091</v>
      </c>
      <c r="D28" s="78" t="s">
        <v>46</v>
      </c>
      <c r="E28" s="78" t="str">
        <f t="shared" si="0"/>
        <v>000</v>
      </c>
      <c r="F28" s="3">
        <v>632013</v>
      </c>
      <c r="G28" s="102" t="s">
        <v>1033</v>
      </c>
      <c r="H28" s="158">
        <v>1</v>
      </c>
      <c r="I28" s="13">
        <v>0</v>
      </c>
      <c r="J28" s="13">
        <v>0</v>
      </c>
      <c r="L28" s="56">
        <v>403</v>
      </c>
      <c r="M28" s="56"/>
      <c r="N28" s="56">
        <v>2000</v>
      </c>
      <c r="O28" s="56"/>
      <c r="P28" s="56">
        <v>2000</v>
      </c>
      <c r="Q28" s="56"/>
      <c r="R28" s="56">
        <v>2000</v>
      </c>
      <c r="S28" s="56"/>
      <c r="T28" s="56">
        <v>0</v>
      </c>
      <c r="U28" s="56"/>
      <c r="V28" s="56">
        <v>2000</v>
      </c>
      <c r="W28" s="56"/>
      <c r="X28" s="56">
        <v>0</v>
      </c>
      <c r="Y28" s="56"/>
      <c r="Z28" s="56">
        <v>2000</v>
      </c>
      <c r="AA28" s="56"/>
      <c r="AB28" s="56">
        <v>0</v>
      </c>
      <c r="AC28" s="56"/>
      <c r="AD28" s="56"/>
      <c r="AE28" s="56"/>
      <c r="AF28" s="56">
        <f>SUM(Z28:AE28)</f>
        <v>2000</v>
      </c>
      <c r="AG28" s="56">
        <v>0</v>
      </c>
      <c r="AH28" s="56">
        <v>0</v>
      </c>
      <c r="AI28" s="56"/>
      <c r="AJ28" s="56">
        <f>SUM(AE28:AI28)</f>
        <v>2000</v>
      </c>
      <c r="AK28" s="85"/>
      <c r="AL28" s="56">
        <v>0</v>
      </c>
      <c r="AM28" s="56"/>
      <c r="AN28" s="88">
        <v>940</v>
      </c>
      <c r="AO28" s="88">
        <v>0</v>
      </c>
      <c r="AP28" s="88">
        <v>0</v>
      </c>
      <c r="AQ28" s="56"/>
      <c r="AR28" s="56">
        <v>0</v>
      </c>
      <c r="AS28" s="56"/>
      <c r="AT28" s="56">
        <v>0</v>
      </c>
      <c r="AU28" s="56"/>
      <c r="AV28" s="56">
        <f t="shared" si="1"/>
        <v>0</v>
      </c>
      <c r="AW28" s="56"/>
      <c r="AX28" s="56">
        <v>-2000</v>
      </c>
      <c r="AY28" s="56"/>
      <c r="AZ28" s="88">
        <v>0</v>
      </c>
      <c r="BA28" s="56">
        <v>0</v>
      </c>
      <c r="BB28" s="214"/>
      <c r="BC28" s="56"/>
      <c r="BD28" s="84">
        <f t="shared" si="2"/>
        <v>-940</v>
      </c>
      <c r="BE28" s="56"/>
      <c r="BF28" s="56"/>
      <c r="BG28" s="56"/>
      <c r="BH28" s="72"/>
    </row>
    <row r="29" spans="1:62" ht="20.100000000000001" customHeight="1" outlineLevel="1">
      <c r="A29" s="77" t="s">
        <v>43</v>
      </c>
      <c r="B29" s="77" t="s">
        <v>654</v>
      </c>
      <c r="C29" s="77" t="s">
        <v>1091</v>
      </c>
      <c r="D29" s="78" t="s">
        <v>46</v>
      </c>
      <c r="E29" s="78" t="str">
        <f t="shared" si="0"/>
        <v>000</v>
      </c>
      <c r="F29" s="3">
        <v>632014</v>
      </c>
      <c r="G29" s="102" t="s">
        <v>1034</v>
      </c>
      <c r="H29" s="158">
        <v>2</v>
      </c>
      <c r="I29" s="13">
        <v>0</v>
      </c>
      <c r="J29" s="13">
        <v>0</v>
      </c>
      <c r="L29" s="56">
        <v>0</v>
      </c>
      <c r="M29" s="56"/>
      <c r="N29" s="56"/>
      <c r="O29" s="56"/>
      <c r="P29" s="56"/>
      <c r="Q29" s="56"/>
      <c r="R29" s="56"/>
      <c r="S29" s="56"/>
      <c r="T29" s="56"/>
      <c r="U29" s="56"/>
      <c r="V29" s="56"/>
      <c r="W29" s="56"/>
      <c r="X29" s="56">
        <v>0</v>
      </c>
      <c r="Y29" s="56"/>
      <c r="Z29" s="56"/>
      <c r="AA29" s="56"/>
      <c r="AB29" s="56"/>
      <c r="AC29" s="56"/>
      <c r="AD29" s="56"/>
      <c r="AE29" s="56"/>
      <c r="AF29" s="56"/>
      <c r="AG29" s="56"/>
      <c r="AH29" s="56"/>
      <c r="AI29" s="56"/>
      <c r="AJ29" s="56"/>
      <c r="AK29" s="85"/>
      <c r="AL29" s="56"/>
      <c r="AM29" s="56"/>
      <c r="AN29" s="88">
        <v>0</v>
      </c>
      <c r="AO29" s="106">
        <v>0</v>
      </c>
      <c r="AP29" s="106">
        <v>0</v>
      </c>
      <c r="AQ29" s="56"/>
      <c r="AR29" s="56">
        <v>0</v>
      </c>
      <c r="AS29" s="56"/>
      <c r="AT29" s="56">
        <v>0</v>
      </c>
      <c r="AU29" s="56"/>
      <c r="AV29" s="56">
        <f t="shared" si="1"/>
        <v>0</v>
      </c>
      <c r="AW29" s="56"/>
      <c r="AX29" s="56">
        <v>-4200</v>
      </c>
      <c r="AY29" s="56"/>
      <c r="AZ29" s="106">
        <v>0</v>
      </c>
      <c r="BA29" s="56">
        <v>0</v>
      </c>
      <c r="BB29" s="214"/>
      <c r="BC29" s="56"/>
      <c r="BD29" s="84">
        <f t="shared" si="2"/>
        <v>0</v>
      </c>
      <c r="BE29" s="56"/>
      <c r="BF29" s="56"/>
      <c r="BG29" s="56"/>
      <c r="BH29" s="72"/>
    </row>
    <row r="30" spans="1:62" ht="20.100000000000001" customHeight="1" outlineLevel="1">
      <c r="A30" s="77" t="s">
        <v>43</v>
      </c>
      <c r="B30" s="77" t="s">
        <v>654</v>
      </c>
      <c r="C30" s="77" t="s">
        <v>1091</v>
      </c>
      <c r="D30" s="78" t="s">
        <v>46</v>
      </c>
      <c r="E30" s="78" t="str">
        <f t="shared" si="0"/>
        <v>000</v>
      </c>
      <c r="F30" s="3">
        <v>632015</v>
      </c>
      <c r="G30" s="102" t="s">
        <v>1035</v>
      </c>
      <c r="H30" s="158">
        <v>3</v>
      </c>
      <c r="I30" s="13">
        <v>0</v>
      </c>
      <c r="J30" s="13">
        <v>0</v>
      </c>
      <c r="L30" s="56">
        <v>0</v>
      </c>
      <c r="M30" s="56"/>
      <c r="N30" s="56"/>
      <c r="O30" s="56"/>
      <c r="P30" s="56"/>
      <c r="Q30" s="56"/>
      <c r="R30" s="56"/>
      <c r="S30" s="56"/>
      <c r="T30" s="56"/>
      <c r="U30" s="56"/>
      <c r="V30" s="56"/>
      <c r="W30" s="56"/>
      <c r="X30" s="56">
        <v>0</v>
      </c>
      <c r="Y30" s="56"/>
      <c r="Z30" s="56"/>
      <c r="AA30" s="56"/>
      <c r="AB30" s="56"/>
      <c r="AC30" s="56"/>
      <c r="AD30" s="56"/>
      <c r="AE30" s="56"/>
      <c r="AF30" s="56"/>
      <c r="AG30" s="56"/>
      <c r="AH30" s="56"/>
      <c r="AI30" s="56"/>
      <c r="AJ30" s="56"/>
      <c r="AK30" s="85"/>
      <c r="AL30" s="56"/>
      <c r="AM30" s="56"/>
      <c r="AN30" s="88">
        <v>0</v>
      </c>
      <c r="AO30" s="163">
        <v>0</v>
      </c>
      <c r="AP30" s="164">
        <v>0</v>
      </c>
      <c r="AQ30" s="56"/>
      <c r="AR30" s="56">
        <v>0</v>
      </c>
      <c r="AS30" s="56"/>
      <c r="AT30" s="56">
        <v>0</v>
      </c>
      <c r="AU30" s="56"/>
      <c r="AV30" s="56">
        <f t="shared" si="1"/>
        <v>0</v>
      </c>
      <c r="AW30" s="56"/>
      <c r="AX30" s="56">
        <v>-10000</v>
      </c>
      <c r="AY30" s="56"/>
      <c r="AZ30" s="164">
        <v>0</v>
      </c>
      <c r="BA30" s="56">
        <v>0</v>
      </c>
      <c r="BB30" s="214"/>
      <c r="BC30" s="56"/>
      <c r="BD30" s="84">
        <f t="shared" si="2"/>
        <v>0</v>
      </c>
      <c r="BE30" s="56"/>
      <c r="BF30" s="56"/>
      <c r="BG30" s="56"/>
      <c r="BH30" s="72"/>
    </row>
    <row r="31" spans="1:62" ht="20.100000000000001" customHeight="1" outlineLevel="1">
      <c r="A31" s="77" t="s">
        <v>43</v>
      </c>
      <c r="B31" s="77" t="s">
        <v>654</v>
      </c>
      <c r="C31" s="77" t="s">
        <v>1091</v>
      </c>
      <c r="D31" s="78" t="s">
        <v>46</v>
      </c>
      <c r="E31" s="78" t="str">
        <f t="shared" si="0"/>
        <v>000</v>
      </c>
      <c r="F31" s="3">
        <v>643011</v>
      </c>
      <c r="G31" s="102" t="s">
        <v>258</v>
      </c>
      <c r="H31" s="158"/>
      <c r="I31" s="13">
        <v>0</v>
      </c>
      <c r="J31" s="13">
        <v>0</v>
      </c>
      <c r="L31" s="56">
        <v>0</v>
      </c>
      <c r="M31" s="56"/>
      <c r="N31" s="56"/>
      <c r="O31" s="56"/>
      <c r="P31" s="56"/>
      <c r="Q31" s="56"/>
      <c r="R31" s="56"/>
      <c r="S31" s="56"/>
      <c r="T31" s="56"/>
      <c r="U31" s="56"/>
      <c r="V31" s="56"/>
      <c r="W31" s="56"/>
      <c r="X31" s="56">
        <v>0</v>
      </c>
      <c r="Y31" s="56"/>
      <c r="Z31" s="56"/>
      <c r="AA31" s="56"/>
      <c r="AB31" s="56"/>
      <c r="AC31" s="56"/>
      <c r="AD31" s="56"/>
      <c r="AE31" s="56"/>
      <c r="AF31" s="56"/>
      <c r="AG31" s="104"/>
      <c r="AH31" s="56"/>
      <c r="AI31" s="56"/>
      <c r="AJ31" s="56"/>
      <c r="AK31" s="85"/>
      <c r="AL31" s="56"/>
      <c r="AM31" s="56"/>
      <c r="AN31" s="88">
        <v>0</v>
      </c>
      <c r="AO31" s="88"/>
      <c r="AP31" s="88">
        <v>155</v>
      </c>
      <c r="AQ31" s="56"/>
      <c r="AR31" s="56"/>
      <c r="AS31" s="56"/>
      <c r="AT31" s="56"/>
      <c r="AU31" s="56"/>
      <c r="AV31" s="56">
        <v>0</v>
      </c>
      <c r="AW31" s="56"/>
      <c r="AX31" s="56">
        <v>540</v>
      </c>
      <c r="AY31" s="56"/>
      <c r="AZ31" s="88">
        <v>540</v>
      </c>
      <c r="BA31" s="56">
        <v>540</v>
      </c>
      <c r="BB31" s="214"/>
      <c r="BC31" s="56"/>
      <c r="BD31" s="84">
        <f t="shared" si="2"/>
        <v>155</v>
      </c>
      <c r="BE31" s="56"/>
      <c r="BF31" s="56"/>
      <c r="BG31" s="56"/>
      <c r="BH31" s="72"/>
    </row>
    <row r="32" spans="1:62" ht="20.100000000000001" customHeight="1" outlineLevel="1">
      <c r="A32" s="77" t="s">
        <v>43</v>
      </c>
      <c r="B32" s="77" t="s">
        <v>654</v>
      </c>
      <c r="C32" s="77" t="s">
        <v>1091</v>
      </c>
      <c r="D32" s="78" t="s">
        <v>46</v>
      </c>
      <c r="E32" s="78" t="str">
        <f t="shared" si="0"/>
        <v>000</v>
      </c>
      <c r="F32" s="3">
        <v>653051</v>
      </c>
      <c r="G32" s="102" t="s">
        <v>655</v>
      </c>
      <c r="H32" s="158"/>
      <c r="I32" s="13"/>
      <c r="J32" s="13"/>
      <c r="L32" s="56"/>
      <c r="M32" s="56"/>
      <c r="N32" s="56"/>
      <c r="O32" s="56"/>
      <c r="P32" s="56"/>
      <c r="Q32" s="56"/>
      <c r="R32" s="56"/>
      <c r="S32" s="56"/>
      <c r="T32" s="56"/>
      <c r="U32" s="56"/>
      <c r="V32" s="56"/>
      <c r="W32" s="56"/>
      <c r="X32" s="56">
        <v>0</v>
      </c>
      <c r="Y32" s="56"/>
      <c r="Z32" s="56"/>
      <c r="AA32" s="56"/>
      <c r="AB32" s="56"/>
      <c r="AC32" s="56"/>
      <c r="AD32" s="56"/>
      <c r="AE32" s="56"/>
      <c r="AF32" s="56"/>
      <c r="AG32" s="56"/>
      <c r="AH32" s="56"/>
      <c r="AI32" s="56"/>
      <c r="AJ32" s="56"/>
      <c r="AK32" s="85"/>
      <c r="AL32" s="56"/>
      <c r="AM32" s="56"/>
      <c r="AN32" s="88">
        <v>0</v>
      </c>
      <c r="AO32" s="163"/>
      <c r="AP32" s="164">
        <v>1807.06</v>
      </c>
      <c r="AQ32" s="56"/>
      <c r="AR32" s="56"/>
      <c r="AS32" s="56"/>
      <c r="AT32" s="56"/>
      <c r="AU32" s="56"/>
      <c r="AV32" s="56">
        <v>0</v>
      </c>
      <c r="AW32" s="56"/>
      <c r="AX32" s="56">
        <v>1800</v>
      </c>
      <c r="AY32" s="56"/>
      <c r="AZ32" s="164">
        <v>1800</v>
      </c>
      <c r="BA32" s="56">
        <v>1800</v>
      </c>
      <c r="BB32" s="214"/>
      <c r="BC32" s="56"/>
      <c r="BD32" s="84">
        <f t="shared" si="2"/>
        <v>1807.06</v>
      </c>
      <c r="BE32" s="56"/>
      <c r="BF32" s="56"/>
      <c r="BG32" s="56"/>
      <c r="BH32" s="72"/>
    </row>
    <row r="33" spans="1:60" ht="20.100000000000001" customHeight="1" outlineLevel="1">
      <c r="A33" s="77" t="s">
        <v>43</v>
      </c>
      <c r="B33" s="77" t="s">
        <v>654</v>
      </c>
      <c r="C33" s="77" t="s">
        <v>1091</v>
      </c>
      <c r="D33" s="78" t="s">
        <v>46</v>
      </c>
      <c r="E33" s="78" t="str">
        <f t="shared" si="0"/>
        <v>000</v>
      </c>
      <c r="F33" s="3">
        <v>658211</v>
      </c>
      <c r="G33" s="102" t="s">
        <v>656</v>
      </c>
      <c r="H33" s="158">
        <v>1</v>
      </c>
      <c r="I33" s="13">
        <v>4723</v>
      </c>
      <c r="J33" s="13">
        <v>2723</v>
      </c>
      <c r="L33" s="56">
        <v>11232</v>
      </c>
      <c r="M33" s="56"/>
      <c r="N33" s="56">
        <v>10000</v>
      </c>
      <c r="O33" s="56"/>
      <c r="P33" s="56">
        <v>10000</v>
      </c>
      <c r="Q33" s="56"/>
      <c r="R33" s="56">
        <v>10000</v>
      </c>
      <c r="S33" s="56"/>
      <c r="T33" s="56">
        <v>0</v>
      </c>
      <c r="U33" s="56"/>
      <c r="V33" s="56">
        <v>10000</v>
      </c>
      <c r="W33" s="56"/>
      <c r="X33" s="56">
        <v>2889.61</v>
      </c>
      <c r="Y33" s="56"/>
      <c r="Z33" s="56">
        <v>10000</v>
      </c>
      <c r="AA33" s="56"/>
      <c r="AB33" s="56">
        <v>0</v>
      </c>
      <c r="AC33" s="56"/>
      <c r="AD33" s="56"/>
      <c r="AE33" s="56"/>
      <c r="AF33" s="56">
        <f>SUM(Z33:AE33)</f>
        <v>10000</v>
      </c>
      <c r="AG33" s="56">
        <v>0</v>
      </c>
      <c r="AH33" s="56">
        <v>0</v>
      </c>
      <c r="AI33" s="56"/>
      <c r="AJ33" s="56">
        <f>SUM(AE33:AI33)</f>
        <v>10000</v>
      </c>
      <c r="AK33" s="85"/>
      <c r="AL33" s="56">
        <v>0</v>
      </c>
      <c r="AM33" s="56"/>
      <c r="AN33" s="88">
        <v>9641.19</v>
      </c>
      <c r="AO33" s="88">
        <v>0</v>
      </c>
      <c r="AP33" s="88">
        <v>4777.42</v>
      </c>
      <c r="AQ33" s="56"/>
      <c r="AR33" s="56">
        <v>0</v>
      </c>
      <c r="AS33" s="56"/>
      <c r="AT33" s="56">
        <v>0</v>
      </c>
      <c r="AU33" s="56"/>
      <c r="AV33" s="56">
        <f>SUM(AP33:AU33)</f>
        <v>4777.42</v>
      </c>
      <c r="AW33" s="56"/>
      <c r="AX33" s="56">
        <v>-1000</v>
      </c>
      <c r="AY33" s="56"/>
      <c r="AZ33" s="88">
        <v>19000</v>
      </c>
      <c r="BA33" s="56">
        <v>19000</v>
      </c>
      <c r="BB33" s="214"/>
      <c r="BC33" s="56"/>
      <c r="BD33" s="84">
        <f t="shared" si="2"/>
        <v>-4863.7700000000004</v>
      </c>
      <c r="BE33" s="56"/>
      <c r="BF33" s="56"/>
      <c r="BG33" s="56"/>
      <c r="BH33" s="72"/>
    </row>
    <row r="34" spans="1:60" ht="20.100000000000001" customHeight="1" outlineLevel="1">
      <c r="A34" s="77" t="s">
        <v>43</v>
      </c>
      <c r="B34" s="77" t="s">
        <v>654</v>
      </c>
      <c r="C34" s="77" t="s">
        <v>1091</v>
      </c>
      <c r="D34" s="78" t="s">
        <v>46</v>
      </c>
      <c r="E34" s="78" t="str">
        <f t="shared" si="0"/>
        <v>000</v>
      </c>
      <c r="F34" s="3">
        <v>658212</v>
      </c>
      <c r="G34" s="102" t="s">
        <v>1036</v>
      </c>
      <c r="H34" s="158">
        <v>2</v>
      </c>
      <c r="I34" s="13">
        <v>0</v>
      </c>
      <c r="J34" s="13">
        <v>0</v>
      </c>
      <c r="L34" s="56">
        <v>0</v>
      </c>
      <c r="M34" s="56"/>
      <c r="N34" s="56"/>
      <c r="O34" s="56"/>
      <c r="P34" s="56"/>
      <c r="Q34" s="56"/>
      <c r="R34" s="56"/>
      <c r="S34" s="56"/>
      <c r="T34" s="56"/>
      <c r="U34" s="56"/>
      <c r="V34" s="56"/>
      <c r="W34" s="56"/>
      <c r="X34" s="56">
        <v>0</v>
      </c>
      <c r="Y34" s="56"/>
      <c r="Z34" s="56"/>
      <c r="AA34" s="56"/>
      <c r="AB34" s="56"/>
      <c r="AC34" s="56"/>
      <c r="AD34" s="56"/>
      <c r="AE34" s="56"/>
      <c r="AF34" s="56"/>
      <c r="AG34" s="56"/>
      <c r="AH34" s="56"/>
      <c r="AI34" s="56"/>
      <c r="AJ34" s="56"/>
      <c r="AK34" s="85"/>
      <c r="AL34" s="56"/>
      <c r="AM34" s="56"/>
      <c r="AN34" s="88">
        <v>0</v>
      </c>
      <c r="AO34" s="106">
        <v>0</v>
      </c>
      <c r="AP34" s="106">
        <v>0</v>
      </c>
      <c r="AQ34" s="56"/>
      <c r="AR34" s="56">
        <v>0</v>
      </c>
      <c r="AS34" s="56"/>
      <c r="AT34" s="56">
        <v>0</v>
      </c>
      <c r="AU34" s="56"/>
      <c r="AV34" s="56">
        <f>SUM(AP34:AU34)</f>
        <v>0</v>
      </c>
      <c r="AW34" s="56"/>
      <c r="AX34" s="56">
        <v>0</v>
      </c>
      <c r="AY34" s="56"/>
      <c r="AZ34" s="106">
        <v>0</v>
      </c>
      <c r="BA34" s="56">
        <v>0</v>
      </c>
      <c r="BB34" s="214"/>
      <c r="BC34" s="56"/>
      <c r="BD34" s="84">
        <f t="shared" si="2"/>
        <v>0</v>
      </c>
      <c r="BE34" s="56"/>
      <c r="BF34" s="56"/>
      <c r="BG34" s="56"/>
      <c r="BH34" s="72"/>
    </row>
    <row r="35" spans="1:60" ht="20.100000000000001" customHeight="1" outlineLevel="1">
      <c r="A35" s="77" t="s">
        <v>43</v>
      </c>
      <c r="B35" s="77" t="s">
        <v>654</v>
      </c>
      <c r="C35" s="77" t="s">
        <v>1091</v>
      </c>
      <c r="D35" s="78" t="s">
        <v>46</v>
      </c>
      <c r="E35" s="78" t="str">
        <f t="shared" si="0"/>
        <v>000</v>
      </c>
      <c r="F35" s="3">
        <v>658213</v>
      </c>
      <c r="G35" s="102" t="s">
        <v>1037</v>
      </c>
      <c r="H35" s="158">
        <v>3</v>
      </c>
      <c r="I35" s="13">
        <v>0</v>
      </c>
      <c r="J35" s="13">
        <v>0</v>
      </c>
      <c r="L35" s="56">
        <v>0</v>
      </c>
      <c r="M35" s="56"/>
      <c r="N35" s="56"/>
      <c r="O35" s="56"/>
      <c r="P35" s="56"/>
      <c r="Q35" s="56"/>
      <c r="R35" s="56"/>
      <c r="S35" s="56"/>
      <c r="T35" s="56"/>
      <c r="U35" s="56"/>
      <c r="V35" s="56"/>
      <c r="W35" s="56"/>
      <c r="X35" s="56">
        <v>0</v>
      </c>
      <c r="Y35" s="56"/>
      <c r="Z35" s="56"/>
      <c r="AA35" s="56"/>
      <c r="AB35" s="56"/>
      <c r="AC35" s="56"/>
      <c r="AD35" s="56"/>
      <c r="AE35" s="56"/>
      <c r="AF35" s="56"/>
      <c r="AG35" s="56"/>
      <c r="AH35" s="56"/>
      <c r="AI35" s="56"/>
      <c r="AJ35" s="56"/>
      <c r="AK35" s="85"/>
      <c r="AL35" s="56"/>
      <c r="AM35" s="56"/>
      <c r="AN35" s="88">
        <v>0</v>
      </c>
      <c r="AO35" s="163">
        <v>0</v>
      </c>
      <c r="AP35" s="164">
        <v>0</v>
      </c>
      <c r="AQ35" s="56"/>
      <c r="AR35" s="56">
        <v>0</v>
      </c>
      <c r="AS35" s="56"/>
      <c r="AT35" s="56">
        <v>0</v>
      </c>
      <c r="AU35" s="56"/>
      <c r="AV35" s="56">
        <f>SUM(AP35:AU35)</f>
        <v>0</v>
      </c>
      <c r="AW35" s="56"/>
      <c r="AX35" s="56">
        <v>0</v>
      </c>
      <c r="AY35" s="56"/>
      <c r="AZ35" s="164">
        <v>0</v>
      </c>
      <c r="BA35" s="56">
        <v>0</v>
      </c>
      <c r="BB35" s="214"/>
      <c r="BC35" s="56"/>
      <c r="BD35" s="84">
        <f t="shared" si="2"/>
        <v>0</v>
      </c>
      <c r="BE35" s="56"/>
      <c r="BF35" s="56"/>
      <c r="BG35" s="56"/>
      <c r="BH35" s="72"/>
    </row>
    <row r="36" spans="1:60" ht="20.100000000000001" customHeight="1" outlineLevel="1">
      <c r="A36" s="77" t="s">
        <v>43</v>
      </c>
      <c r="B36" s="77" t="s">
        <v>654</v>
      </c>
      <c r="C36" s="77" t="s">
        <v>1091</v>
      </c>
      <c r="D36" s="78" t="s">
        <v>46</v>
      </c>
      <c r="E36" s="78" t="str">
        <f t="shared" si="0"/>
        <v>000</v>
      </c>
      <c r="F36" s="3">
        <v>659011</v>
      </c>
      <c r="G36" s="102" t="s">
        <v>657</v>
      </c>
      <c r="H36" s="158"/>
      <c r="I36" s="13"/>
      <c r="J36" s="13"/>
      <c r="L36" s="56"/>
      <c r="M36" s="56"/>
      <c r="N36" s="56"/>
      <c r="O36" s="56"/>
      <c r="P36" s="56"/>
      <c r="Q36" s="56"/>
      <c r="R36" s="56"/>
      <c r="S36" s="56"/>
      <c r="T36" s="56"/>
      <c r="U36" s="56"/>
      <c r="V36" s="56"/>
      <c r="W36" s="56"/>
      <c r="X36" s="56">
        <v>0</v>
      </c>
      <c r="Y36" s="56"/>
      <c r="Z36" s="56"/>
      <c r="AA36" s="56"/>
      <c r="AB36" s="56"/>
      <c r="AC36" s="56"/>
      <c r="AD36" s="56"/>
      <c r="AE36" s="56"/>
      <c r="AF36" s="56"/>
      <c r="AG36" s="56"/>
      <c r="AH36" s="56"/>
      <c r="AI36" s="56"/>
      <c r="AJ36" s="56"/>
      <c r="AK36" s="85"/>
      <c r="AL36" s="56"/>
      <c r="AM36" s="56"/>
      <c r="AN36" s="88">
        <v>0</v>
      </c>
      <c r="AO36" s="106"/>
      <c r="AP36" s="106">
        <v>2922.7</v>
      </c>
      <c r="AQ36" s="56"/>
      <c r="AR36" s="56"/>
      <c r="AS36" s="56"/>
      <c r="AT36" s="56"/>
      <c r="AU36" s="56"/>
      <c r="AV36" s="56">
        <v>0</v>
      </c>
      <c r="AW36" s="56"/>
      <c r="AX36" s="56">
        <f>8800-1000</f>
        <v>7800</v>
      </c>
      <c r="AY36" s="56"/>
      <c r="AZ36" s="106">
        <v>4200</v>
      </c>
      <c r="BA36" s="56">
        <v>4200</v>
      </c>
      <c r="BB36" s="214"/>
      <c r="BC36" s="56"/>
      <c r="BD36" s="84"/>
      <c r="BE36" s="56"/>
      <c r="BF36" s="56"/>
      <c r="BG36" s="56"/>
      <c r="BH36" s="72"/>
    </row>
    <row r="37" spans="1:60" ht="20.100000000000001" customHeight="1" outlineLevel="1">
      <c r="A37" s="77" t="s">
        <v>43</v>
      </c>
      <c r="B37" s="77" t="s">
        <v>654</v>
      </c>
      <c r="C37" s="77" t="s">
        <v>1091</v>
      </c>
      <c r="D37" s="78" t="s">
        <v>46</v>
      </c>
      <c r="E37" s="78" t="str">
        <f t="shared" si="0"/>
        <v>000</v>
      </c>
      <c r="F37" s="3">
        <v>661001</v>
      </c>
      <c r="G37" s="102" t="s">
        <v>1038</v>
      </c>
      <c r="H37" s="158">
        <v>1</v>
      </c>
      <c r="I37" s="13">
        <v>415</v>
      </c>
      <c r="J37" s="13">
        <v>125</v>
      </c>
      <c r="L37" s="56">
        <v>672</v>
      </c>
      <c r="M37" s="56"/>
      <c r="N37" s="56">
        <v>700</v>
      </c>
      <c r="O37" s="56"/>
      <c r="P37" s="56">
        <v>700</v>
      </c>
      <c r="Q37" s="56"/>
      <c r="R37" s="56">
        <v>700</v>
      </c>
      <c r="S37" s="56"/>
      <c r="T37" s="56">
        <v>0</v>
      </c>
      <c r="U37" s="56"/>
      <c r="V37" s="56">
        <v>700</v>
      </c>
      <c r="W37" s="56"/>
      <c r="X37" s="56">
        <v>694.02</v>
      </c>
      <c r="Y37" s="56"/>
      <c r="Z37" s="56">
        <v>1000</v>
      </c>
      <c r="AA37" s="56"/>
      <c r="AB37" s="56">
        <v>0</v>
      </c>
      <c r="AC37" s="56"/>
      <c r="AD37" s="56"/>
      <c r="AE37" s="56"/>
      <c r="AF37" s="56">
        <f>SUM(Z37:AE37)</f>
        <v>1000</v>
      </c>
      <c r="AG37" s="56">
        <v>0</v>
      </c>
      <c r="AH37" s="56">
        <v>0</v>
      </c>
      <c r="AI37" s="56"/>
      <c r="AJ37" s="56">
        <f>SUM(AE37:AI37)</f>
        <v>1000</v>
      </c>
      <c r="AK37" s="85"/>
      <c r="AL37" s="56">
        <v>0</v>
      </c>
      <c r="AM37" s="56"/>
      <c r="AN37" s="88">
        <v>633.82000000000005</v>
      </c>
      <c r="AO37" s="88">
        <v>0</v>
      </c>
      <c r="AP37" s="88">
        <v>13549.87</v>
      </c>
      <c r="AQ37" s="56"/>
      <c r="AR37" s="56">
        <v>0</v>
      </c>
      <c r="AS37" s="56"/>
      <c r="AT37" s="56">
        <v>0</v>
      </c>
      <c r="AU37" s="56"/>
      <c r="AV37" s="56">
        <f>SUM(AP37:AU37)</f>
        <v>13549.87</v>
      </c>
      <c r="AW37" s="56"/>
      <c r="AX37" s="56">
        <v>15000</v>
      </c>
      <c r="AY37" s="56"/>
      <c r="AZ37" s="88">
        <v>16000</v>
      </c>
      <c r="BA37" s="56">
        <v>16000</v>
      </c>
      <c r="BB37" s="214"/>
      <c r="BC37" s="56"/>
      <c r="BD37" s="84">
        <f>+AP37-AN37</f>
        <v>12916.050000000001</v>
      </c>
      <c r="BE37" s="56"/>
      <c r="BF37" s="56"/>
      <c r="BG37" s="56"/>
      <c r="BH37" s="72"/>
    </row>
    <row r="38" spans="1:60" ht="20.100000000000001" customHeight="1" outlineLevel="1">
      <c r="A38" s="77" t="s">
        <v>43</v>
      </c>
      <c r="B38" s="77" t="s">
        <v>654</v>
      </c>
      <c r="C38" s="77" t="s">
        <v>1091</v>
      </c>
      <c r="D38" s="78" t="s">
        <v>46</v>
      </c>
      <c r="E38" s="78" t="str">
        <f t="shared" si="0"/>
        <v>000</v>
      </c>
      <c r="F38" s="3">
        <v>661005</v>
      </c>
      <c r="G38" s="102" t="s">
        <v>658</v>
      </c>
      <c r="H38" s="158"/>
      <c r="I38" s="13"/>
      <c r="J38" s="13"/>
      <c r="L38" s="56"/>
      <c r="M38" s="56"/>
      <c r="N38" s="56"/>
      <c r="O38" s="56"/>
      <c r="P38" s="56"/>
      <c r="Q38" s="56"/>
      <c r="R38" s="56"/>
      <c r="S38" s="56"/>
      <c r="T38" s="56"/>
      <c r="U38" s="56"/>
      <c r="V38" s="56"/>
      <c r="W38" s="56"/>
      <c r="X38" s="56">
        <v>0</v>
      </c>
      <c r="Y38" s="56"/>
      <c r="Z38" s="56"/>
      <c r="AA38" s="56"/>
      <c r="AB38" s="56"/>
      <c r="AC38" s="56"/>
      <c r="AD38" s="56"/>
      <c r="AE38" s="56"/>
      <c r="AF38" s="56"/>
      <c r="AG38" s="56"/>
      <c r="AH38" s="56"/>
      <c r="AI38" s="56"/>
      <c r="AJ38" s="56"/>
      <c r="AK38" s="85"/>
      <c r="AL38" s="56"/>
      <c r="AM38" s="56"/>
      <c r="AN38" s="88">
        <v>0</v>
      </c>
      <c r="AO38" s="88"/>
      <c r="AP38" s="88">
        <v>1679.56</v>
      </c>
      <c r="AQ38" s="56"/>
      <c r="AR38" s="56"/>
      <c r="AS38" s="56"/>
      <c r="AT38" s="56"/>
      <c r="AU38" s="56"/>
      <c r="AV38" s="56">
        <v>0</v>
      </c>
      <c r="AW38" s="56"/>
      <c r="AX38" s="56">
        <v>2000</v>
      </c>
      <c r="AY38" s="56"/>
      <c r="AZ38" s="88">
        <v>2000</v>
      </c>
      <c r="BA38" s="56">
        <v>2000</v>
      </c>
      <c r="BB38" s="214"/>
      <c r="BC38" s="56"/>
      <c r="BD38" s="84"/>
      <c r="BE38" s="56"/>
      <c r="BF38" s="56"/>
      <c r="BG38" s="56"/>
      <c r="BH38" s="72"/>
    </row>
    <row r="39" spans="1:60" ht="20.100000000000001" customHeight="1" outlineLevel="1">
      <c r="A39" s="77" t="s">
        <v>43</v>
      </c>
      <c r="B39" s="77" t="s">
        <v>654</v>
      </c>
      <c r="C39" s="77" t="s">
        <v>1091</v>
      </c>
      <c r="D39" s="78" t="s">
        <v>46</v>
      </c>
      <c r="E39" s="78" t="str">
        <f t="shared" si="0"/>
        <v>000</v>
      </c>
      <c r="F39" s="3">
        <v>661006</v>
      </c>
      <c r="G39" s="102" t="s">
        <v>659</v>
      </c>
      <c r="H39" s="158"/>
      <c r="I39" s="13"/>
      <c r="J39" s="13"/>
      <c r="L39" s="56"/>
      <c r="M39" s="56"/>
      <c r="N39" s="56"/>
      <c r="O39" s="56"/>
      <c r="P39" s="56"/>
      <c r="Q39" s="56"/>
      <c r="R39" s="56"/>
      <c r="S39" s="56"/>
      <c r="T39" s="56"/>
      <c r="U39" s="56"/>
      <c r="V39" s="56"/>
      <c r="W39" s="56"/>
      <c r="X39" s="56">
        <v>0</v>
      </c>
      <c r="Y39" s="56"/>
      <c r="Z39" s="56"/>
      <c r="AA39" s="56"/>
      <c r="AB39" s="56"/>
      <c r="AC39" s="56"/>
      <c r="AD39" s="56"/>
      <c r="AE39" s="56"/>
      <c r="AF39" s="56"/>
      <c r="AG39" s="56"/>
      <c r="AH39" s="56"/>
      <c r="AI39" s="56"/>
      <c r="AJ39" s="56"/>
      <c r="AK39" s="85"/>
      <c r="AL39" s="56"/>
      <c r="AM39" s="56"/>
      <c r="AN39" s="88">
        <v>0</v>
      </c>
      <c r="AO39" s="88"/>
      <c r="AP39" s="88">
        <v>1430.54</v>
      </c>
      <c r="AQ39" s="56"/>
      <c r="AR39" s="56"/>
      <c r="AS39" s="56"/>
      <c r="AT39" s="56"/>
      <c r="AU39" s="56"/>
      <c r="AV39" s="56">
        <v>0</v>
      </c>
      <c r="AW39" s="56"/>
      <c r="AX39" s="56">
        <v>2000</v>
      </c>
      <c r="AY39" s="56"/>
      <c r="AZ39" s="88">
        <v>2000</v>
      </c>
      <c r="BA39" s="56">
        <v>2000</v>
      </c>
      <c r="BB39" s="214"/>
      <c r="BC39" s="56"/>
      <c r="BD39" s="84"/>
      <c r="BE39" s="56"/>
      <c r="BF39" s="56"/>
      <c r="BG39" s="56"/>
      <c r="BH39" s="72"/>
    </row>
    <row r="40" spans="1:60" ht="20.100000000000001" customHeight="1" outlineLevel="1">
      <c r="A40" s="77" t="s">
        <v>43</v>
      </c>
      <c r="B40" s="77" t="s">
        <v>654</v>
      </c>
      <c r="C40" s="77" t="s">
        <v>1091</v>
      </c>
      <c r="D40" s="78" t="s">
        <v>46</v>
      </c>
      <c r="E40" s="78" t="str">
        <f t="shared" si="0"/>
        <v>000</v>
      </c>
      <c r="F40" s="3">
        <v>661021</v>
      </c>
      <c r="G40" s="102" t="s">
        <v>610</v>
      </c>
      <c r="H40" s="158"/>
      <c r="I40" s="13"/>
      <c r="J40" s="13"/>
      <c r="L40" s="56">
        <v>0</v>
      </c>
      <c r="M40" s="56"/>
      <c r="N40" s="56"/>
      <c r="O40" s="56"/>
      <c r="P40" s="56"/>
      <c r="Q40" s="56"/>
      <c r="R40" s="56"/>
      <c r="S40" s="56"/>
      <c r="T40" s="56"/>
      <c r="U40" s="56"/>
      <c r="V40" s="56"/>
      <c r="W40" s="56"/>
      <c r="X40" s="56">
        <v>0</v>
      </c>
      <c r="Y40" s="56"/>
      <c r="Z40" s="56"/>
      <c r="AA40" s="56"/>
      <c r="AB40" s="56"/>
      <c r="AC40" s="56"/>
      <c r="AD40" s="56"/>
      <c r="AE40" s="56"/>
      <c r="AF40" s="56"/>
      <c r="AG40" s="56"/>
      <c r="AH40" s="56"/>
      <c r="AI40" s="56"/>
      <c r="AJ40" s="56"/>
      <c r="AK40" s="85"/>
      <c r="AL40" s="56"/>
      <c r="AM40" s="56"/>
      <c r="AN40" s="88">
        <v>0</v>
      </c>
      <c r="AO40" s="88"/>
      <c r="AP40" s="88">
        <v>92.85</v>
      </c>
      <c r="AQ40" s="56"/>
      <c r="AR40" s="56"/>
      <c r="AS40" s="56"/>
      <c r="AT40" s="56"/>
      <c r="AU40" s="56"/>
      <c r="AV40" s="56"/>
      <c r="AW40" s="56"/>
      <c r="AX40" s="56"/>
      <c r="AY40" s="56"/>
      <c r="AZ40" s="88">
        <v>0</v>
      </c>
      <c r="BA40" s="56">
        <v>0</v>
      </c>
      <c r="BB40" s="214"/>
      <c r="BC40" s="56"/>
      <c r="BD40" s="84"/>
      <c r="BE40" s="56"/>
      <c r="BF40" s="56"/>
      <c r="BG40" s="56"/>
      <c r="BH40" s="72"/>
    </row>
    <row r="41" spans="1:60" ht="20.100000000000001" customHeight="1" outlineLevel="1">
      <c r="A41" s="77" t="s">
        <v>43</v>
      </c>
      <c r="B41" s="77" t="s">
        <v>654</v>
      </c>
      <c r="C41" s="77" t="s">
        <v>1091</v>
      </c>
      <c r="D41" s="78" t="s">
        <v>46</v>
      </c>
      <c r="E41" s="78" t="str">
        <f t="shared" si="0"/>
        <v>000</v>
      </c>
      <c r="F41" s="3">
        <v>673021</v>
      </c>
      <c r="G41" s="102" t="s">
        <v>1039</v>
      </c>
      <c r="H41" s="158">
        <v>1</v>
      </c>
      <c r="I41" s="13"/>
      <c r="J41" s="13">
        <v>0</v>
      </c>
      <c r="L41" s="56">
        <v>0</v>
      </c>
      <c r="M41" s="56"/>
      <c r="N41" s="56">
        <v>0</v>
      </c>
      <c r="O41" s="56"/>
      <c r="P41" s="56">
        <v>0</v>
      </c>
      <c r="Q41" s="56"/>
      <c r="R41" s="56">
        <v>0</v>
      </c>
      <c r="S41" s="56"/>
      <c r="T41" s="56">
        <v>0</v>
      </c>
      <c r="U41" s="56"/>
      <c r="V41" s="56">
        <v>0</v>
      </c>
      <c r="W41" s="56"/>
      <c r="X41" s="56">
        <v>0</v>
      </c>
      <c r="Y41" s="56"/>
      <c r="Z41" s="56"/>
      <c r="AA41" s="56"/>
      <c r="AB41" s="56">
        <v>0</v>
      </c>
      <c r="AC41" s="56"/>
      <c r="AD41" s="56"/>
      <c r="AE41" s="56"/>
      <c r="AF41" s="56">
        <f>SUM(Z41:AE41)</f>
        <v>0</v>
      </c>
      <c r="AG41" s="56">
        <v>0</v>
      </c>
      <c r="AH41" s="56">
        <v>0</v>
      </c>
      <c r="AI41" s="56"/>
      <c r="AJ41" s="56">
        <f>SUM(AE41:AI41)</f>
        <v>0</v>
      </c>
      <c r="AK41" s="85"/>
      <c r="AL41" s="56">
        <v>0</v>
      </c>
      <c r="AM41" s="56"/>
      <c r="AN41" s="88">
        <f>SUM(AI41:AM41)</f>
        <v>0</v>
      </c>
      <c r="AO41" s="88">
        <v>0</v>
      </c>
      <c r="AP41" s="88">
        <v>0</v>
      </c>
      <c r="AQ41" s="56"/>
      <c r="AR41" s="56">
        <v>0</v>
      </c>
      <c r="AS41" s="56"/>
      <c r="AT41" s="56">
        <v>0</v>
      </c>
      <c r="AU41" s="56"/>
      <c r="AV41" s="56">
        <f>SUM(AP41:AU41)</f>
        <v>0</v>
      </c>
      <c r="AW41" s="56"/>
      <c r="AX41" s="56">
        <v>0</v>
      </c>
      <c r="AY41" s="56"/>
      <c r="AZ41" s="88">
        <v>0</v>
      </c>
      <c r="BA41" s="56">
        <v>0</v>
      </c>
      <c r="BB41" s="214"/>
      <c r="BC41" s="56"/>
      <c r="BD41" s="84">
        <f>+AP41-AN41</f>
        <v>0</v>
      </c>
      <c r="BE41" s="56"/>
      <c r="BF41" s="56"/>
      <c r="BG41" s="56"/>
      <c r="BH41" s="72"/>
    </row>
    <row r="42" spans="1:60" ht="20.100000000000001" customHeight="1" outlineLevel="1">
      <c r="A42" s="77" t="s">
        <v>43</v>
      </c>
      <c r="B42" s="77" t="s">
        <v>218</v>
      </c>
      <c r="C42" s="77" t="s">
        <v>1091</v>
      </c>
      <c r="D42" s="78" t="s">
        <v>46</v>
      </c>
      <c r="E42" s="78" t="str">
        <f t="shared" si="0"/>
        <v>000</v>
      </c>
      <c r="F42" s="3">
        <v>611342</v>
      </c>
      <c r="G42" s="102" t="s">
        <v>1040</v>
      </c>
      <c r="H42" s="158"/>
      <c r="I42" s="13"/>
      <c r="J42" s="13"/>
      <c r="L42" s="56"/>
      <c r="M42" s="56"/>
      <c r="N42" s="56"/>
      <c r="O42" s="56"/>
      <c r="P42" s="56"/>
      <c r="Q42" s="56"/>
      <c r="R42" s="56"/>
      <c r="S42" s="56"/>
      <c r="T42" s="56"/>
      <c r="U42" s="56"/>
      <c r="V42" s="56"/>
      <c r="W42" s="56"/>
      <c r="X42" s="56">
        <v>0</v>
      </c>
      <c r="Y42" s="56"/>
      <c r="Z42" s="56"/>
      <c r="AA42" s="56"/>
      <c r="AB42" s="56"/>
      <c r="AC42" s="56"/>
      <c r="AD42" s="56"/>
      <c r="AE42" s="56"/>
      <c r="AF42" s="56"/>
      <c r="AG42" s="56"/>
      <c r="AH42" s="56"/>
      <c r="AI42" s="56"/>
      <c r="AJ42" s="56"/>
      <c r="AK42" s="85"/>
      <c r="AL42" s="56"/>
      <c r="AM42" s="56"/>
      <c r="AN42" s="88">
        <v>0</v>
      </c>
      <c r="AO42" s="88"/>
      <c r="AP42" s="88">
        <v>53243.63</v>
      </c>
      <c r="AQ42" s="56"/>
      <c r="AR42" s="56">
        <v>0</v>
      </c>
      <c r="AS42" s="56"/>
      <c r="AT42" s="56">
        <v>0</v>
      </c>
      <c r="AU42" s="56"/>
      <c r="AV42" s="56">
        <v>0</v>
      </c>
      <c r="AW42" s="56"/>
      <c r="AX42" s="56">
        <v>0</v>
      </c>
      <c r="AY42" s="56"/>
      <c r="AZ42" s="88">
        <v>58084</v>
      </c>
      <c r="BA42" s="56">
        <v>58084</v>
      </c>
      <c r="BB42" s="214"/>
      <c r="BC42" s="56"/>
      <c r="BD42" s="84"/>
      <c r="BE42" s="56"/>
      <c r="BF42" s="56"/>
      <c r="BG42" s="56"/>
      <c r="BH42" s="72"/>
    </row>
    <row r="43" spans="1:60" ht="20.100000000000001" customHeight="1" outlineLevel="1">
      <c r="A43" s="77" t="s">
        <v>43</v>
      </c>
      <c r="B43" s="77" t="s">
        <v>218</v>
      </c>
      <c r="C43" s="77" t="s">
        <v>1091</v>
      </c>
      <c r="D43" s="78" t="s">
        <v>46</v>
      </c>
      <c r="E43" s="78" t="str">
        <f t="shared" si="0"/>
        <v>000</v>
      </c>
      <c r="F43" s="3">
        <v>632013</v>
      </c>
      <c r="G43" s="102" t="s">
        <v>271</v>
      </c>
      <c r="H43" s="158"/>
      <c r="I43" s="13"/>
      <c r="J43" s="13"/>
      <c r="L43" s="56"/>
      <c r="M43" s="56"/>
      <c r="N43" s="56"/>
      <c r="O43" s="56"/>
      <c r="P43" s="56"/>
      <c r="Q43" s="56"/>
      <c r="R43" s="56"/>
      <c r="S43" s="56"/>
      <c r="T43" s="56"/>
      <c r="U43" s="56"/>
      <c r="V43" s="56"/>
      <c r="W43" s="56"/>
      <c r="X43" s="56">
        <v>0</v>
      </c>
      <c r="Y43" s="56"/>
      <c r="Z43" s="56"/>
      <c r="AA43" s="56"/>
      <c r="AB43" s="56"/>
      <c r="AC43" s="56"/>
      <c r="AD43" s="56"/>
      <c r="AE43" s="56"/>
      <c r="AF43" s="56"/>
      <c r="AG43" s="56"/>
      <c r="AH43" s="56"/>
      <c r="AI43" s="56"/>
      <c r="AJ43" s="56"/>
      <c r="AK43" s="85"/>
      <c r="AL43" s="56"/>
      <c r="AM43" s="56"/>
      <c r="AN43" s="88">
        <v>0</v>
      </c>
      <c r="AO43" s="88"/>
      <c r="AP43" s="88">
        <v>0</v>
      </c>
      <c r="AQ43" s="56"/>
      <c r="AR43" s="56"/>
      <c r="AS43" s="56"/>
      <c r="AT43" s="56"/>
      <c r="AU43" s="56"/>
      <c r="AV43" s="56">
        <v>0</v>
      </c>
      <c r="AW43" s="56"/>
      <c r="AX43" s="56">
        <v>2000</v>
      </c>
      <c r="AY43" s="56"/>
      <c r="AZ43" s="88">
        <v>2000</v>
      </c>
      <c r="BA43" s="56">
        <v>3450</v>
      </c>
      <c r="BB43" s="214"/>
      <c r="BC43" s="56"/>
      <c r="BD43" s="84"/>
      <c r="BE43" s="56"/>
      <c r="BF43" s="56"/>
      <c r="BG43" s="56"/>
      <c r="BH43" s="72"/>
    </row>
    <row r="44" spans="1:60" ht="20.100000000000001" customHeight="1" outlineLevel="1">
      <c r="A44" s="77" t="s">
        <v>43</v>
      </c>
      <c r="B44" s="77" t="s">
        <v>218</v>
      </c>
      <c r="C44" s="77" t="s">
        <v>1091</v>
      </c>
      <c r="D44" s="78" t="s">
        <v>46</v>
      </c>
      <c r="E44" s="78" t="str">
        <f t="shared" si="0"/>
        <v>000</v>
      </c>
      <c r="F44" s="3">
        <v>632015</v>
      </c>
      <c r="G44" s="102" t="s">
        <v>1035</v>
      </c>
      <c r="H44" s="158"/>
      <c r="I44" s="13"/>
      <c r="J44" s="13"/>
      <c r="L44" s="56"/>
      <c r="M44" s="56"/>
      <c r="N44" s="56"/>
      <c r="O44" s="56"/>
      <c r="P44" s="56"/>
      <c r="Q44" s="56"/>
      <c r="R44" s="56"/>
      <c r="S44" s="56"/>
      <c r="T44" s="56"/>
      <c r="U44" s="56"/>
      <c r="V44" s="56"/>
      <c r="W44" s="56"/>
      <c r="X44" s="56">
        <v>0</v>
      </c>
      <c r="Y44" s="56"/>
      <c r="Z44" s="56"/>
      <c r="AA44" s="56"/>
      <c r="AB44" s="56"/>
      <c r="AC44" s="56"/>
      <c r="AD44" s="56"/>
      <c r="AE44" s="56"/>
      <c r="AF44" s="56"/>
      <c r="AG44" s="56"/>
      <c r="AH44" s="56"/>
      <c r="AI44" s="56"/>
      <c r="AJ44" s="56"/>
      <c r="AK44" s="85"/>
      <c r="AL44" s="56"/>
      <c r="AM44" s="56"/>
      <c r="AN44" s="88">
        <v>0</v>
      </c>
      <c r="AO44" s="163"/>
      <c r="AP44" s="164">
        <v>1600</v>
      </c>
      <c r="AQ44" s="56"/>
      <c r="AR44" s="56">
        <v>0</v>
      </c>
      <c r="AS44" s="56"/>
      <c r="AT44" s="56">
        <v>0</v>
      </c>
      <c r="AU44" s="56"/>
      <c r="AV44" s="56">
        <f t="shared" ref="AV44:AV55" si="3">SUM(AP44:AU44)</f>
        <v>1600</v>
      </c>
      <c r="AW44" s="56"/>
      <c r="AX44" s="56">
        <v>10000</v>
      </c>
      <c r="AY44" s="56"/>
      <c r="AZ44" s="164">
        <v>10000</v>
      </c>
      <c r="BA44" s="56">
        <v>10000</v>
      </c>
      <c r="BB44" s="214"/>
      <c r="BC44" s="56"/>
      <c r="BD44" s="84"/>
      <c r="BE44" s="56"/>
      <c r="BF44" s="56"/>
      <c r="BG44" s="56"/>
      <c r="BH44" s="72"/>
    </row>
    <row r="45" spans="1:60" ht="20.100000000000001" customHeight="1" outlineLevel="1">
      <c r="A45" s="77" t="s">
        <v>43</v>
      </c>
      <c r="B45" s="77" t="s">
        <v>218</v>
      </c>
      <c r="C45" s="77" t="s">
        <v>1091</v>
      </c>
      <c r="D45" s="78" t="s">
        <v>46</v>
      </c>
      <c r="E45" s="78" t="str">
        <f t="shared" si="0"/>
        <v>000</v>
      </c>
      <c r="F45" s="3">
        <v>653051</v>
      </c>
      <c r="G45" s="102" t="s">
        <v>1041</v>
      </c>
      <c r="H45" s="158">
        <v>1</v>
      </c>
      <c r="I45" s="13">
        <v>682</v>
      </c>
      <c r="J45" s="13">
        <v>681</v>
      </c>
      <c r="L45" s="56">
        <v>828</v>
      </c>
      <c r="M45" s="56"/>
      <c r="N45" s="56">
        <v>1300</v>
      </c>
      <c r="O45" s="56"/>
      <c r="P45" s="56">
        <v>1300</v>
      </c>
      <c r="Q45" s="56"/>
      <c r="R45" s="56">
        <v>1300</v>
      </c>
      <c r="S45" s="56"/>
      <c r="T45" s="56">
        <v>0</v>
      </c>
      <c r="U45" s="56"/>
      <c r="V45" s="56">
        <v>1300</v>
      </c>
      <c r="W45" s="56"/>
      <c r="X45" s="56">
        <v>1070.8399999999999</v>
      </c>
      <c r="Y45" s="56"/>
      <c r="Z45" s="56">
        <v>1500</v>
      </c>
      <c r="AA45" s="56"/>
      <c r="AB45" s="56">
        <v>0</v>
      </c>
      <c r="AC45" s="56"/>
      <c r="AD45" s="56"/>
      <c r="AE45" s="56"/>
      <c r="AF45" s="56">
        <f>SUM(Z45:AE45)</f>
        <v>1500</v>
      </c>
      <c r="AG45" s="56">
        <v>0</v>
      </c>
      <c r="AH45" s="56">
        <v>0</v>
      </c>
      <c r="AI45" s="56"/>
      <c r="AJ45" s="56">
        <f>SUM(AE45:AI45)</f>
        <v>1500</v>
      </c>
      <c r="AK45" s="85"/>
      <c r="AL45" s="56">
        <v>0</v>
      </c>
      <c r="AM45" s="56"/>
      <c r="AN45" s="88">
        <v>1311.39</v>
      </c>
      <c r="AO45" s="88">
        <v>0</v>
      </c>
      <c r="AP45" s="88">
        <v>88.49</v>
      </c>
      <c r="AQ45" s="56"/>
      <c r="AR45" s="56">
        <v>0</v>
      </c>
      <c r="AS45" s="56"/>
      <c r="AT45" s="56">
        <v>0</v>
      </c>
      <c r="AU45" s="56"/>
      <c r="AV45" s="56">
        <f t="shared" si="3"/>
        <v>88.49</v>
      </c>
      <c r="AW45" s="56"/>
      <c r="AX45" s="56">
        <v>-1800</v>
      </c>
      <c r="AY45" s="56"/>
      <c r="AZ45" s="88">
        <v>0</v>
      </c>
      <c r="BA45" s="56">
        <v>0</v>
      </c>
      <c r="BB45" s="214"/>
      <c r="BC45" s="56"/>
      <c r="BD45" s="84">
        <f>+AP45-AN45</f>
        <v>-1222.9000000000001</v>
      </c>
      <c r="BE45" s="56"/>
      <c r="BF45" s="56"/>
      <c r="BG45" s="56"/>
      <c r="BH45" s="72"/>
    </row>
    <row r="46" spans="1:60" ht="20.100000000000001" customHeight="1" outlineLevel="1">
      <c r="A46" s="77" t="s">
        <v>43</v>
      </c>
      <c r="B46" s="77" t="s">
        <v>218</v>
      </c>
      <c r="C46" s="77" t="s">
        <v>1091</v>
      </c>
      <c r="D46" s="78" t="s">
        <v>46</v>
      </c>
      <c r="E46" s="78" t="str">
        <f t="shared" si="0"/>
        <v>000</v>
      </c>
      <c r="F46" s="3">
        <v>658211</v>
      </c>
      <c r="G46" s="102" t="s">
        <v>1042</v>
      </c>
      <c r="H46" s="158">
        <v>1</v>
      </c>
      <c r="I46" s="13">
        <v>14183</v>
      </c>
      <c r="J46" s="13">
        <v>12534</v>
      </c>
      <c r="L46" s="56">
        <v>15339</v>
      </c>
      <c r="M46" s="56"/>
      <c r="N46" s="56">
        <v>20000</v>
      </c>
      <c r="O46" s="56"/>
      <c r="P46" s="56">
        <v>20000</v>
      </c>
      <c r="Q46" s="56"/>
      <c r="R46" s="56">
        <v>20000</v>
      </c>
      <c r="S46" s="56"/>
      <c r="T46" s="56">
        <v>0</v>
      </c>
      <c r="U46" s="56"/>
      <c r="V46" s="56">
        <v>20000</v>
      </c>
      <c r="W46" s="56"/>
      <c r="X46" s="56">
        <v>20412.09</v>
      </c>
      <c r="Y46" s="56"/>
      <c r="Z46" s="56">
        <v>23000</v>
      </c>
      <c r="AA46" s="56"/>
      <c r="AB46" s="56">
        <v>0</v>
      </c>
      <c r="AC46" s="56"/>
      <c r="AD46" s="56"/>
      <c r="AE46" s="56"/>
      <c r="AF46" s="56">
        <f>SUM(Z46:AE46)</f>
        <v>23000</v>
      </c>
      <c r="AG46" s="56">
        <v>0</v>
      </c>
      <c r="AH46" s="56">
        <v>0</v>
      </c>
      <c r="AI46" s="56"/>
      <c r="AJ46" s="56">
        <f>SUM(AE46:AI46)</f>
        <v>23000</v>
      </c>
      <c r="AK46" s="85"/>
      <c r="AL46" s="56">
        <v>0</v>
      </c>
      <c r="AM46" s="56"/>
      <c r="AN46" s="88">
        <v>23135.03</v>
      </c>
      <c r="AO46" s="88">
        <v>0</v>
      </c>
      <c r="AP46" s="88">
        <v>3219.35</v>
      </c>
      <c r="AQ46" s="56"/>
      <c r="AR46" s="56">
        <v>0</v>
      </c>
      <c r="AS46" s="56"/>
      <c r="AT46" s="56">
        <v>0</v>
      </c>
      <c r="AU46" s="56"/>
      <c r="AV46" s="56">
        <f t="shared" si="3"/>
        <v>3219.35</v>
      </c>
      <c r="AW46" s="56"/>
      <c r="AX46" s="56">
        <v>-13000</v>
      </c>
      <c r="AY46" s="56"/>
      <c r="AZ46" s="88">
        <v>10000</v>
      </c>
      <c r="BA46" s="56">
        <v>10000</v>
      </c>
      <c r="BB46" s="214"/>
      <c r="BC46" s="56"/>
      <c r="BD46" s="84">
        <f>+AP46-AN46</f>
        <v>-19915.68</v>
      </c>
      <c r="BE46" s="56"/>
      <c r="BF46" s="56"/>
      <c r="BG46" s="56"/>
      <c r="BH46" s="72"/>
    </row>
    <row r="47" spans="1:60" ht="20.100000000000001" customHeight="1" outlineLevel="1">
      <c r="A47" s="77" t="s">
        <v>43</v>
      </c>
      <c r="B47" s="77" t="s">
        <v>218</v>
      </c>
      <c r="C47" s="77" t="s">
        <v>1091</v>
      </c>
      <c r="D47" s="78" t="s">
        <v>46</v>
      </c>
      <c r="E47" s="78" t="str">
        <f t="shared" si="0"/>
        <v>000</v>
      </c>
      <c r="F47" s="3">
        <v>658212</v>
      </c>
      <c r="G47" s="102" t="s">
        <v>1129</v>
      </c>
      <c r="H47" s="158"/>
      <c r="I47" s="13"/>
      <c r="J47" s="13"/>
      <c r="L47" s="56">
        <v>0</v>
      </c>
      <c r="M47" s="56"/>
      <c r="N47" s="56"/>
      <c r="O47" s="56"/>
      <c r="P47" s="56"/>
      <c r="Q47" s="56"/>
      <c r="R47" s="56"/>
      <c r="S47" s="56"/>
      <c r="T47" s="56"/>
      <c r="U47" s="56"/>
      <c r="V47" s="56"/>
      <c r="W47" s="56"/>
      <c r="X47" s="56">
        <v>0</v>
      </c>
      <c r="Y47" s="56"/>
      <c r="Z47" s="56"/>
      <c r="AA47" s="56"/>
      <c r="AB47" s="56"/>
      <c r="AC47" s="56"/>
      <c r="AD47" s="56"/>
      <c r="AE47" s="56"/>
      <c r="AF47" s="56"/>
      <c r="AG47" s="56"/>
      <c r="AH47" s="56"/>
      <c r="AI47" s="56"/>
      <c r="AJ47" s="56"/>
      <c r="AK47" s="85"/>
      <c r="AL47" s="56"/>
      <c r="AM47" s="56"/>
      <c r="AN47" s="88">
        <v>0</v>
      </c>
      <c r="AO47" s="88"/>
      <c r="AP47" s="88">
        <v>1054.6199999999999</v>
      </c>
      <c r="AQ47" s="56"/>
      <c r="AR47" s="56"/>
      <c r="AS47" s="56"/>
      <c r="AT47" s="56"/>
      <c r="AU47" s="56"/>
      <c r="AV47" s="56"/>
      <c r="AW47" s="56"/>
      <c r="AX47" s="56"/>
      <c r="AY47" s="56"/>
      <c r="AZ47" s="88">
        <v>0</v>
      </c>
      <c r="BA47" s="56">
        <v>0</v>
      </c>
      <c r="BB47" s="214"/>
      <c r="BC47" s="56"/>
      <c r="BD47" s="84"/>
      <c r="BE47" s="56"/>
      <c r="BF47" s="56"/>
      <c r="BG47" s="56"/>
      <c r="BH47" s="72"/>
    </row>
    <row r="48" spans="1:60" ht="20.100000000000001" customHeight="1" outlineLevel="1">
      <c r="A48" s="77" t="s">
        <v>43</v>
      </c>
      <c r="B48" s="77" t="s">
        <v>218</v>
      </c>
      <c r="C48" s="77" t="s">
        <v>1091</v>
      </c>
      <c r="D48" s="78" t="s">
        <v>46</v>
      </c>
      <c r="E48" s="78" t="str">
        <f t="shared" si="0"/>
        <v>000</v>
      </c>
      <c r="F48" s="3">
        <v>658213</v>
      </c>
      <c r="G48" s="102" t="s">
        <v>1043</v>
      </c>
      <c r="H48" s="158"/>
      <c r="I48" s="13"/>
      <c r="J48" s="13"/>
      <c r="L48" s="56"/>
      <c r="M48" s="56"/>
      <c r="N48" s="56"/>
      <c r="O48" s="56"/>
      <c r="P48" s="56"/>
      <c r="Q48" s="56"/>
      <c r="R48" s="56"/>
      <c r="S48" s="56"/>
      <c r="T48" s="56"/>
      <c r="U48" s="56"/>
      <c r="V48" s="56"/>
      <c r="W48" s="56"/>
      <c r="X48" s="56">
        <v>0</v>
      </c>
      <c r="Y48" s="56"/>
      <c r="Z48" s="56"/>
      <c r="AA48" s="56"/>
      <c r="AB48" s="56"/>
      <c r="AC48" s="56"/>
      <c r="AD48" s="56"/>
      <c r="AE48" s="56"/>
      <c r="AF48" s="56"/>
      <c r="AG48" s="56"/>
      <c r="AH48" s="56"/>
      <c r="AI48" s="56"/>
      <c r="AJ48" s="56"/>
      <c r="AK48" s="85"/>
      <c r="AL48" s="56"/>
      <c r="AM48" s="56"/>
      <c r="AN48" s="88">
        <v>0</v>
      </c>
      <c r="AO48" s="88"/>
      <c r="AP48" s="88">
        <v>6217.8</v>
      </c>
      <c r="AQ48" s="56"/>
      <c r="AR48" s="56">
        <v>0</v>
      </c>
      <c r="AS48" s="56"/>
      <c r="AT48" s="56">
        <v>0</v>
      </c>
      <c r="AU48" s="56"/>
      <c r="AV48" s="56">
        <f t="shared" si="3"/>
        <v>6217.8</v>
      </c>
      <c r="AW48" s="56"/>
      <c r="AX48" s="56">
        <v>65662</v>
      </c>
      <c r="AY48" s="56"/>
      <c r="AZ48" s="88">
        <v>20000</v>
      </c>
      <c r="BA48" s="56">
        <v>20000</v>
      </c>
      <c r="BB48" s="214"/>
      <c r="BC48" s="56"/>
      <c r="BD48" s="84"/>
      <c r="BE48" s="56"/>
      <c r="BF48" s="56"/>
      <c r="BG48" s="56"/>
      <c r="BH48" s="72"/>
    </row>
    <row r="49" spans="1:62" ht="20.100000000000001" customHeight="1" outlineLevel="1">
      <c r="A49" s="77" t="s">
        <v>43</v>
      </c>
      <c r="B49" s="77" t="s">
        <v>218</v>
      </c>
      <c r="C49" s="77" t="s">
        <v>1091</v>
      </c>
      <c r="D49" s="78" t="s">
        <v>46</v>
      </c>
      <c r="E49" s="78" t="str">
        <f t="shared" si="0"/>
        <v>000</v>
      </c>
      <c r="F49" s="3">
        <v>661001</v>
      </c>
      <c r="G49" s="102" t="s">
        <v>1038</v>
      </c>
      <c r="H49" s="158">
        <v>1</v>
      </c>
      <c r="I49" s="13">
        <v>559</v>
      </c>
      <c r="J49" s="13">
        <v>501</v>
      </c>
      <c r="L49" s="56">
        <v>399</v>
      </c>
      <c r="M49" s="56"/>
      <c r="N49" s="56">
        <v>600</v>
      </c>
      <c r="O49" s="56"/>
      <c r="P49" s="56">
        <v>600</v>
      </c>
      <c r="Q49" s="56"/>
      <c r="R49" s="56">
        <v>600</v>
      </c>
      <c r="S49" s="56"/>
      <c r="T49" s="56">
        <v>0</v>
      </c>
      <c r="U49" s="56"/>
      <c r="V49" s="56">
        <v>600</v>
      </c>
      <c r="W49" s="56"/>
      <c r="X49" s="56">
        <v>562.4</v>
      </c>
      <c r="Y49" s="56"/>
      <c r="Z49" s="56">
        <v>1000</v>
      </c>
      <c r="AA49" s="56"/>
      <c r="AB49" s="56">
        <v>0</v>
      </c>
      <c r="AC49" s="56"/>
      <c r="AD49" s="56"/>
      <c r="AE49" s="56"/>
      <c r="AF49" s="56">
        <f>SUM(Z49:AE49)</f>
        <v>1000</v>
      </c>
      <c r="AG49" s="56">
        <v>0</v>
      </c>
      <c r="AH49" s="56">
        <v>0</v>
      </c>
      <c r="AI49" s="56"/>
      <c r="AJ49" s="56">
        <f>SUM(AE49:AI49)</f>
        <v>1000</v>
      </c>
      <c r="AK49" s="85"/>
      <c r="AL49" s="56">
        <v>0</v>
      </c>
      <c r="AM49" s="56"/>
      <c r="AN49" s="88">
        <v>1313.43</v>
      </c>
      <c r="AO49" s="88">
        <v>0</v>
      </c>
      <c r="AP49" s="88">
        <f>130.82-51.94</f>
        <v>78.88</v>
      </c>
      <c r="AQ49" s="56"/>
      <c r="AR49" s="56">
        <v>0</v>
      </c>
      <c r="AS49" s="56"/>
      <c r="AT49" s="56">
        <v>0</v>
      </c>
      <c r="AU49" s="56"/>
      <c r="AV49" s="56">
        <f t="shared" si="3"/>
        <v>78.88</v>
      </c>
      <c r="AW49" s="56"/>
      <c r="AX49" s="56">
        <v>0</v>
      </c>
      <c r="AY49" s="56"/>
      <c r="AZ49" s="88">
        <v>1000</v>
      </c>
      <c r="BA49" s="56">
        <v>1000</v>
      </c>
      <c r="BB49" s="214"/>
      <c r="BC49" s="56"/>
      <c r="BD49" s="84">
        <f t="shared" ref="BD49:BD56" si="4">+AP49-AN49</f>
        <v>-1234.5500000000002</v>
      </c>
      <c r="BE49" s="56"/>
      <c r="BF49" s="56"/>
      <c r="BG49" s="56"/>
      <c r="BH49" s="72"/>
    </row>
    <row r="50" spans="1:62" ht="20.100000000000001" customHeight="1" outlineLevel="1">
      <c r="A50" s="77" t="s">
        <v>43</v>
      </c>
      <c r="B50" s="77" t="s">
        <v>218</v>
      </c>
      <c r="C50" s="77" t="s">
        <v>1091</v>
      </c>
      <c r="D50" s="78" t="s">
        <v>46</v>
      </c>
      <c r="E50" s="78" t="str">
        <f t="shared" si="0"/>
        <v>000</v>
      </c>
      <c r="F50" s="3">
        <v>661005</v>
      </c>
      <c r="G50" s="102" t="s">
        <v>1044</v>
      </c>
      <c r="H50" s="158">
        <v>2</v>
      </c>
      <c r="I50" s="13">
        <v>0</v>
      </c>
      <c r="J50" s="13">
        <v>0</v>
      </c>
      <c r="L50" s="56">
        <v>0</v>
      </c>
      <c r="M50" s="56"/>
      <c r="N50" s="56"/>
      <c r="O50" s="56"/>
      <c r="P50" s="56"/>
      <c r="Q50" s="56"/>
      <c r="R50" s="56"/>
      <c r="S50" s="56"/>
      <c r="T50" s="56"/>
      <c r="U50" s="56"/>
      <c r="V50" s="56"/>
      <c r="W50" s="56"/>
      <c r="X50" s="56">
        <v>0</v>
      </c>
      <c r="Y50" s="56"/>
      <c r="Z50" s="56"/>
      <c r="AA50" s="56"/>
      <c r="AB50" s="56"/>
      <c r="AC50" s="56"/>
      <c r="AD50" s="56"/>
      <c r="AE50" s="56"/>
      <c r="AF50" s="56"/>
      <c r="AG50" s="56"/>
      <c r="AH50" s="56"/>
      <c r="AI50" s="56"/>
      <c r="AJ50" s="56"/>
      <c r="AK50" s="85"/>
      <c r="AL50" s="56"/>
      <c r="AM50" s="56"/>
      <c r="AN50" s="88">
        <v>0</v>
      </c>
      <c r="AO50" s="106">
        <v>0</v>
      </c>
      <c r="AP50" s="106">
        <v>340.31</v>
      </c>
      <c r="AQ50" s="56"/>
      <c r="AR50" s="56">
        <v>0</v>
      </c>
      <c r="AS50" s="56"/>
      <c r="AT50" s="56">
        <v>0</v>
      </c>
      <c r="AU50" s="56"/>
      <c r="AV50" s="56">
        <f t="shared" si="3"/>
        <v>340.31</v>
      </c>
      <c r="AW50" s="56"/>
      <c r="AX50" s="56">
        <f>-2000+1000</f>
        <v>-1000</v>
      </c>
      <c r="AY50" s="56"/>
      <c r="AZ50" s="106">
        <v>1000</v>
      </c>
      <c r="BA50" s="56">
        <v>1000</v>
      </c>
      <c r="BB50" s="214"/>
      <c r="BC50" s="56"/>
      <c r="BD50" s="84">
        <f t="shared" si="4"/>
        <v>340.31</v>
      </c>
      <c r="BE50" s="56"/>
      <c r="BF50" s="56"/>
      <c r="BG50" s="56"/>
      <c r="BH50" s="72"/>
    </row>
    <row r="51" spans="1:62" ht="20.100000000000001" customHeight="1" outlineLevel="1">
      <c r="A51" s="77" t="s">
        <v>43</v>
      </c>
      <c r="B51" s="77" t="s">
        <v>218</v>
      </c>
      <c r="C51" s="77" t="s">
        <v>1091</v>
      </c>
      <c r="D51" s="78" t="s">
        <v>46</v>
      </c>
      <c r="E51" s="78" t="str">
        <f t="shared" si="0"/>
        <v>000</v>
      </c>
      <c r="F51" s="3">
        <v>661006</v>
      </c>
      <c r="G51" s="102" t="s">
        <v>1045</v>
      </c>
      <c r="H51" s="158">
        <v>3</v>
      </c>
      <c r="I51" s="13">
        <v>0</v>
      </c>
      <c r="J51" s="13">
        <v>0</v>
      </c>
      <c r="L51" s="56">
        <v>0</v>
      </c>
      <c r="M51" s="56"/>
      <c r="N51" s="56"/>
      <c r="O51" s="56"/>
      <c r="P51" s="56"/>
      <c r="Q51" s="56"/>
      <c r="R51" s="56"/>
      <c r="S51" s="56"/>
      <c r="T51" s="56"/>
      <c r="U51" s="56"/>
      <c r="V51" s="56"/>
      <c r="W51" s="56"/>
      <c r="X51" s="56">
        <v>0</v>
      </c>
      <c r="Y51" s="56"/>
      <c r="Z51" s="56"/>
      <c r="AA51" s="56"/>
      <c r="AB51" s="56"/>
      <c r="AC51" s="56"/>
      <c r="AD51" s="56"/>
      <c r="AE51" s="56"/>
      <c r="AF51" s="56"/>
      <c r="AG51" s="56"/>
      <c r="AH51" s="56"/>
      <c r="AI51" s="56"/>
      <c r="AJ51" s="56"/>
      <c r="AK51" s="85"/>
      <c r="AL51" s="56"/>
      <c r="AM51" s="56"/>
      <c r="AN51" s="88">
        <v>0</v>
      </c>
      <c r="AO51" s="163">
        <v>0</v>
      </c>
      <c r="AP51" s="164">
        <v>0</v>
      </c>
      <c r="AQ51" s="56"/>
      <c r="AR51" s="56">
        <v>0</v>
      </c>
      <c r="AS51" s="56"/>
      <c r="AT51" s="56">
        <v>0</v>
      </c>
      <c r="AU51" s="56"/>
      <c r="AV51" s="56">
        <f t="shared" si="3"/>
        <v>0</v>
      </c>
      <c r="AW51" s="56"/>
      <c r="AX51" s="56">
        <v>2000</v>
      </c>
      <c r="AY51" s="56"/>
      <c r="AZ51" s="164">
        <v>2000</v>
      </c>
      <c r="BA51" s="56">
        <v>2000</v>
      </c>
      <c r="BB51" s="214"/>
      <c r="BC51" s="56"/>
      <c r="BD51" s="84">
        <f t="shared" si="4"/>
        <v>0</v>
      </c>
      <c r="BE51" s="56"/>
      <c r="BF51" s="56"/>
      <c r="BG51" s="56"/>
      <c r="BH51" s="72"/>
    </row>
    <row r="52" spans="1:62" ht="20.100000000000001" customHeight="1" outlineLevel="1">
      <c r="A52" s="77" t="s">
        <v>43</v>
      </c>
      <c r="B52" s="77" t="s">
        <v>225</v>
      </c>
      <c r="C52" s="77" t="s">
        <v>1091</v>
      </c>
      <c r="D52" s="78" t="s">
        <v>46</v>
      </c>
      <c r="E52" s="78" t="str">
        <f t="shared" si="0"/>
        <v>000</v>
      </c>
      <c r="F52" s="3">
        <v>615011</v>
      </c>
      <c r="G52" s="102" t="s">
        <v>1046</v>
      </c>
      <c r="H52" s="158">
        <v>1</v>
      </c>
      <c r="I52" s="13">
        <v>9731</v>
      </c>
      <c r="J52" s="13">
        <v>8925</v>
      </c>
      <c r="L52" s="56">
        <v>700</v>
      </c>
      <c r="M52" s="56"/>
      <c r="N52" s="56">
        <v>16500</v>
      </c>
      <c r="O52" s="56"/>
      <c r="P52" s="56">
        <v>16500</v>
      </c>
      <c r="Q52" s="56"/>
      <c r="R52" s="56">
        <v>16500</v>
      </c>
      <c r="S52" s="56"/>
      <c r="T52" s="56">
        <v>0</v>
      </c>
      <c r="U52" s="56"/>
      <c r="V52" s="56">
        <v>16500</v>
      </c>
      <c r="W52" s="56"/>
      <c r="X52" s="56">
        <v>9941.9599999999991</v>
      </c>
      <c r="Y52" s="56"/>
      <c r="Z52" s="56">
        <v>16500</v>
      </c>
      <c r="AA52" s="56"/>
      <c r="AB52" s="56">
        <v>0</v>
      </c>
      <c r="AC52" s="56"/>
      <c r="AD52" s="56"/>
      <c r="AE52" s="56"/>
      <c r="AF52" s="56">
        <f>SUM(Z52:AE52)</f>
        <v>16500</v>
      </c>
      <c r="AG52" s="56">
        <v>0</v>
      </c>
      <c r="AH52" s="56">
        <v>0</v>
      </c>
      <c r="AI52" s="56"/>
      <c r="AJ52" s="56">
        <f>SUM(AE52:AI52)</f>
        <v>16500</v>
      </c>
      <c r="AK52" s="85"/>
      <c r="AL52" s="56">
        <v>0</v>
      </c>
      <c r="AM52" s="56"/>
      <c r="AN52" s="88">
        <v>6655.7</v>
      </c>
      <c r="AO52" s="88">
        <v>0</v>
      </c>
      <c r="AP52" s="88">
        <v>8016.73</v>
      </c>
      <c r="AQ52" s="56"/>
      <c r="AR52" s="56">
        <v>0</v>
      </c>
      <c r="AS52" s="56"/>
      <c r="AT52" s="56">
        <v>0</v>
      </c>
      <c r="AU52" s="56"/>
      <c r="AV52" s="56">
        <f t="shared" si="3"/>
        <v>8016.73</v>
      </c>
      <c r="AW52" s="56"/>
      <c r="AX52" s="56">
        <v>0</v>
      </c>
      <c r="AY52" s="56"/>
      <c r="AZ52" s="88">
        <v>12500</v>
      </c>
      <c r="BA52" s="56">
        <v>12500</v>
      </c>
      <c r="BB52" s="214"/>
      <c r="BC52" s="56"/>
      <c r="BD52" s="84">
        <f t="shared" si="4"/>
        <v>1361.0299999999997</v>
      </c>
      <c r="BE52" s="56"/>
      <c r="BF52" s="56"/>
      <c r="BG52" s="56"/>
      <c r="BH52" s="72">
        <v>1</v>
      </c>
      <c r="BJ52">
        <v>1</v>
      </c>
    </row>
    <row r="53" spans="1:62" ht="20.100000000000001" customHeight="1" outlineLevel="1">
      <c r="A53" s="77" t="s">
        <v>43</v>
      </c>
      <c r="B53" s="77" t="s">
        <v>225</v>
      </c>
      <c r="C53" s="77" t="s">
        <v>1091</v>
      </c>
      <c r="D53" s="78" t="s">
        <v>46</v>
      </c>
      <c r="E53" s="78" t="str">
        <f t="shared" si="0"/>
        <v>000</v>
      </c>
      <c r="F53" s="3">
        <v>615012</v>
      </c>
      <c r="G53" s="102" t="s">
        <v>1047</v>
      </c>
      <c r="H53" s="158">
        <v>2</v>
      </c>
      <c r="I53" s="13">
        <v>0</v>
      </c>
      <c r="J53" s="13">
        <v>0</v>
      </c>
      <c r="L53" s="56">
        <v>0</v>
      </c>
      <c r="M53" s="56"/>
      <c r="N53" s="56"/>
      <c r="O53" s="56"/>
      <c r="P53" s="56"/>
      <c r="Q53" s="56"/>
      <c r="R53" s="56"/>
      <c r="S53" s="56"/>
      <c r="T53" s="56"/>
      <c r="U53" s="56"/>
      <c r="V53" s="56"/>
      <c r="W53" s="56"/>
      <c r="X53" s="56">
        <v>0</v>
      </c>
      <c r="Y53" s="56"/>
      <c r="Z53" s="56"/>
      <c r="AA53" s="56"/>
      <c r="AB53" s="56"/>
      <c r="AC53" s="56"/>
      <c r="AD53" s="56"/>
      <c r="AE53" s="56"/>
      <c r="AF53" s="56"/>
      <c r="AG53" s="104"/>
      <c r="AH53" s="56"/>
      <c r="AI53" s="56"/>
      <c r="AJ53" s="56"/>
      <c r="AK53" s="85"/>
      <c r="AL53" s="56"/>
      <c r="AM53" s="56"/>
      <c r="AN53" s="88">
        <v>0</v>
      </c>
      <c r="AO53" s="106">
        <v>0</v>
      </c>
      <c r="AP53" s="106">
        <v>0</v>
      </c>
      <c r="AQ53" s="56"/>
      <c r="AR53" s="56">
        <v>0</v>
      </c>
      <c r="AS53" s="56"/>
      <c r="AT53" s="56">
        <v>0</v>
      </c>
      <c r="AU53" s="56"/>
      <c r="AV53" s="56">
        <f t="shared" si="3"/>
        <v>0</v>
      </c>
      <c r="AW53" s="56"/>
      <c r="AX53" s="56">
        <v>0</v>
      </c>
      <c r="AY53" s="56"/>
      <c r="AZ53" s="106">
        <v>4000</v>
      </c>
      <c r="BA53" s="56">
        <v>4000</v>
      </c>
      <c r="BB53" s="214"/>
      <c r="BC53" s="56"/>
      <c r="BD53" s="84">
        <f t="shared" si="4"/>
        <v>0</v>
      </c>
      <c r="BE53" s="56"/>
      <c r="BF53" s="56"/>
      <c r="BG53" s="56"/>
      <c r="BH53" s="72"/>
    </row>
    <row r="54" spans="1:62" ht="20.100000000000001" customHeight="1" outlineLevel="1">
      <c r="A54" s="77" t="s">
        <v>43</v>
      </c>
      <c r="B54" s="77" t="s">
        <v>225</v>
      </c>
      <c r="C54" s="77" t="s">
        <v>1091</v>
      </c>
      <c r="D54" s="78" t="s">
        <v>46</v>
      </c>
      <c r="E54" s="78" t="str">
        <f t="shared" si="0"/>
        <v>000</v>
      </c>
      <c r="F54" s="3">
        <v>615013</v>
      </c>
      <c r="G54" s="102" t="s">
        <v>1048</v>
      </c>
      <c r="H54" s="158">
        <v>3</v>
      </c>
      <c r="I54" s="13">
        <v>0</v>
      </c>
      <c r="J54" s="13">
        <v>0</v>
      </c>
      <c r="L54" s="56">
        <v>0</v>
      </c>
      <c r="M54" s="56"/>
      <c r="N54" s="56"/>
      <c r="O54" s="56"/>
      <c r="P54" s="56"/>
      <c r="Q54" s="56"/>
      <c r="R54" s="56"/>
      <c r="S54" s="56"/>
      <c r="T54" s="56"/>
      <c r="U54" s="56"/>
      <c r="V54" s="56"/>
      <c r="W54" s="56"/>
      <c r="X54" s="56">
        <v>0</v>
      </c>
      <c r="Y54" s="56"/>
      <c r="Z54" s="56"/>
      <c r="AA54" s="56"/>
      <c r="AB54" s="56"/>
      <c r="AC54" s="56"/>
      <c r="AD54" s="56"/>
      <c r="AE54" s="56"/>
      <c r="AF54" s="56"/>
      <c r="AG54" s="104"/>
      <c r="AH54" s="56"/>
      <c r="AI54" s="56"/>
      <c r="AJ54" s="56"/>
      <c r="AK54" s="85"/>
      <c r="AL54" s="56"/>
      <c r="AM54" s="56"/>
      <c r="AN54" s="88">
        <v>0</v>
      </c>
      <c r="AO54" s="163">
        <v>0</v>
      </c>
      <c r="AP54" s="164">
        <v>0</v>
      </c>
      <c r="AQ54" s="56"/>
      <c r="AR54" s="56">
        <v>0</v>
      </c>
      <c r="AS54" s="56"/>
      <c r="AT54" s="56">
        <v>0</v>
      </c>
      <c r="AU54" s="56"/>
      <c r="AV54" s="56">
        <f t="shared" si="3"/>
        <v>0</v>
      </c>
      <c r="AW54" s="56"/>
      <c r="AX54" s="56">
        <v>0</v>
      </c>
      <c r="AY54" s="56"/>
      <c r="AZ54" s="164">
        <v>3600</v>
      </c>
      <c r="BA54" s="56">
        <v>3600</v>
      </c>
      <c r="BB54" s="214"/>
      <c r="BC54" s="56"/>
      <c r="BD54" s="84">
        <f t="shared" si="4"/>
        <v>0</v>
      </c>
      <c r="BE54" s="56"/>
      <c r="BF54" s="56"/>
      <c r="BG54" s="56"/>
      <c r="BH54" s="72"/>
    </row>
    <row r="55" spans="1:62" ht="20.100000000000001" customHeight="1" outlineLevel="1">
      <c r="A55" s="77" t="s">
        <v>43</v>
      </c>
      <c r="B55" s="77" t="s">
        <v>137</v>
      </c>
      <c r="C55" s="77" t="s">
        <v>1091</v>
      </c>
      <c r="D55" s="78" t="s">
        <v>46</v>
      </c>
      <c r="E55" s="78" t="str">
        <f t="shared" si="0"/>
        <v>000</v>
      </c>
      <c r="F55" s="3">
        <v>653011</v>
      </c>
      <c r="G55" s="102" t="s">
        <v>660</v>
      </c>
      <c r="H55" s="158">
        <v>1</v>
      </c>
      <c r="I55" s="13">
        <v>2664</v>
      </c>
      <c r="J55" s="13">
        <v>2036</v>
      </c>
      <c r="L55" s="56">
        <v>1885</v>
      </c>
      <c r="M55" s="56"/>
      <c r="N55" s="56">
        <v>3000</v>
      </c>
      <c r="O55" s="56"/>
      <c r="P55" s="56">
        <v>3000</v>
      </c>
      <c r="Q55" s="56"/>
      <c r="R55" s="56">
        <v>3000</v>
      </c>
      <c r="S55" s="56"/>
      <c r="T55" s="56">
        <v>0</v>
      </c>
      <c r="U55" s="56"/>
      <c r="V55" s="56">
        <v>3000</v>
      </c>
      <c r="W55" s="56"/>
      <c r="X55" s="56">
        <v>2250.7600000000002</v>
      </c>
      <c r="Y55" s="56"/>
      <c r="Z55" s="56">
        <v>3000</v>
      </c>
      <c r="AA55" s="56"/>
      <c r="AB55" s="56">
        <v>0</v>
      </c>
      <c r="AC55" s="56"/>
      <c r="AD55" s="56"/>
      <c r="AE55" s="56"/>
      <c r="AF55" s="56">
        <f>SUM(Z55:AE55)</f>
        <v>3000</v>
      </c>
      <c r="AG55" s="56">
        <v>0</v>
      </c>
      <c r="AH55" s="56">
        <v>0</v>
      </c>
      <c r="AI55" s="56"/>
      <c r="AJ55" s="56">
        <f>SUM(AE55:AI55)</f>
        <v>3000</v>
      </c>
      <c r="AK55" s="85"/>
      <c r="AL55" s="56">
        <v>0</v>
      </c>
      <c r="AM55" s="56"/>
      <c r="AN55" s="88">
        <f>142.81+1197.43</f>
        <v>1340.24</v>
      </c>
      <c r="AO55" s="88">
        <v>0</v>
      </c>
      <c r="AP55" s="88">
        <v>834.35</v>
      </c>
      <c r="AQ55" s="56"/>
      <c r="AR55" s="56">
        <v>0</v>
      </c>
      <c r="AS55" s="56"/>
      <c r="AT55" s="56">
        <v>0</v>
      </c>
      <c r="AU55" s="56"/>
      <c r="AV55" s="56">
        <f t="shared" si="3"/>
        <v>834.35</v>
      </c>
      <c r="AW55" s="56"/>
      <c r="AX55" s="56">
        <v>0</v>
      </c>
      <c r="AY55" s="56"/>
      <c r="AZ55" s="88">
        <v>300</v>
      </c>
      <c r="BA55" s="56">
        <v>300</v>
      </c>
      <c r="BB55" s="214"/>
      <c r="BC55" s="56"/>
      <c r="BD55" s="84">
        <f t="shared" si="4"/>
        <v>-505.89</v>
      </c>
      <c r="BE55" s="56"/>
      <c r="BF55" s="56"/>
      <c r="BG55" s="56"/>
      <c r="BH55" s="72"/>
    </row>
    <row r="56" spans="1:62" ht="20.100000000000001" customHeight="1">
      <c r="B56" s="77"/>
      <c r="C56" s="77"/>
      <c r="D56" s="90"/>
      <c r="E56" s="90"/>
      <c r="F56" s="3"/>
      <c r="G56" s="110" t="s">
        <v>661</v>
      </c>
      <c r="H56" s="87"/>
      <c r="I56" s="92">
        <v>2091034</v>
      </c>
      <c r="J56" s="93">
        <v>1997289</v>
      </c>
      <c r="L56" s="125">
        <v>2289942</v>
      </c>
      <c r="M56" s="126"/>
      <c r="N56" s="125">
        <v>2579307</v>
      </c>
      <c r="O56" s="126"/>
      <c r="P56" s="125">
        <v>2593410</v>
      </c>
      <c r="Q56" s="126"/>
      <c r="R56" s="125">
        <v>2588352</v>
      </c>
      <c r="S56" s="95"/>
      <c r="T56" s="94">
        <v>0</v>
      </c>
      <c r="U56" s="126"/>
      <c r="V56" s="125">
        <v>2588352</v>
      </c>
      <c r="W56" s="126"/>
      <c r="X56" s="125">
        <f>SUBTOTAL(9,X11:X54)</f>
        <v>2522785.1099999994</v>
      </c>
      <c r="Y56" s="126"/>
      <c r="Z56" s="125">
        <f>SUBTOTAL(9,Z11:Z54)</f>
        <v>2549002</v>
      </c>
      <c r="AA56" s="126"/>
      <c r="AB56" s="125">
        <f>SUBTOTAL(9,AB11:AB54)</f>
        <v>0</v>
      </c>
      <c r="AC56" s="126"/>
      <c r="AD56" s="125">
        <f>SUBTOTAL(9,AD11:AD54)</f>
        <v>2810</v>
      </c>
      <c r="AE56" s="126"/>
      <c r="AF56" s="125">
        <f>SUBTOTAL(9,AF11:AF54)</f>
        <v>2551812</v>
      </c>
      <c r="AG56" s="125">
        <f>SUBTOTAL(9,AG11:AG54)</f>
        <v>17650</v>
      </c>
      <c r="AH56" s="125">
        <f>SUBTOTAL(9,AH11:AH54)</f>
        <v>61000</v>
      </c>
      <c r="AI56" s="126"/>
      <c r="AJ56" s="125">
        <f>SUBTOTAL(9,AJ11:AJ54)</f>
        <v>2630462</v>
      </c>
      <c r="AK56" s="96"/>
      <c r="AL56" s="125">
        <f>SUBTOTAL(9,AL11:AL54)</f>
        <v>0</v>
      </c>
      <c r="AM56" s="126"/>
      <c r="AN56" s="127">
        <f>SUBTOTAL(9,AN11:AN55)</f>
        <v>2659298.4800000004</v>
      </c>
      <c r="AO56" s="127">
        <f>SUBTOTAL(9,AO11:AO54)</f>
        <v>0</v>
      </c>
      <c r="AP56" s="127">
        <f>SUBTOTAL(9,AP11:AP55)</f>
        <v>2992301.0900000008</v>
      </c>
      <c r="AQ56" s="126"/>
      <c r="AR56" s="127">
        <f>SUBTOTAL(9,AR11:AR55)</f>
        <v>0</v>
      </c>
      <c r="AS56" s="126"/>
      <c r="AT56" s="127">
        <f>SUBTOTAL(9,AT11:AT55)</f>
        <v>1104.8</v>
      </c>
      <c r="AU56" s="126"/>
      <c r="AV56" s="127">
        <f>SUBTOTAL(9,AV11:AV55)</f>
        <v>2905311.3200000003</v>
      </c>
      <c r="AW56" s="126"/>
      <c r="AX56" s="125">
        <f>SUBTOTAL(9,AX11:AX54)</f>
        <v>291831</v>
      </c>
      <c r="AY56" s="126"/>
      <c r="AZ56" s="127">
        <f>SUBTOTAL(9,AZ11:AZ55)</f>
        <v>3326715</v>
      </c>
      <c r="BA56" s="127">
        <f>SUBTOTAL(9,BA11:BA55)</f>
        <v>3294859</v>
      </c>
      <c r="BB56" s="214"/>
      <c r="BC56" s="56"/>
      <c r="BD56" s="98">
        <f t="shared" si="4"/>
        <v>333002.61000000034</v>
      </c>
      <c r="BE56" s="126"/>
      <c r="BF56" s="126"/>
      <c r="BG56" s="126"/>
    </row>
    <row r="85" spans="18:63">
      <c r="R85" s="7">
        <v>420044982</v>
      </c>
      <c r="BI85" s="211"/>
      <c r="BJ85" s="7"/>
      <c r="BK85" s="7"/>
    </row>
    <row r="86" spans="18:63">
      <c r="BI86" s="211"/>
      <c r="BJ86" s="7"/>
    </row>
  </sheetData>
  <autoFilter ref="A9:BH56"/>
  <mergeCells count="8">
    <mergeCell ref="A8:E8"/>
    <mergeCell ref="AG2:AH2"/>
    <mergeCell ref="AG3:AH3"/>
    <mergeCell ref="AG4:AH4"/>
    <mergeCell ref="AB4:AD4"/>
    <mergeCell ref="A6:F6"/>
    <mergeCell ref="A7:F7"/>
    <mergeCell ref="AB5:AD5"/>
  </mergeCells>
  <phoneticPr fontId="3" type="noConversion"/>
  <conditionalFormatting sqref="F1:F1048576">
    <cfRule type="cellIs" dxfId="25" priority="1" stopIfTrue="1" operator="between">
      <formula>610000</formula>
      <formula>619999</formula>
    </cfRule>
  </conditionalFormatting>
  <pageMargins left="0.54" right="0.25" top="0.24" bottom="0.49" header="0.25" footer="0"/>
  <pageSetup scale="76" fitToHeight="0" orientation="landscape" r:id="rId1"/>
  <headerFooter alignWithMargins="0">
    <oddFooter>&amp;C&amp;8Detail of Expenditures Budget By Department, Page &amp;P of &amp;N</oddFooter>
  </headerFooter>
  <legacyDrawing r:id="rId2"/>
</worksheet>
</file>

<file path=xl/worksheets/sheet13.xml><?xml version="1.0" encoding="utf-8"?>
<worksheet xmlns="http://schemas.openxmlformats.org/spreadsheetml/2006/main" xmlns:r="http://schemas.openxmlformats.org/officeDocument/2006/relationships">
  <sheetPr codeName="Sheet18" enableFormatConditionsCalculation="0">
    <tabColor indexed="17"/>
    <pageSetUpPr fitToPage="1"/>
  </sheetPr>
  <dimension ref="A1:IV34"/>
  <sheetViews>
    <sheetView zoomScale="85" zoomScaleNormal="90" workbookViewId="0">
      <pane xSplit="8" ySplit="8" topLeftCell="X9" activePane="bottomRight" state="frozen"/>
      <selection activeCell="A28" sqref="A28"/>
      <selection pane="topRight" activeCell="A28" sqref="A28"/>
      <selection pane="bottomLeft" activeCell="A28" sqref="A28"/>
      <selection pane="bottomRight"/>
    </sheetView>
  </sheetViews>
  <sheetFormatPr defaultRowHeight="12.75" outlineLevelRow="1" outlineLevelCol="1"/>
  <cols>
    <col min="1" max="1" width="7" style="39" customWidth="1" outlineLevel="1"/>
    <col min="2" max="2" width="6.140625" style="39" customWidth="1" outlineLevel="1"/>
    <col min="3" max="3" width="3.7109375" style="39" customWidth="1" outlineLevel="1"/>
    <col min="4" max="5" width="4.85546875" style="168" customWidth="1" outlineLevel="1"/>
    <col min="6" max="6" width="8.7109375" style="40" customWidth="1" outlineLevel="1"/>
    <col min="7" max="7" width="28.5703125" style="4" customWidth="1"/>
    <col min="8" max="8" width="16.5703125" style="4" hidden="1" customWidth="1"/>
    <col min="9" max="10" width="15.140625" style="4" hidden="1" customWidth="1" collapsed="1"/>
    <col min="11" max="11" width="39.5703125" style="4" hidden="1" customWidth="1"/>
    <col min="12" max="12" width="15.140625" style="7" bestFit="1" customWidth="1" collapsed="1"/>
    <col min="13" max="13" width="31.7109375" style="7" hidden="1" customWidth="1"/>
    <col min="14" max="14" width="35.5703125" style="7" hidden="1" customWidth="1" collapsed="1"/>
    <col min="15" max="15" width="0.140625" style="7" customWidth="1"/>
    <col min="16" max="16" width="25.28515625" style="7" hidden="1" customWidth="1" outlineLevel="1" collapsed="1"/>
    <col min="17" max="17" width="23.42578125" style="7" hidden="1" customWidth="1" outlineLevel="1"/>
    <col min="18" max="18" width="20.5703125" style="7" hidden="1" customWidth="1" outlineLevel="1" collapsed="1"/>
    <col min="19" max="19" width="18" style="7" hidden="1" customWidth="1" outlineLevel="1"/>
    <col min="20" max="20" width="19.5703125" style="7" hidden="1" customWidth="1" outlineLevel="1"/>
    <col min="21" max="21" width="18.42578125" style="7" hidden="1" customWidth="1" outlineLevel="1"/>
    <col min="22" max="22" width="13.140625" style="7" hidden="1" customWidth="1"/>
    <col min="23" max="23" width="14.140625" style="7" hidden="1" customWidth="1"/>
    <col min="24" max="24" width="14.5703125" style="7" customWidth="1" collapsed="1"/>
    <col min="25" max="25" width="0.85546875" style="7" hidden="1" customWidth="1"/>
    <col min="26" max="26" width="16.140625" style="7" hidden="1" customWidth="1"/>
    <col min="27" max="27" width="0.140625" style="7" hidden="1" customWidth="1"/>
    <col min="28" max="28" width="16.140625" style="7" hidden="1" customWidth="1" outlineLevel="1"/>
    <col min="29" max="29" width="0.42578125" style="7" hidden="1" customWidth="1" outlineLevel="1"/>
    <col min="30" max="30" width="17.85546875" style="7" hidden="1" customWidth="1" outlineLevel="1"/>
    <col min="31" max="31" width="0.42578125" style="7" hidden="1" customWidth="1" outlineLevel="1"/>
    <col min="32" max="32" width="16.140625" style="7" hidden="1" customWidth="1" collapsed="1"/>
    <col min="33" max="33" width="16" style="7" hidden="1" customWidth="1" outlineLevel="1"/>
    <col min="34" max="34" width="17" style="7" hidden="1" customWidth="1" outlineLevel="1"/>
    <col min="35" max="35" width="10.5703125" style="7" hidden="1" customWidth="1" outlineLevel="1"/>
    <col min="36" max="36" width="16.140625" style="7" hidden="1" customWidth="1" collapsed="1"/>
    <col min="37" max="37" width="0.7109375" style="7" hidden="1" customWidth="1"/>
    <col min="38" max="38" width="16.140625" style="7" hidden="1" customWidth="1" outlineLevel="1"/>
    <col min="39" max="39" width="4.140625" style="7" hidden="1" customWidth="1" outlineLevel="1"/>
    <col min="40" max="40" width="16.140625" style="17" customWidth="1" collapsed="1"/>
    <col min="41" max="41" width="16.140625" style="17" hidden="1" customWidth="1" collapsed="1"/>
    <col min="42" max="42" width="16.140625" style="17" customWidth="1" collapsed="1"/>
    <col min="43" max="43" width="0.7109375" style="7" hidden="1" customWidth="1" outlineLevel="1"/>
    <col min="44" max="44" width="22.140625" style="7" hidden="1" customWidth="1" outlineLevel="1"/>
    <col min="45" max="45" width="0.42578125" style="7" hidden="1" customWidth="1" outlineLevel="1"/>
    <col min="46" max="46" width="17.85546875" style="7" hidden="1" customWidth="1" outlineLevel="1"/>
    <col min="47" max="47" width="0.42578125" style="7" hidden="1" customWidth="1" outlineLevel="1"/>
    <col min="48" max="48" width="18" style="7" hidden="1" customWidth="1" collapsed="1"/>
    <col min="49" max="49" width="0.5703125" style="7" hidden="1" customWidth="1"/>
    <col min="50" max="50" width="18" style="7" hidden="1" customWidth="1"/>
    <col min="51" max="51" width="0.5703125" style="7" customWidth="1"/>
    <col min="52" max="52" width="15.140625" style="7" customWidth="1"/>
    <col min="53" max="53" width="15.7109375" style="7" bestFit="1" customWidth="1"/>
    <col min="54" max="54" width="15.140625" style="7" customWidth="1"/>
    <col min="55" max="55" width="23.140625" style="7" customWidth="1"/>
    <col min="56" max="56" width="19.85546875" style="7" bestFit="1" customWidth="1"/>
    <col min="57" max="59" width="12.42578125" style="7" customWidth="1"/>
    <col min="60" max="60" width="3.85546875" style="76" customWidth="1"/>
    <col min="61" max="61" width="14.5703125" style="12" bestFit="1" customWidth="1"/>
  </cols>
  <sheetData>
    <row r="1" spans="1:62" ht="15">
      <c r="A1" s="1" t="s">
        <v>0</v>
      </c>
      <c r="B1" s="2"/>
      <c r="C1" s="2"/>
      <c r="D1" s="1"/>
      <c r="E1" s="1"/>
      <c r="F1" s="3"/>
      <c r="H1" s="5"/>
      <c r="I1" s="6"/>
      <c r="T1" s="8"/>
      <c r="Z1" s="9"/>
      <c r="AB1" s="9"/>
      <c r="AD1" s="9"/>
      <c r="AF1" s="9"/>
      <c r="AH1" s="10" t="e">
        <f>+#REF!</f>
        <v>#REF!</v>
      </c>
      <c r="AJ1" s="9"/>
      <c r="AK1" s="9"/>
      <c r="AN1" s="9"/>
      <c r="AO1" s="9"/>
      <c r="AP1" s="9"/>
      <c r="AR1" s="9"/>
      <c r="AT1" s="9"/>
      <c r="AV1" s="9"/>
      <c r="AW1" s="9"/>
      <c r="AX1" s="9"/>
      <c r="AY1" s="9"/>
      <c r="AZ1" s="9"/>
      <c r="BA1" s="9"/>
      <c r="BB1" s="9"/>
      <c r="BC1" s="9"/>
      <c r="BD1" s="9"/>
      <c r="BE1" s="9"/>
      <c r="BF1" s="9"/>
      <c r="BG1" s="9"/>
      <c r="BH1" s="11"/>
    </row>
    <row r="2" spans="1:62" ht="15">
      <c r="A2" s="1" t="s">
        <v>1053</v>
      </c>
      <c r="B2" s="2"/>
      <c r="C2" s="2"/>
      <c r="D2" s="1"/>
      <c r="E2" s="1"/>
      <c r="F2" s="3"/>
      <c r="H2" s="5"/>
      <c r="I2" s="13"/>
      <c r="J2" s="14"/>
      <c r="K2" s="14"/>
      <c r="L2" s="15"/>
      <c r="M2" s="15"/>
      <c r="N2" s="15"/>
      <c r="O2" s="15"/>
      <c r="P2" s="15"/>
      <c r="R2" s="15"/>
      <c r="T2" s="8"/>
      <c r="V2" s="15"/>
      <c r="X2" s="15"/>
      <c r="Z2" s="15"/>
      <c r="AB2" s="15"/>
      <c r="AD2" s="15"/>
      <c r="AF2" s="15"/>
      <c r="AG2" s="238" t="s">
        <v>1</v>
      </c>
      <c r="AH2" s="238"/>
      <c r="AI2" s="17"/>
      <c r="AJ2" s="18"/>
      <c r="AK2" s="15"/>
      <c r="AL2" s="10" t="e">
        <f>+#REF!</f>
        <v>#REF!</v>
      </c>
      <c r="AN2" s="18"/>
      <c r="AO2" s="18"/>
      <c r="AP2" s="18"/>
      <c r="AR2" s="15"/>
      <c r="AT2" s="15"/>
      <c r="AV2" s="15"/>
      <c r="AW2" s="15"/>
      <c r="AX2" s="15"/>
      <c r="AY2" s="15"/>
      <c r="AZ2" s="15"/>
      <c r="BA2" s="15"/>
      <c r="BB2" s="15"/>
      <c r="BC2" s="15"/>
      <c r="BD2" s="15"/>
      <c r="BE2" s="15"/>
      <c r="BF2" s="15"/>
      <c r="BG2" s="15"/>
      <c r="BH2" s="19"/>
    </row>
    <row r="3" spans="1:62">
      <c r="A3" s="20" t="str">
        <f>IF(G7=1,"DETAIL OF EXPENDITURES BUDGET BY DEPARTMENT WITH COMPARATIVE AMOUNTS", "SUMMARY OF EXPENDITURES BUDGET BY DEPARTMENT WITH COMPARATIVE AMOUNTS")</f>
        <v>DETAIL OF EXPENDITURES BUDGET BY DEPARTMENT WITH COMPARATIVE AMOUNTS</v>
      </c>
      <c r="B3" s="21"/>
      <c r="C3" s="21"/>
      <c r="D3" s="22"/>
      <c r="E3" s="22"/>
      <c r="F3" s="3"/>
      <c r="H3" s="5"/>
      <c r="I3" s="23"/>
      <c r="J3" s="15"/>
      <c r="L3" s="15"/>
      <c r="M3" s="10"/>
      <c r="N3" s="10"/>
      <c r="O3" s="10"/>
      <c r="P3" s="24"/>
      <c r="R3" s="24"/>
      <c r="V3" s="24"/>
      <c r="W3" s="24"/>
      <c r="X3" s="15"/>
      <c r="Y3" s="24"/>
      <c r="AA3" s="24"/>
      <c r="AB3" s="24" t="e">
        <f>+#REF!</f>
        <v>#REF!</v>
      </c>
      <c r="AC3" s="24"/>
      <c r="AD3" s="24" t="e">
        <f>+#REF!</f>
        <v>#REF!</v>
      </c>
      <c r="AE3" s="24"/>
      <c r="AF3" s="10" t="e">
        <f>+#REF!</f>
        <v>#REF!</v>
      </c>
      <c r="AG3" s="239" t="s">
        <v>2</v>
      </c>
      <c r="AH3" s="239"/>
      <c r="AI3" s="25"/>
      <c r="AJ3" s="25" t="e">
        <f>+#REF!</f>
        <v>#REF!</v>
      </c>
      <c r="AK3" s="24"/>
      <c r="AL3" s="16" t="s">
        <v>1</v>
      </c>
      <c r="AM3" s="25"/>
      <c r="AN3" s="25"/>
      <c r="AO3" s="25"/>
      <c r="AP3" s="25"/>
      <c r="AQ3" s="24"/>
      <c r="AR3" s="24" t="e">
        <f>+#REF!</f>
        <v>#REF!</v>
      </c>
      <c r="AS3" s="24"/>
      <c r="AT3" s="24" t="e">
        <f>+#REF!</f>
        <v>#REF!</v>
      </c>
      <c r="AU3" s="24"/>
      <c r="AV3" s="24" t="e">
        <f>+#REF!</f>
        <v>#REF!</v>
      </c>
      <c r="AW3" s="24"/>
      <c r="AX3" s="24" t="e">
        <f>+#REF!</f>
        <v>#REF!</v>
      </c>
      <c r="AY3" s="24"/>
      <c r="AZ3" s="24"/>
      <c r="BA3" s="24"/>
      <c r="BB3" s="24"/>
      <c r="BC3" s="24"/>
      <c r="BD3" s="26"/>
      <c r="BE3" s="26"/>
      <c r="BF3" s="26"/>
      <c r="BG3" s="26"/>
      <c r="BH3" s="27"/>
    </row>
    <row r="4" spans="1:62" ht="15">
      <c r="A4" s="28" t="s">
        <v>1070</v>
      </c>
      <c r="B4" s="29"/>
      <c r="C4" s="29"/>
      <c r="D4" s="28"/>
      <c r="E4" s="28"/>
      <c r="F4" s="3"/>
      <c r="H4" s="30"/>
      <c r="I4" s="31"/>
      <c r="J4" s="31"/>
      <c r="L4" s="31"/>
      <c r="M4" s="32"/>
      <c r="N4" s="33"/>
      <c r="O4" s="32"/>
      <c r="P4" s="33"/>
      <c r="R4" s="33"/>
      <c r="T4" s="33"/>
      <c r="X4" s="31"/>
      <c r="Z4" s="10"/>
      <c r="AB4" s="241"/>
      <c r="AC4" s="241"/>
      <c r="AD4" s="241"/>
      <c r="AE4" s="35"/>
      <c r="AF4" s="34"/>
      <c r="AG4" s="240"/>
      <c r="AH4" s="240"/>
      <c r="AI4" s="17"/>
      <c r="AJ4" s="16"/>
      <c r="AK4" s="24"/>
      <c r="AL4" s="16"/>
      <c r="AM4" s="17"/>
      <c r="AN4" s="31"/>
      <c r="AO4" s="31"/>
      <c r="AP4" s="31"/>
      <c r="AR4" s="34" t="s">
        <v>5</v>
      </c>
      <c r="AU4" s="35"/>
      <c r="AV4" s="34"/>
      <c r="AW4" s="34"/>
      <c r="AX4" s="34" t="s">
        <v>5</v>
      </c>
      <c r="AY4" s="34"/>
      <c r="AZ4" s="34"/>
      <c r="BA4" s="34"/>
      <c r="BB4" s="34"/>
      <c r="BC4" s="34"/>
      <c r="BD4" s="37"/>
      <c r="BE4" s="37"/>
      <c r="BF4" s="37"/>
      <c r="BG4" s="37"/>
      <c r="BH4" s="38"/>
    </row>
    <row r="5" spans="1:62" ht="15">
      <c r="B5" s="29"/>
      <c r="C5" s="29"/>
      <c r="D5" s="28"/>
      <c r="E5" s="28"/>
      <c r="G5" s="28"/>
      <c r="H5" s="5"/>
      <c r="I5" s="41" t="s">
        <v>6</v>
      </c>
      <c r="J5" s="42" t="s">
        <v>7</v>
      </c>
      <c r="L5" s="16" t="s">
        <v>8</v>
      </c>
      <c r="M5" s="16"/>
      <c r="N5" s="16" t="s">
        <v>9</v>
      </c>
      <c r="O5" s="16"/>
      <c r="P5" s="16" t="s">
        <v>9</v>
      </c>
      <c r="Q5" s="17"/>
      <c r="R5" s="43"/>
      <c r="S5" s="17"/>
      <c r="T5" s="16"/>
      <c r="U5" s="17"/>
      <c r="V5" s="16" t="s">
        <v>9</v>
      </c>
      <c r="X5" s="16" t="s">
        <v>9</v>
      </c>
      <c r="Z5" s="34" t="s">
        <v>1</v>
      </c>
      <c r="AB5" s="243" t="s">
        <v>10</v>
      </c>
      <c r="AC5" s="243"/>
      <c r="AD5" s="243"/>
      <c r="AE5" s="35"/>
      <c r="AF5" s="34" t="s">
        <v>1</v>
      </c>
      <c r="AG5" s="17"/>
      <c r="AH5" s="16" t="s">
        <v>11</v>
      </c>
      <c r="AI5" s="17"/>
      <c r="AJ5" s="16" t="s">
        <v>1</v>
      </c>
      <c r="AK5" s="24"/>
      <c r="AL5" s="43" t="s">
        <v>12</v>
      </c>
      <c r="AM5" s="17"/>
      <c r="AN5" s="16" t="s">
        <v>1</v>
      </c>
      <c r="AO5" s="45" t="s">
        <v>1</v>
      </c>
      <c r="AP5" s="46" t="s">
        <v>5</v>
      </c>
      <c r="AQ5" s="47"/>
      <c r="AR5" s="48" t="s">
        <v>10</v>
      </c>
      <c r="AS5" s="47"/>
      <c r="AT5" s="47"/>
      <c r="AU5" s="47"/>
      <c r="AV5" s="46" t="s">
        <v>5</v>
      </c>
      <c r="AW5" s="34"/>
      <c r="AX5" s="49" t="s">
        <v>3</v>
      </c>
      <c r="AY5" s="34"/>
      <c r="AZ5" s="34" t="s">
        <v>1054</v>
      </c>
      <c r="BA5" s="34" t="s">
        <v>1054</v>
      </c>
      <c r="BB5" s="34" t="s">
        <v>1069</v>
      </c>
      <c r="BC5" s="34"/>
      <c r="BD5" s="50" t="s">
        <v>13</v>
      </c>
      <c r="BE5" s="37"/>
      <c r="BF5" s="37"/>
      <c r="BG5" s="37"/>
      <c r="BH5" s="51"/>
    </row>
    <row r="6" spans="1:62">
      <c r="A6" s="242"/>
      <c r="B6" s="242"/>
      <c r="C6" s="242"/>
      <c r="D6" s="242"/>
      <c r="E6" s="242"/>
      <c r="F6" s="242"/>
      <c r="G6" s="22"/>
      <c r="H6" s="5"/>
      <c r="I6" s="52" t="s">
        <v>14</v>
      </c>
      <c r="J6" s="52" t="s">
        <v>14</v>
      </c>
      <c r="L6" s="43" t="s">
        <v>14</v>
      </c>
      <c r="M6" s="43"/>
      <c r="N6" s="43" t="s">
        <v>15</v>
      </c>
      <c r="O6" s="43"/>
      <c r="P6" s="43" t="s">
        <v>4</v>
      </c>
      <c r="Q6" s="17"/>
      <c r="R6" s="43" t="s">
        <v>4</v>
      </c>
      <c r="S6" s="43"/>
      <c r="T6" s="43" t="s">
        <v>16</v>
      </c>
      <c r="U6" s="43"/>
      <c r="V6" s="43" t="s">
        <v>4</v>
      </c>
      <c r="W6" s="43"/>
      <c r="X6" s="43" t="s">
        <v>14</v>
      </c>
      <c r="Y6" s="43"/>
      <c r="Z6" s="34" t="s">
        <v>17</v>
      </c>
      <c r="AA6" s="43"/>
      <c r="AB6" s="53" t="s">
        <v>16</v>
      </c>
      <c r="AC6" s="53"/>
      <c r="AD6" s="34"/>
      <c r="AE6" s="53"/>
      <c r="AF6" s="34" t="s">
        <v>17</v>
      </c>
      <c r="AG6" s="43" t="s">
        <v>16</v>
      </c>
      <c r="AH6" s="16" t="s">
        <v>18</v>
      </c>
      <c r="AI6" s="43"/>
      <c r="AJ6" s="16" t="s">
        <v>19</v>
      </c>
      <c r="AK6" s="24"/>
      <c r="AL6" s="43" t="s">
        <v>16</v>
      </c>
      <c r="AM6" s="43"/>
      <c r="AN6" s="43" t="s">
        <v>14</v>
      </c>
      <c r="AO6" s="45" t="s">
        <v>20</v>
      </c>
      <c r="AP6" s="43" t="s">
        <v>14</v>
      </c>
      <c r="AQ6" s="54"/>
      <c r="AR6" s="54" t="s">
        <v>16</v>
      </c>
      <c r="AS6" s="54"/>
      <c r="AT6" s="46"/>
      <c r="AU6" s="54"/>
      <c r="AV6" s="46" t="s">
        <v>19</v>
      </c>
      <c r="AW6" s="34"/>
      <c r="AX6" s="55" t="s">
        <v>16</v>
      </c>
      <c r="AY6" s="34"/>
      <c r="AZ6" s="34" t="s">
        <v>17</v>
      </c>
      <c r="BA6" s="34" t="s">
        <v>17</v>
      </c>
      <c r="BB6" s="34" t="s">
        <v>19</v>
      </c>
      <c r="BC6" s="56"/>
      <c r="BD6" s="50" t="s">
        <v>21</v>
      </c>
      <c r="BE6" s="37"/>
      <c r="BF6" s="37"/>
      <c r="BG6" s="37"/>
      <c r="BH6" s="57"/>
    </row>
    <row r="7" spans="1:62" ht="15">
      <c r="A7" s="237"/>
      <c r="B7" s="237"/>
      <c r="C7" s="237"/>
      <c r="D7" s="237"/>
      <c r="E7" s="237"/>
      <c r="F7" s="237"/>
      <c r="G7" s="59">
        <v>1</v>
      </c>
      <c r="H7" s="60"/>
      <c r="I7" s="52" t="s">
        <v>22</v>
      </c>
      <c r="J7" s="52" t="s">
        <v>22</v>
      </c>
      <c r="L7" s="43" t="s">
        <v>22</v>
      </c>
      <c r="M7" s="43"/>
      <c r="N7" s="43" t="s">
        <v>23</v>
      </c>
      <c r="O7" s="43"/>
      <c r="P7" s="43" t="s">
        <v>24</v>
      </c>
      <c r="Q7" s="43"/>
      <c r="R7" s="43" t="s">
        <v>24</v>
      </c>
      <c r="S7" s="43"/>
      <c r="T7" s="43" t="s">
        <v>25</v>
      </c>
      <c r="U7" s="43"/>
      <c r="V7" s="43" t="s">
        <v>24</v>
      </c>
      <c r="W7" s="43"/>
      <c r="X7" s="43" t="s">
        <v>22</v>
      </c>
      <c r="Y7" s="43"/>
      <c r="Z7" s="53" t="s">
        <v>15</v>
      </c>
      <c r="AA7" s="43"/>
      <c r="AB7" s="53" t="s">
        <v>26</v>
      </c>
      <c r="AC7" s="53"/>
      <c r="AD7" s="53"/>
      <c r="AE7" s="53"/>
      <c r="AF7" s="53" t="s">
        <v>4</v>
      </c>
      <c r="AG7" s="43" t="s">
        <v>26</v>
      </c>
      <c r="AH7" s="43" t="s">
        <v>27</v>
      </c>
      <c r="AI7" s="43"/>
      <c r="AJ7" s="43" t="s">
        <v>4</v>
      </c>
      <c r="AK7" s="24"/>
      <c r="AL7" s="43" t="s">
        <v>26</v>
      </c>
      <c r="AM7" s="43"/>
      <c r="AN7" s="43" t="s">
        <v>22</v>
      </c>
      <c r="AO7" s="61" t="s">
        <v>22</v>
      </c>
      <c r="AP7" s="43" t="s">
        <v>22</v>
      </c>
      <c r="AQ7" s="54"/>
      <c r="AR7" s="54" t="s">
        <v>26</v>
      </c>
      <c r="AS7" s="54"/>
      <c r="AT7" s="54"/>
      <c r="AU7" s="54"/>
      <c r="AV7" s="54" t="s">
        <v>4</v>
      </c>
      <c r="AW7" s="53"/>
      <c r="AX7" s="55" t="s">
        <v>26</v>
      </c>
      <c r="AY7" s="53"/>
      <c r="AZ7" s="34" t="s">
        <v>15</v>
      </c>
      <c r="BA7" s="53" t="s">
        <v>4</v>
      </c>
      <c r="BB7" s="34" t="s">
        <v>15</v>
      </c>
      <c r="BC7" s="56"/>
      <c r="BD7" s="50" t="s">
        <v>28</v>
      </c>
      <c r="BE7" s="62"/>
      <c r="BF7" s="62"/>
      <c r="BG7" s="62"/>
      <c r="BH7" s="57"/>
      <c r="BI7" s="63"/>
    </row>
    <row r="8" spans="1:62" ht="15">
      <c r="A8" s="237" t="s">
        <v>29</v>
      </c>
      <c r="B8" s="237"/>
      <c r="C8" s="237"/>
      <c r="D8" s="237"/>
      <c r="E8" s="237"/>
      <c r="F8" s="64" t="s">
        <v>30</v>
      </c>
      <c r="G8" s="64" t="s">
        <v>31</v>
      </c>
      <c r="H8" s="60"/>
      <c r="I8" s="65" t="s">
        <v>32</v>
      </c>
      <c r="J8" s="65" t="s">
        <v>32</v>
      </c>
      <c r="L8" s="66" t="s">
        <v>32</v>
      </c>
      <c r="M8" s="36"/>
      <c r="N8" s="36" t="s">
        <v>2</v>
      </c>
      <c r="O8" s="36"/>
      <c r="P8" s="36" t="s">
        <v>33</v>
      </c>
      <c r="Q8" s="36"/>
      <c r="R8" s="36" t="s">
        <v>34</v>
      </c>
      <c r="S8" s="36"/>
      <c r="T8" s="36" t="s">
        <v>35</v>
      </c>
      <c r="U8" s="36"/>
      <c r="V8" s="36" t="s">
        <v>36</v>
      </c>
      <c r="W8" s="36"/>
      <c r="X8" s="66" t="s">
        <v>32</v>
      </c>
      <c r="Y8" s="36"/>
      <c r="Z8" s="44" t="s">
        <v>24</v>
      </c>
      <c r="AA8" s="36"/>
      <c r="AB8" s="44" t="s">
        <v>35</v>
      </c>
      <c r="AC8" s="44"/>
      <c r="AD8" s="44" t="s">
        <v>37</v>
      </c>
      <c r="AE8" s="44"/>
      <c r="AF8" s="44" t="s">
        <v>38</v>
      </c>
      <c r="AG8" s="36" t="s">
        <v>35</v>
      </c>
      <c r="AH8" s="36" t="s">
        <v>39</v>
      </c>
      <c r="AI8" s="36"/>
      <c r="AJ8" s="36" t="s">
        <v>40</v>
      </c>
      <c r="AK8" s="24"/>
      <c r="AL8" s="36" t="s">
        <v>35</v>
      </c>
      <c r="AM8" s="36"/>
      <c r="AN8" s="36" t="s">
        <v>32</v>
      </c>
      <c r="AO8" s="67" t="s">
        <v>32</v>
      </c>
      <c r="AP8" s="36" t="s">
        <v>32</v>
      </c>
      <c r="AQ8" s="48"/>
      <c r="AR8" s="48" t="s">
        <v>35</v>
      </c>
      <c r="AS8" s="48"/>
      <c r="AT8" s="48" t="s">
        <v>37</v>
      </c>
      <c r="AU8" s="48"/>
      <c r="AV8" s="48" t="s">
        <v>38</v>
      </c>
      <c r="AW8" s="44"/>
      <c r="AX8" s="49" t="s">
        <v>35</v>
      </c>
      <c r="AY8" s="44"/>
      <c r="AZ8" s="44" t="s">
        <v>2</v>
      </c>
      <c r="BA8" s="44" t="s">
        <v>40</v>
      </c>
      <c r="BB8" s="44" t="s">
        <v>2</v>
      </c>
      <c r="BC8" s="56"/>
      <c r="BD8" s="50" t="s">
        <v>41</v>
      </c>
      <c r="BE8" s="68"/>
      <c r="BF8" s="68"/>
      <c r="BG8" s="68"/>
      <c r="BH8" s="69"/>
    </row>
    <row r="9" spans="1:62" ht="15">
      <c r="A9" s="58"/>
      <c r="B9" s="58"/>
      <c r="C9" s="58"/>
      <c r="D9" s="64"/>
      <c r="E9" s="64"/>
      <c r="F9" s="64"/>
      <c r="G9" s="70"/>
      <c r="H9" s="60"/>
      <c r="J9" s="71"/>
      <c r="L9" s="44"/>
      <c r="AK9" s="24"/>
      <c r="AZ9" s="34"/>
      <c r="BB9" s="34"/>
      <c r="BC9" s="56"/>
      <c r="BH9" s="72">
        <v>2</v>
      </c>
    </row>
    <row r="10" spans="1:62" ht="20.100000000000001" customHeight="1" outlineLevel="1">
      <c r="A10" s="75" t="s">
        <v>662</v>
      </c>
      <c r="B10" s="77"/>
      <c r="C10" s="77"/>
      <c r="D10" s="90"/>
      <c r="E10" s="90"/>
      <c r="F10" s="3"/>
      <c r="H10" s="81"/>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5"/>
      <c r="AL10" s="83"/>
      <c r="AM10" s="83"/>
      <c r="AN10" s="100"/>
      <c r="AO10" s="100"/>
      <c r="AP10" s="100"/>
      <c r="AQ10" s="83"/>
      <c r="AR10" s="83"/>
      <c r="AS10" s="83"/>
      <c r="AT10" s="83"/>
      <c r="AU10" s="83"/>
      <c r="AV10" s="83"/>
      <c r="AW10" s="83"/>
      <c r="AX10" s="83"/>
      <c r="AY10" s="83"/>
      <c r="AZ10" s="83"/>
      <c r="BA10" s="83"/>
      <c r="BB10" s="83"/>
      <c r="BC10" s="56"/>
      <c r="BD10" s="83"/>
      <c r="BE10" s="83"/>
      <c r="BF10" s="83"/>
      <c r="BG10" s="83"/>
      <c r="BH10" s="19"/>
    </row>
    <row r="11" spans="1:62" ht="20.100000000000001" customHeight="1" outlineLevel="1">
      <c r="A11" s="77" t="s">
        <v>43</v>
      </c>
      <c r="B11" s="77" t="s">
        <v>497</v>
      </c>
      <c r="C11" s="77" t="s">
        <v>1092</v>
      </c>
      <c r="D11" s="78" t="s">
        <v>46</v>
      </c>
      <c r="E11" s="78" t="str">
        <f>+D11</f>
        <v>000</v>
      </c>
      <c r="F11" s="3">
        <v>611323</v>
      </c>
      <c r="G11" s="102" t="s">
        <v>663</v>
      </c>
      <c r="H11" s="87"/>
      <c r="I11" s="82">
        <v>560610</v>
      </c>
      <c r="J11" s="82">
        <v>537817</v>
      </c>
      <c r="L11" s="83">
        <v>608584</v>
      </c>
      <c r="M11" s="83"/>
      <c r="N11" s="83">
        <v>685383</v>
      </c>
      <c r="O11" s="83"/>
      <c r="P11" s="83">
        <v>685383</v>
      </c>
      <c r="Q11" s="83"/>
      <c r="R11" s="83">
        <v>582978</v>
      </c>
      <c r="S11" s="83"/>
      <c r="T11" s="83">
        <v>0</v>
      </c>
      <c r="U11" s="83"/>
      <c r="V11" s="83">
        <v>582978</v>
      </c>
      <c r="W11" s="83"/>
      <c r="X11" s="83">
        <v>582679.46</v>
      </c>
      <c r="Y11" s="83"/>
      <c r="Z11" s="83">
        <v>639051</v>
      </c>
      <c r="AA11" s="83"/>
      <c r="AB11" s="83">
        <v>0</v>
      </c>
      <c r="AC11" s="83"/>
      <c r="AD11" s="83"/>
      <c r="AE11" s="83"/>
      <c r="AF11" s="84">
        <f t="shared" ref="AF11:AF30" si="0">SUM(Z11:AE11)</f>
        <v>639051</v>
      </c>
      <c r="AG11" s="103">
        <v>-62308</v>
      </c>
      <c r="AH11" s="83">
        <v>12500</v>
      </c>
      <c r="AI11" s="83"/>
      <c r="AJ11" s="84">
        <f t="shared" ref="AJ11:AJ30" si="1">SUM(AE11:AI11)</f>
        <v>589243</v>
      </c>
      <c r="AK11" s="85"/>
      <c r="AL11" s="83">
        <v>0</v>
      </c>
      <c r="AM11" s="83"/>
      <c r="AN11" s="86">
        <v>606272.88</v>
      </c>
      <c r="AO11" s="86">
        <v>0</v>
      </c>
      <c r="AP11" s="86">
        <v>484113.38</v>
      </c>
      <c r="AQ11" s="83"/>
      <c r="AR11" s="83">
        <v>0</v>
      </c>
      <c r="AS11" s="83"/>
      <c r="AT11" s="83">
        <v>0</v>
      </c>
      <c r="AU11" s="83"/>
      <c r="AV11" s="84">
        <f t="shared" ref="AV11:AV30" si="2">SUM(AP11:AU11)</f>
        <v>484113.38</v>
      </c>
      <c r="AW11" s="84"/>
      <c r="AX11" s="128">
        <v>-112420</v>
      </c>
      <c r="AY11" s="84"/>
      <c r="AZ11" s="86">
        <v>408926</v>
      </c>
      <c r="BA11" s="84">
        <v>408926</v>
      </c>
      <c r="BB11" s="214"/>
      <c r="BC11" s="56"/>
      <c r="BD11" s="84">
        <f t="shared" ref="BD11:BD31" si="3">+AP11-AN11</f>
        <v>-122159.5</v>
      </c>
      <c r="BE11" s="84"/>
      <c r="BF11" s="84"/>
      <c r="BG11" s="84"/>
      <c r="BH11" s="72">
        <v>1</v>
      </c>
      <c r="BJ11">
        <v>1</v>
      </c>
    </row>
    <row r="12" spans="1:62" ht="20.100000000000001" customHeight="1" outlineLevel="1">
      <c r="A12" s="77" t="s">
        <v>43</v>
      </c>
      <c r="B12" s="77" t="s">
        <v>497</v>
      </c>
      <c r="C12" s="77" t="s">
        <v>1092</v>
      </c>
      <c r="D12" s="78" t="s">
        <v>46</v>
      </c>
      <c r="E12" s="78" t="str">
        <f t="shared" ref="E12:E30" si="4">+D12</f>
        <v>000</v>
      </c>
      <c r="F12" s="3">
        <v>611333</v>
      </c>
      <c r="G12" s="102" t="s">
        <v>664</v>
      </c>
      <c r="H12" s="87"/>
      <c r="I12" s="13">
        <v>0</v>
      </c>
      <c r="J12" s="13">
        <v>0</v>
      </c>
      <c r="L12" s="56">
        <v>0</v>
      </c>
      <c r="M12" s="56"/>
      <c r="N12" s="56">
        <v>0</v>
      </c>
      <c r="O12" s="56"/>
      <c r="P12" s="56">
        <v>0</v>
      </c>
      <c r="Q12" s="83"/>
      <c r="R12" s="56">
        <v>0</v>
      </c>
      <c r="S12" s="83"/>
      <c r="T12" s="56">
        <v>0</v>
      </c>
      <c r="U12" s="83"/>
      <c r="V12" s="56">
        <v>0</v>
      </c>
      <c r="W12" s="83"/>
      <c r="X12" s="56">
        <v>0</v>
      </c>
      <c r="Y12" s="83"/>
      <c r="Z12" s="83"/>
      <c r="AA12" s="83"/>
      <c r="AB12" s="56">
        <v>0</v>
      </c>
      <c r="AC12" s="83"/>
      <c r="AD12" s="83"/>
      <c r="AE12" s="83"/>
      <c r="AF12" s="56">
        <f t="shared" si="0"/>
        <v>0</v>
      </c>
      <c r="AG12" s="56">
        <v>0</v>
      </c>
      <c r="AH12" s="56">
        <v>0</v>
      </c>
      <c r="AI12" s="83"/>
      <c r="AJ12" s="56">
        <f t="shared" si="1"/>
        <v>0</v>
      </c>
      <c r="AK12" s="85"/>
      <c r="AL12" s="56">
        <v>0</v>
      </c>
      <c r="AM12" s="83"/>
      <c r="AN12" s="88">
        <f>SUM(AI12:AM12)</f>
        <v>0</v>
      </c>
      <c r="AO12" s="88">
        <v>0</v>
      </c>
      <c r="AP12" s="88">
        <v>125565.09</v>
      </c>
      <c r="AQ12" s="83"/>
      <c r="AR12" s="56">
        <v>0</v>
      </c>
      <c r="AS12" s="83"/>
      <c r="AT12" s="56">
        <v>0</v>
      </c>
      <c r="AU12" s="83"/>
      <c r="AV12" s="56">
        <f t="shared" si="2"/>
        <v>125565.09</v>
      </c>
      <c r="AW12" s="56"/>
      <c r="AX12" s="106">
        <v>95953</v>
      </c>
      <c r="AY12" s="56"/>
      <c r="AZ12" s="88">
        <v>141000</v>
      </c>
      <c r="BA12" s="56">
        <v>141000</v>
      </c>
      <c r="BB12" s="214"/>
      <c r="BC12" s="56"/>
      <c r="BD12" s="84">
        <f t="shared" si="3"/>
        <v>125565.09</v>
      </c>
      <c r="BE12" s="56"/>
      <c r="BF12" s="56"/>
      <c r="BG12" s="56"/>
      <c r="BH12" s="72">
        <v>1</v>
      </c>
    </row>
    <row r="13" spans="1:62" ht="20.100000000000001" customHeight="1" outlineLevel="1">
      <c r="A13" s="77" t="s">
        <v>43</v>
      </c>
      <c r="B13" s="77" t="s">
        <v>497</v>
      </c>
      <c r="C13" s="77" t="s">
        <v>1092</v>
      </c>
      <c r="D13" s="78" t="s">
        <v>46</v>
      </c>
      <c r="E13" s="78" t="str">
        <f t="shared" si="4"/>
        <v>000</v>
      </c>
      <c r="F13" s="3">
        <v>611324</v>
      </c>
      <c r="G13" s="102" t="s">
        <v>665</v>
      </c>
      <c r="H13" s="87"/>
      <c r="I13" s="13">
        <v>0</v>
      </c>
      <c r="J13" s="13">
        <v>0</v>
      </c>
      <c r="L13" s="56">
        <v>0</v>
      </c>
      <c r="M13" s="56"/>
      <c r="N13" s="56">
        <v>0</v>
      </c>
      <c r="O13" s="56"/>
      <c r="P13" s="56">
        <v>0</v>
      </c>
      <c r="Q13" s="56"/>
      <c r="R13" s="56">
        <v>0</v>
      </c>
      <c r="S13" s="56"/>
      <c r="T13" s="56">
        <v>0</v>
      </c>
      <c r="U13" s="56"/>
      <c r="V13" s="56">
        <v>0</v>
      </c>
      <c r="W13" s="56"/>
      <c r="X13" s="56">
        <v>0</v>
      </c>
      <c r="Y13" s="56"/>
      <c r="Z13" s="56">
        <v>0</v>
      </c>
      <c r="AA13" s="56"/>
      <c r="AB13" s="56">
        <v>0</v>
      </c>
      <c r="AC13" s="56"/>
      <c r="AD13" s="56"/>
      <c r="AE13" s="56"/>
      <c r="AF13" s="56">
        <f t="shared" si="0"/>
        <v>0</v>
      </c>
      <c r="AG13" s="56">
        <v>0</v>
      </c>
      <c r="AH13" s="56">
        <v>0</v>
      </c>
      <c r="AI13" s="56"/>
      <c r="AJ13" s="56">
        <f t="shared" si="1"/>
        <v>0</v>
      </c>
      <c r="AK13" s="85"/>
      <c r="AL13" s="56">
        <v>0</v>
      </c>
      <c r="AM13" s="56"/>
      <c r="AN13" s="88">
        <f>SUM(AI13:AM13)</f>
        <v>0</v>
      </c>
      <c r="AO13" s="88">
        <v>0</v>
      </c>
      <c r="AP13" s="88">
        <v>0</v>
      </c>
      <c r="AQ13" s="56"/>
      <c r="AR13" s="56">
        <v>0</v>
      </c>
      <c r="AS13" s="56"/>
      <c r="AT13" s="56">
        <v>0</v>
      </c>
      <c r="AU13" s="56"/>
      <c r="AV13" s="56">
        <f t="shared" si="2"/>
        <v>0</v>
      </c>
      <c r="AW13" s="56"/>
      <c r="AX13" s="106">
        <v>0</v>
      </c>
      <c r="AY13" s="56"/>
      <c r="AZ13" s="88">
        <v>0</v>
      </c>
      <c r="BA13" s="56">
        <v>0</v>
      </c>
      <c r="BB13" s="214"/>
      <c r="BC13" s="56"/>
      <c r="BD13" s="84">
        <f t="shared" si="3"/>
        <v>0</v>
      </c>
      <c r="BE13" s="56"/>
      <c r="BF13" s="56"/>
      <c r="BG13" s="56"/>
      <c r="BH13" s="72">
        <v>1</v>
      </c>
      <c r="BJ13">
        <v>1</v>
      </c>
    </row>
    <row r="14" spans="1:62" ht="20.100000000000001" customHeight="1" outlineLevel="1">
      <c r="A14" s="77" t="s">
        <v>43</v>
      </c>
      <c r="B14" s="77" t="s">
        <v>666</v>
      </c>
      <c r="C14" s="77" t="s">
        <v>1092</v>
      </c>
      <c r="D14" s="78" t="s">
        <v>46</v>
      </c>
      <c r="E14" s="78" t="str">
        <f t="shared" si="4"/>
        <v>000</v>
      </c>
      <c r="F14" s="79">
        <v>611117</v>
      </c>
      <c r="G14" s="102" t="s">
        <v>667</v>
      </c>
      <c r="H14" s="87"/>
      <c r="I14" s="13">
        <v>65572</v>
      </c>
      <c r="J14" s="13">
        <v>38761</v>
      </c>
      <c r="L14" s="56">
        <v>0</v>
      </c>
      <c r="M14" s="56"/>
      <c r="N14" s="56">
        <v>0</v>
      </c>
      <c r="O14" s="56"/>
      <c r="P14" s="56">
        <v>0</v>
      </c>
      <c r="Q14" s="56"/>
      <c r="R14" s="56">
        <v>77848</v>
      </c>
      <c r="S14" s="56"/>
      <c r="T14" s="56">
        <v>0</v>
      </c>
      <c r="U14" s="56"/>
      <c r="V14" s="56">
        <v>77848</v>
      </c>
      <c r="W14" s="56"/>
      <c r="X14" s="56">
        <v>77848</v>
      </c>
      <c r="Y14" s="56"/>
      <c r="Z14" s="56">
        <v>77447</v>
      </c>
      <c r="AA14" s="56"/>
      <c r="AB14" s="56">
        <v>0</v>
      </c>
      <c r="AC14" s="56"/>
      <c r="AD14" s="56"/>
      <c r="AE14" s="56"/>
      <c r="AF14" s="56">
        <f t="shared" si="0"/>
        <v>77447</v>
      </c>
      <c r="AG14" s="56">
        <v>0</v>
      </c>
      <c r="AH14" s="56">
        <v>1250</v>
      </c>
      <c r="AI14" s="56"/>
      <c r="AJ14" s="56">
        <f t="shared" si="1"/>
        <v>78697</v>
      </c>
      <c r="AK14" s="85"/>
      <c r="AL14" s="56">
        <v>0</v>
      </c>
      <c r="AM14" s="56"/>
      <c r="AN14" s="88">
        <v>78697</v>
      </c>
      <c r="AO14" s="88">
        <v>0</v>
      </c>
      <c r="AP14" s="88">
        <v>72830.039999999994</v>
      </c>
      <c r="AQ14" s="56"/>
      <c r="AR14" s="56">
        <v>0</v>
      </c>
      <c r="AS14" s="56"/>
      <c r="AT14" s="56">
        <v>0</v>
      </c>
      <c r="AU14" s="56"/>
      <c r="AV14" s="56">
        <f t="shared" si="2"/>
        <v>72830.039999999994</v>
      </c>
      <c r="AW14" s="56"/>
      <c r="AX14" s="106">
        <v>5000</v>
      </c>
      <c r="AY14" s="56"/>
      <c r="AZ14" s="88">
        <v>77447</v>
      </c>
      <c r="BA14" s="56">
        <v>73225</v>
      </c>
      <c r="BB14" s="214"/>
      <c r="BC14" s="56"/>
      <c r="BD14" s="84">
        <f t="shared" si="3"/>
        <v>-5866.9600000000064</v>
      </c>
      <c r="BE14" s="56"/>
      <c r="BF14" s="56"/>
      <c r="BG14" s="56"/>
      <c r="BH14" s="72">
        <v>1</v>
      </c>
      <c r="BJ14">
        <v>1</v>
      </c>
    </row>
    <row r="15" spans="1:62" ht="20.100000000000001" customHeight="1" outlineLevel="1">
      <c r="A15" s="77" t="s">
        <v>43</v>
      </c>
      <c r="B15" s="77" t="s">
        <v>666</v>
      </c>
      <c r="C15" s="77" t="s">
        <v>1092</v>
      </c>
      <c r="D15" s="78" t="s">
        <v>46</v>
      </c>
      <c r="E15" s="78" t="str">
        <f t="shared" si="4"/>
        <v>000</v>
      </c>
      <c r="F15" s="3">
        <v>611411</v>
      </c>
      <c r="G15" s="102" t="s">
        <v>80</v>
      </c>
      <c r="H15" s="87"/>
      <c r="I15" s="13">
        <v>64618</v>
      </c>
      <c r="J15" s="13">
        <v>85805</v>
      </c>
      <c r="L15" s="56">
        <v>93860</v>
      </c>
      <c r="M15" s="56"/>
      <c r="N15" s="56">
        <v>90164</v>
      </c>
      <c r="O15" s="56"/>
      <c r="P15" s="56">
        <v>90164</v>
      </c>
      <c r="Q15" s="56"/>
      <c r="R15" s="56">
        <v>125861</v>
      </c>
      <c r="S15" s="56"/>
      <c r="T15" s="56">
        <v>0</v>
      </c>
      <c r="U15" s="56"/>
      <c r="V15" s="56">
        <v>125861</v>
      </c>
      <c r="W15" s="56"/>
      <c r="X15" s="56">
        <v>105503.08</v>
      </c>
      <c r="Y15" s="56"/>
      <c r="Z15" s="56">
        <v>106825</v>
      </c>
      <c r="AA15" s="56"/>
      <c r="AB15" s="56">
        <v>0</v>
      </c>
      <c r="AC15" s="56"/>
      <c r="AD15" s="56"/>
      <c r="AE15" s="56"/>
      <c r="AF15" s="56">
        <f t="shared" si="0"/>
        <v>106825</v>
      </c>
      <c r="AG15" s="104">
        <v>-9000</v>
      </c>
      <c r="AH15" s="56">
        <v>9000</v>
      </c>
      <c r="AI15" s="56"/>
      <c r="AJ15" s="56">
        <f t="shared" si="1"/>
        <v>106825</v>
      </c>
      <c r="AK15" s="85"/>
      <c r="AL15" s="56">
        <v>0</v>
      </c>
      <c r="AM15" s="56"/>
      <c r="AN15" s="88">
        <v>97198.87</v>
      </c>
      <c r="AO15" s="88">
        <v>0</v>
      </c>
      <c r="AP15" s="88">
        <v>82722.759999999995</v>
      </c>
      <c r="AQ15" s="56"/>
      <c r="AR15" s="56">
        <v>0</v>
      </c>
      <c r="AS15" s="56"/>
      <c r="AT15" s="56">
        <v>0</v>
      </c>
      <c r="AU15" s="56"/>
      <c r="AV15" s="56">
        <f t="shared" si="2"/>
        <v>82722.759999999995</v>
      </c>
      <c r="AW15" s="56"/>
      <c r="AX15" s="106">
        <v>-43799</v>
      </c>
      <c r="AY15" s="56"/>
      <c r="AZ15" s="88">
        <v>83000</v>
      </c>
      <c r="BA15" s="56">
        <v>83000</v>
      </c>
      <c r="BB15" s="214"/>
      <c r="BC15" s="56"/>
      <c r="BD15" s="84">
        <f t="shared" si="3"/>
        <v>-14476.11</v>
      </c>
      <c r="BE15" s="56"/>
      <c r="BF15" s="56"/>
      <c r="BG15" s="56"/>
      <c r="BH15" s="72">
        <v>1</v>
      </c>
      <c r="BJ15">
        <v>1</v>
      </c>
    </row>
    <row r="16" spans="1:62" ht="20.100000000000001" customHeight="1" outlineLevel="1">
      <c r="A16" s="77" t="s">
        <v>43</v>
      </c>
      <c r="B16" s="77" t="s">
        <v>666</v>
      </c>
      <c r="C16" s="77" t="s">
        <v>1092</v>
      </c>
      <c r="D16" s="78" t="s">
        <v>46</v>
      </c>
      <c r="E16" s="78" t="str">
        <f t="shared" si="4"/>
        <v>000</v>
      </c>
      <c r="F16" s="3">
        <v>632013</v>
      </c>
      <c r="G16" s="102" t="s">
        <v>668</v>
      </c>
      <c r="H16" s="87"/>
      <c r="I16" s="13">
        <v>10594</v>
      </c>
      <c r="J16" s="13">
        <v>200</v>
      </c>
      <c r="L16" s="56">
        <v>0</v>
      </c>
      <c r="M16" s="56"/>
      <c r="N16" s="56">
        <v>8000</v>
      </c>
      <c r="O16" s="56"/>
      <c r="P16" s="56">
        <v>8000</v>
      </c>
      <c r="Q16" s="56"/>
      <c r="R16" s="56">
        <v>8000</v>
      </c>
      <c r="S16" s="56"/>
      <c r="T16" s="56">
        <v>0</v>
      </c>
      <c r="U16" s="56"/>
      <c r="V16" s="56">
        <v>8000</v>
      </c>
      <c r="W16" s="56"/>
      <c r="X16" s="56">
        <v>0</v>
      </c>
      <c r="Y16" s="56"/>
      <c r="Z16" s="56">
        <v>15000</v>
      </c>
      <c r="AA16" s="56"/>
      <c r="AB16" s="56">
        <v>0</v>
      </c>
      <c r="AC16" s="56"/>
      <c r="AD16" s="56"/>
      <c r="AE16" s="56"/>
      <c r="AF16" s="56">
        <f t="shared" si="0"/>
        <v>15000</v>
      </c>
      <c r="AG16" s="56">
        <v>0</v>
      </c>
      <c r="AH16" s="56">
        <v>0</v>
      </c>
      <c r="AI16" s="56"/>
      <c r="AJ16" s="56">
        <f t="shared" si="1"/>
        <v>15000</v>
      </c>
      <c r="AK16" s="85"/>
      <c r="AL16" s="56">
        <v>-14772</v>
      </c>
      <c r="AM16" s="56"/>
      <c r="AN16" s="88">
        <v>226.39</v>
      </c>
      <c r="AO16" s="88">
        <v>0</v>
      </c>
      <c r="AP16" s="88">
        <v>0</v>
      </c>
      <c r="AQ16" s="56"/>
      <c r="AR16" s="56">
        <v>0</v>
      </c>
      <c r="AS16" s="56"/>
      <c r="AT16" s="56">
        <v>0</v>
      </c>
      <c r="AU16" s="56"/>
      <c r="AV16" s="56">
        <f t="shared" si="2"/>
        <v>0</v>
      </c>
      <c r="AW16" s="56"/>
      <c r="AX16" s="56">
        <v>0</v>
      </c>
      <c r="AY16" s="56"/>
      <c r="AZ16" s="88">
        <v>5000</v>
      </c>
      <c r="BA16" s="56">
        <v>7303</v>
      </c>
      <c r="BB16" s="214"/>
      <c r="BC16" s="56"/>
      <c r="BD16" s="84">
        <f t="shared" si="3"/>
        <v>-226.39</v>
      </c>
      <c r="BE16" s="56"/>
      <c r="BF16" s="56"/>
      <c r="BG16" s="56"/>
      <c r="BH16" s="72"/>
    </row>
    <row r="17" spans="1:62" ht="20.100000000000001" customHeight="1" outlineLevel="1">
      <c r="A17" s="77" t="s">
        <v>43</v>
      </c>
      <c r="B17" s="77" t="s">
        <v>666</v>
      </c>
      <c r="C17" s="77" t="s">
        <v>1092</v>
      </c>
      <c r="D17" s="78" t="s">
        <v>46</v>
      </c>
      <c r="E17" s="78" t="str">
        <f t="shared" si="4"/>
        <v>000</v>
      </c>
      <c r="F17" s="3">
        <v>633941</v>
      </c>
      <c r="G17" s="102" t="s">
        <v>669</v>
      </c>
      <c r="H17" s="87"/>
      <c r="I17" s="13">
        <v>0</v>
      </c>
      <c r="J17" s="13">
        <v>0</v>
      </c>
      <c r="L17" s="56">
        <v>0</v>
      </c>
      <c r="M17" s="56"/>
      <c r="N17" s="56">
        <v>0</v>
      </c>
      <c r="O17" s="56"/>
      <c r="P17" s="56">
        <v>0</v>
      </c>
      <c r="Q17" s="56"/>
      <c r="R17" s="56">
        <v>0</v>
      </c>
      <c r="S17" s="56"/>
      <c r="T17" s="56">
        <v>0</v>
      </c>
      <c r="U17" s="56"/>
      <c r="V17" s="56">
        <v>0</v>
      </c>
      <c r="W17" s="56"/>
      <c r="X17" s="56">
        <v>0</v>
      </c>
      <c r="Y17" s="56"/>
      <c r="Z17" s="56">
        <v>0</v>
      </c>
      <c r="AA17" s="56"/>
      <c r="AB17" s="56">
        <v>0</v>
      </c>
      <c r="AC17" s="56"/>
      <c r="AD17" s="56"/>
      <c r="AE17" s="56"/>
      <c r="AF17" s="56">
        <f t="shared" si="0"/>
        <v>0</v>
      </c>
      <c r="AG17" s="56">
        <v>0</v>
      </c>
      <c r="AH17" s="56">
        <v>0</v>
      </c>
      <c r="AI17" s="56"/>
      <c r="AJ17" s="56">
        <f t="shared" si="1"/>
        <v>0</v>
      </c>
      <c r="AK17" s="85"/>
      <c r="AL17" s="56">
        <v>0</v>
      </c>
      <c r="AM17" s="56"/>
      <c r="AN17" s="88">
        <f>SUM(AI17:AM17)</f>
        <v>0</v>
      </c>
      <c r="AO17" s="88">
        <v>0</v>
      </c>
      <c r="AP17" s="88">
        <v>0</v>
      </c>
      <c r="AQ17" s="56"/>
      <c r="AR17" s="56">
        <v>0</v>
      </c>
      <c r="AS17" s="56"/>
      <c r="AT17" s="56">
        <v>0</v>
      </c>
      <c r="AU17" s="56"/>
      <c r="AV17" s="56">
        <f t="shared" si="2"/>
        <v>0</v>
      </c>
      <c r="AW17" s="56"/>
      <c r="AX17" s="56">
        <v>0</v>
      </c>
      <c r="AY17" s="56"/>
      <c r="AZ17" s="88">
        <v>0</v>
      </c>
      <c r="BA17" s="56">
        <v>0</v>
      </c>
      <c r="BB17" s="214"/>
      <c r="BC17" s="56"/>
      <c r="BD17" s="84">
        <f t="shared" si="3"/>
        <v>0</v>
      </c>
      <c r="BE17" s="56"/>
      <c r="BF17" s="56"/>
      <c r="BG17" s="56"/>
      <c r="BH17" s="72"/>
    </row>
    <row r="18" spans="1:62" ht="20.100000000000001" customHeight="1" outlineLevel="1">
      <c r="A18" s="77" t="s">
        <v>43</v>
      </c>
      <c r="B18" s="77" t="s">
        <v>666</v>
      </c>
      <c r="C18" s="77" t="s">
        <v>1092</v>
      </c>
      <c r="D18" s="78" t="s">
        <v>46</v>
      </c>
      <c r="E18" s="78" t="str">
        <f t="shared" si="4"/>
        <v>000</v>
      </c>
      <c r="F18" s="3">
        <v>633945</v>
      </c>
      <c r="G18" s="102" t="s">
        <v>550</v>
      </c>
      <c r="H18" s="87"/>
      <c r="I18" s="13">
        <v>225</v>
      </c>
      <c r="J18" s="13">
        <v>9651</v>
      </c>
      <c r="L18" s="56">
        <v>8308</v>
      </c>
      <c r="M18" s="56"/>
      <c r="N18" s="56">
        <v>3000</v>
      </c>
      <c r="O18" s="56"/>
      <c r="P18" s="56">
        <v>9766</v>
      </c>
      <c r="Q18" s="56"/>
      <c r="R18" s="56">
        <v>9766</v>
      </c>
      <c r="S18" s="56"/>
      <c r="T18" s="56">
        <v>0</v>
      </c>
      <c r="U18" s="56"/>
      <c r="V18" s="56">
        <v>9766</v>
      </c>
      <c r="W18" s="56"/>
      <c r="X18" s="56">
        <v>1619.52</v>
      </c>
      <c r="Y18" s="56"/>
      <c r="Z18" s="56">
        <v>3000</v>
      </c>
      <c r="AA18" s="56"/>
      <c r="AB18" s="56">
        <v>0</v>
      </c>
      <c r="AC18" s="56"/>
      <c r="AD18" s="56"/>
      <c r="AE18" s="56"/>
      <c r="AF18" s="56">
        <f t="shared" si="0"/>
        <v>3000</v>
      </c>
      <c r="AG18" s="56">
        <v>0</v>
      </c>
      <c r="AH18" s="56">
        <v>0</v>
      </c>
      <c r="AI18" s="56"/>
      <c r="AJ18" s="56">
        <f t="shared" si="1"/>
        <v>3000</v>
      </c>
      <c r="AK18" s="85"/>
      <c r="AL18" s="56">
        <v>-3000</v>
      </c>
      <c r="AM18" s="56"/>
      <c r="AN18" s="88">
        <f>SUM(AI18:AM18)</f>
        <v>0</v>
      </c>
      <c r="AO18" s="88">
        <v>0</v>
      </c>
      <c r="AP18" s="88">
        <v>0</v>
      </c>
      <c r="AQ18" s="56"/>
      <c r="AR18" s="56">
        <v>0</v>
      </c>
      <c r="AS18" s="56"/>
      <c r="AT18" s="56">
        <v>0</v>
      </c>
      <c r="AU18" s="56"/>
      <c r="AV18" s="56">
        <f t="shared" si="2"/>
        <v>0</v>
      </c>
      <c r="AW18" s="56"/>
      <c r="AX18" s="56">
        <v>0</v>
      </c>
      <c r="AY18" s="56"/>
      <c r="AZ18" s="88">
        <v>3000</v>
      </c>
      <c r="BA18" s="56">
        <v>3000</v>
      </c>
      <c r="BB18" s="214"/>
      <c r="BC18" s="56"/>
      <c r="BD18" s="84">
        <f t="shared" si="3"/>
        <v>0</v>
      </c>
      <c r="BE18" s="56"/>
      <c r="BF18" s="56"/>
      <c r="BG18" s="56"/>
      <c r="BH18" s="72"/>
    </row>
    <row r="19" spans="1:62" ht="20.100000000000001" customHeight="1" outlineLevel="1">
      <c r="A19" s="77" t="s">
        <v>43</v>
      </c>
      <c r="B19" s="77" t="s">
        <v>666</v>
      </c>
      <c r="C19" s="77" t="s">
        <v>1092</v>
      </c>
      <c r="D19" s="78" t="s">
        <v>46</v>
      </c>
      <c r="E19" s="78" t="str">
        <f t="shared" si="4"/>
        <v>000</v>
      </c>
      <c r="F19" s="3">
        <v>643011</v>
      </c>
      <c r="G19" s="102" t="s">
        <v>608</v>
      </c>
      <c r="H19" s="87"/>
      <c r="I19" s="13">
        <v>3136</v>
      </c>
      <c r="J19" s="13">
        <v>3042</v>
      </c>
      <c r="L19" s="56">
        <v>708</v>
      </c>
      <c r="M19" s="56"/>
      <c r="N19" s="56">
        <v>4525</v>
      </c>
      <c r="O19" s="56"/>
      <c r="P19" s="56">
        <v>4525</v>
      </c>
      <c r="Q19" s="56"/>
      <c r="R19" s="56">
        <v>4525</v>
      </c>
      <c r="S19" s="56"/>
      <c r="T19" s="56">
        <v>0</v>
      </c>
      <c r="U19" s="56"/>
      <c r="V19" s="56">
        <v>4525</v>
      </c>
      <c r="W19" s="56"/>
      <c r="X19" s="56">
        <v>2457</v>
      </c>
      <c r="Y19" s="56"/>
      <c r="Z19" s="56">
        <v>4525</v>
      </c>
      <c r="AA19" s="56"/>
      <c r="AB19" s="56">
        <v>0</v>
      </c>
      <c r="AC19" s="56"/>
      <c r="AD19" s="56"/>
      <c r="AE19" s="56"/>
      <c r="AF19" s="56">
        <f t="shared" si="0"/>
        <v>4525</v>
      </c>
      <c r="AG19" s="56">
        <v>0</v>
      </c>
      <c r="AH19" s="56">
        <v>0</v>
      </c>
      <c r="AI19" s="56"/>
      <c r="AJ19" s="56">
        <f t="shared" si="1"/>
        <v>4525</v>
      </c>
      <c r="AK19" s="85"/>
      <c r="AL19" s="56">
        <v>0</v>
      </c>
      <c r="AM19" s="56"/>
      <c r="AN19" s="88">
        <v>3101.2</v>
      </c>
      <c r="AO19" s="88">
        <v>0</v>
      </c>
      <c r="AP19" s="88">
        <v>262.5</v>
      </c>
      <c r="AQ19" s="56"/>
      <c r="AR19" s="56">
        <v>0</v>
      </c>
      <c r="AS19" s="56"/>
      <c r="AT19" s="56">
        <v>0</v>
      </c>
      <c r="AU19" s="56"/>
      <c r="AV19" s="56">
        <f t="shared" si="2"/>
        <v>262.5</v>
      </c>
      <c r="AW19" s="56"/>
      <c r="AX19" s="56">
        <v>0</v>
      </c>
      <c r="AY19" s="56"/>
      <c r="AZ19" s="88">
        <v>4525</v>
      </c>
      <c r="BA19" s="56">
        <v>4525</v>
      </c>
      <c r="BB19" s="214"/>
      <c r="BC19" s="56"/>
      <c r="BD19" s="84">
        <f t="shared" si="3"/>
        <v>-2838.7</v>
      </c>
      <c r="BE19" s="56"/>
      <c r="BF19" s="56"/>
      <c r="BG19" s="56"/>
      <c r="BH19" s="72"/>
    </row>
    <row r="20" spans="1:62" ht="20.100000000000001" customHeight="1" outlineLevel="1">
      <c r="A20" s="77" t="s">
        <v>43</v>
      </c>
      <c r="B20" s="77" t="s">
        <v>592</v>
      </c>
      <c r="C20" s="77" t="s">
        <v>1092</v>
      </c>
      <c r="D20" s="78" t="s">
        <v>46</v>
      </c>
      <c r="E20" s="78" t="str">
        <f t="shared" si="4"/>
        <v>000</v>
      </c>
      <c r="F20" s="3">
        <v>658211</v>
      </c>
      <c r="G20" s="102" t="s">
        <v>670</v>
      </c>
      <c r="H20" s="87"/>
      <c r="I20" s="13">
        <v>0</v>
      </c>
      <c r="J20" s="13">
        <v>0</v>
      </c>
      <c r="L20" s="56">
        <v>0</v>
      </c>
      <c r="M20" s="56"/>
      <c r="N20" s="56">
        <v>0</v>
      </c>
      <c r="O20" s="56"/>
      <c r="P20" s="56"/>
      <c r="Q20" s="56"/>
      <c r="R20" s="56"/>
      <c r="S20" s="56"/>
      <c r="T20" s="56"/>
      <c r="U20" s="56"/>
      <c r="V20" s="56">
        <v>0</v>
      </c>
      <c r="W20" s="56"/>
      <c r="X20" s="56">
        <v>0</v>
      </c>
      <c r="Y20" s="56"/>
      <c r="Z20" s="56">
        <v>7500</v>
      </c>
      <c r="AA20" s="56"/>
      <c r="AB20" s="56">
        <v>0</v>
      </c>
      <c r="AC20" s="56"/>
      <c r="AD20" s="56"/>
      <c r="AE20" s="56"/>
      <c r="AF20" s="56">
        <f t="shared" si="0"/>
        <v>7500</v>
      </c>
      <c r="AG20" s="56">
        <v>0</v>
      </c>
      <c r="AH20" s="56">
        <v>0</v>
      </c>
      <c r="AI20" s="56"/>
      <c r="AJ20" s="56">
        <f t="shared" si="1"/>
        <v>7500</v>
      </c>
      <c r="AK20" s="85"/>
      <c r="AL20" s="56">
        <v>-1423</v>
      </c>
      <c r="AM20" s="56"/>
      <c r="AN20" s="88">
        <v>0</v>
      </c>
      <c r="AO20" s="88">
        <v>0</v>
      </c>
      <c r="AP20" s="88">
        <v>0</v>
      </c>
      <c r="AQ20" s="56"/>
      <c r="AR20" s="56">
        <v>0</v>
      </c>
      <c r="AS20" s="56"/>
      <c r="AT20" s="56">
        <v>0</v>
      </c>
      <c r="AU20" s="56"/>
      <c r="AV20" s="56">
        <f t="shared" si="2"/>
        <v>0</v>
      </c>
      <c r="AW20" s="56"/>
      <c r="AX20" s="56">
        <v>0</v>
      </c>
      <c r="AY20" s="56"/>
      <c r="AZ20" s="88">
        <v>7500</v>
      </c>
      <c r="BA20" s="56">
        <v>7500</v>
      </c>
      <c r="BB20" s="214"/>
      <c r="BC20" s="56"/>
      <c r="BD20" s="84">
        <f t="shared" si="3"/>
        <v>0</v>
      </c>
      <c r="BE20" s="56"/>
      <c r="BF20" s="56"/>
      <c r="BG20" s="56"/>
      <c r="BH20" s="72"/>
    </row>
    <row r="21" spans="1:62" ht="20.100000000000001" customHeight="1" outlineLevel="1">
      <c r="A21" s="77" t="s">
        <v>43</v>
      </c>
      <c r="B21" s="77" t="s">
        <v>666</v>
      </c>
      <c r="C21" s="77" t="s">
        <v>1092</v>
      </c>
      <c r="D21" s="78" t="s">
        <v>46</v>
      </c>
      <c r="E21" s="78" t="str">
        <f t="shared" si="4"/>
        <v>000</v>
      </c>
      <c r="F21" s="3">
        <v>653051</v>
      </c>
      <c r="G21" s="102" t="s">
        <v>71</v>
      </c>
      <c r="H21" s="87"/>
      <c r="I21" s="13">
        <v>5190</v>
      </c>
      <c r="J21" s="13">
        <v>5220</v>
      </c>
      <c r="L21" s="56">
        <v>5044</v>
      </c>
      <c r="M21" s="56"/>
      <c r="N21" s="56">
        <v>6300</v>
      </c>
      <c r="O21" s="56"/>
      <c r="P21" s="56">
        <v>6300</v>
      </c>
      <c r="Q21" s="56"/>
      <c r="R21" s="56">
        <v>6300</v>
      </c>
      <c r="S21" s="56"/>
      <c r="T21" s="56">
        <v>0</v>
      </c>
      <c r="U21" s="56"/>
      <c r="V21" s="56">
        <v>6300</v>
      </c>
      <c r="W21" s="56"/>
      <c r="X21" s="56">
        <v>4905.5200000000004</v>
      </c>
      <c r="Y21" s="56"/>
      <c r="Z21" s="56">
        <v>7800</v>
      </c>
      <c r="AA21" s="56"/>
      <c r="AB21" s="56">
        <v>0</v>
      </c>
      <c r="AC21" s="56"/>
      <c r="AD21" s="56"/>
      <c r="AE21" s="56"/>
      <c r="AF21" s="56">
        <f t="shared" si="0"/>
        <v>7800</v>
      </c>
      <c r="AG21" s="56">
        <v>0</v>
      </c>
      <c r="AH21" s="56">
        <v>0</v>
      </c>
      <c r="AI21" s="56"/>
      <c r="AJ21" s="56">
        <f t="shared" si="1"/>
        <v>7800</v>
      </c>
      <c r="AK21" s="85"/>
      <c r="AL21" s="56">
        <v>0</v>
      </c>
      <c r="AM21" s="56"/>
      <c r="AN21" s="88">
        <v>4622.83</v>
      </c>
      <c r="AO21" s="88">
        <v>0</v>
      </c>
      <c r="AP21" s="88">
        <v>4226.26</v>
      </c>
      <c r="AQ21" s="56"/>
      <c r="AR21" s="56">
        <v>0</v>
      </c>
      <c r="AS21" s="56"/>
      <c r="AT21" s="56">
        <v>0</v>
      </c>
      <c r="AU21" s="56"/>
      <c r="AV21" s="56">
        <f t="shared" si="2"/>
        <v>4226.26</v>
      </c>
      <c r="AW21" s="56"/>
      <c r="AX21" s="56">
        <v>0</v>
      </c>
      <c r="AY21" s="56"/>
      <c r="AZ21" s="88">
        <v>7800</v>
      </c>
      <c r="BA21" s="56">
        <v>7800</v>
      </c>
      <c r="BB21" s="214"/>
      <c r="BC21" s="56"/>
      <c r="BD21" s="84">
        <f t="shared" si="3"/>
        <v>-396.56999999999971</v>
      </c>
      <c r="BE21" s="56"/>
      <c r="BF21" s="56"/>
      <c r="BG21" s="56"/>
      <c r="BH21" s="72"/>
    </row>
    <row r="22" spans="1:62" ht="20.100000000000001" customHeight="1" outlineLevel="1">
      <c r="A22" s="77" t="s">
        <v>43</v>
      </c>
      <c r="B22" s="77" t="s">
        <v>666</v>
      </c>
      <c r="C22" s="77" t="s">
        <v>1092</v>
      </c>
      <c r="D22" s="78" t="s">
        <v>46</v>
      </c>
      <c r="E22" s="78" t="str">
        <f t="shared" si="4"/>
        <v>000</v>
      </c>
      <c r="F22" s="3">
        <v>658211</v>
      </c>
      <c r="G22" s="102" t="s">
        <v>72</v>
      </c>
      <c r="H22" s="87"/>
      <c r="I22" s="13">
        <v>49011</v>
      </c>
      <c r="J22" s="13">
        <v>47862</v>
      </c>
      <c r="L22" s="56">
        <v>56252</v>
      </c>
      <c r="M22" s="56"/>
      <c r="N22" s="56">
        <v>60000</v>
      </c>
      <c r="O22" s="56"/>
      <c r="P22" s="56">
        <v>60000</v>
      </c>
      <c r="Q22" s="56"/>
      <c r="R22" s="56">
        <v>60000</v>
      </c>
      <c r="S22" s="56"/>
      <c r="T22" s="56">
        <v>0</v>
      </c>
      <c r="U22" s="56"/>
      <c r="V22" s="56">
        <v>60000</v>
      </c>
      <c r="W22" s="56"/>
      <c r="X22" s="56">
        <v>66049.850000000006</v>
      </c>
      <c r="Y22" s="56"/>
      <c r="Z22" s="56">
        <v>76900</v>
      </c>
      <c r="AA22" s="56"/>
      <c r="AB22" s="56">
        <v>0</v>
      </c>
      <c r="AC22" s="56"/>
      <c r="AD22" s="56"/>
      <c r="AE22" s="56"/>
      <c r="AF22" s="56">
        <f t="shared" si="0"/>
        <v>76900</v>
      </c>
      <c r="AG22" s="56">
        <v>0</v>
      </c>
      <c r="AH22" s="56">
        <v>0</v>
      </c>
      <c r="AI22" s="56"/>
      <c r="AJ22" s="56">
        <f t="shared" si="1"/>
        <v>76900</v>
      </c>
      <c r="AK22" s="85"/>
      <c r="AL22" s="56">
        <v>0</v>
      </c>
      <c r="AM22" s="56"/>
      <c r="AN22" s="88">
        <v>63907.82</v>
      </c>
      <c r="AO22" s="88">
        <v>0</v>
      </c>
      <c r="AP22" s="88">
        <v>47433.62</v>
      </c>
      <c r="AQ22" s="56"/>
      <c r="AR22" s="56">
        <v>0</v>
      </c>
      <c r="AS22" s="56"/>
      <c r="AT22" s="56">
        <v>0</v>
      </c>
      <c r="AU22" s="56"/>
      <c r="AV22" s="56">
        <f t="shared" si="2"/>
        <v>47433.62</v>
      </c>
      <c r="AW22" s="56"/>
      <c r="AX22" s="56">
        <v>0</v>
      </c>
      <c r="AY22" s="56"/>
      <c r="AZ22" s="88">
        <v>76900</v>
      </c>
      <c r="BA22" s="56">
        <v>76900</v>
      </c>
      <c r="BB22" s="214"/>
      <c r="BC22" s="56"/>
      <c r="BD22" s="84">
        <f t="shared" si="3"/>
        <v>-16474.199999999997</v>
      </c>
      <c r="BE22" s="56"/>
      <c r="BF22" s="56"/>
      <c r="BG22" s="56"/>
      <c r="BH22" s="72"/>
    </row>
    <row r="23" spans="1:62" ht="20.100000000000001" customHeight="1" outlineLevel="1">
      <c r="A23" s="77" t="s">
        <v>43</v>
      </c>
      <c r="B23" s="77" t="s">
        <v>666</v>
      </c>
      <c r="C23" s="77" t="s">
        <v>1092</v>
      </c>
      <c r="D23" s="78" t="s">
        <v>46</v>
      </c>
      <c r="E23" s="78" t="str">
        <f t="shared" si="4"/>
        <v>000</v>
      </c>
      <c r="F23" s="3">
        <v>658213</v>
      </c>
      <c r="G23" s="102" t="s">
        <v>671</v>
      </c>
      <c r="H23" s="87"/>
      <c r="I23" s="13">
        <v>1172</v>
      </c>
      <c r="J23" s="13">
        <v>1839</v>
      </c>
      <c r="L23" s="56">
        <v>796</v>
      </c>
      <c r="M23" s="56"/>
      <c r="N23" s="56">
        <v>3000</v>
      </c>
      <c r="O23" s="56"/>
      <c r="P23" s="56">
        <v>3000</v>
      </c>
      <c r="Q23" s="56"/>
      <c r="R23" s="56">
        <v>3000</v>
      </c>
      <c r="S23" s="56"/>
      <c r="T23" s="56">
        <v>0</v>
      </c>
      <c r="U23" s="56"/>
      <c r="V23" s="56">
        <v>3000</v>
      </c>
      <c r="W23" s="56"/>
      <c r="X23" s="56">
        <v>276.49</v>
      </c>
      <c r="Y23" s="56"/>
      <c r="Z23" s="56">
        <v>3000</v>
      </c>
      <c r="AA23" s="56"/>
      <c r="AB23" s="56">
        <v>0</v>
      </c>
      <c r="AC23" s="56"/>
      <c r="AD23" s="56"/>
      <c r="AE23" s="56"/>
      <c r="AF23" s="56">
        <f t="shared" si="0"/>
        <v>3000</v>
      </c>
      <c r="AG23" s="56">
        <v>0</v>
      </c>
      <c r="AH23" s="56">
        <v>0</v>
      </c>
      <c r="AI23" s="56"/>
      <c r="AJ23" s="56">
        <f t="shared" si="1"/>
        <v>3000</v>
      </c>
      <c r="AK23" s="85"/>
      <c r="AL23" s="56">
        <v>-3000</v>
      </c>
      <c r="AM23" s="56"/>
      <c r="AN23" s="88">
        <f>SUM(AI23:AM23)</f>
        <v>0</v>
      </c>
      <c r="AO23" s="88">
        <v>0</v>
      </c>
      <c r="AP23" s="88">
        <v>1645.18</v>
      </c>
      <c r="AQ23" s="56"/>
      <c r="AR23" s="56">
        <v>0</v>
      </c>
      <c r="AS23" s="56"/>
      <c r="AT23" s="56">
        <v>0</v>
      </c>
      <c r="AU23" s="56"/>
      <c r="AV23" s="56">
        <f t="shared" si="2"/>
        <v>1645.18</v>
      </c>
      <c r="AW23" s="56"/>
      <c r="AX23" s="56">
        <v>0</v>
      </c>
      <c r="AY23" s="56"/>
      <c r="AZ23" s="88">
        <v>3000</v>
      </c>
      <c r="BA23" s="56">
        <v>3000</v>
      </c>
      <c r="BB23" s="214"/>
      <c r="BC23" s="56"/>
      <c r="BD23" s="84">
        <f t="shared" si="3"/>
        <v>1645.18</v>
      </c>
      <c r="BE23" s="56"/>
      <c r="BF23" s="56"/>
      <c r="BG23" s="56"/>
      <c r="BH23" s="72"/>
    </row>
    <row r="24" spans="1:62" ht="20.100000000000001" customHeight="1" outlineLevel="1">
      <c r="A24" s="77" t="s">
        <v>43</v>
      </c>
      <c r="B24" s="77" t="s">
        <v>666</v>
      </c>
      <c r="C24" s="77" t="s">
        <v>1092</v>
      </c>
      <c r="D24" s="78" t="s">
        <v>46</v>
      </c>
      <c r="E24" s="78" t="str">
        <f t="shared" si="4"/>
        <v>000</v>
      </c>
      <c r="F24" s="3">
        <v>661001</v>
      </c>
      <c r="G24" s="102" t="s">
        <v>552</v>
      </c>
      <c r="H24" s="87"/>
      <c r="I24" s="13">
        <v>26721</v>
      </c>
      <c r="J24" s="13">
        <v>34584</v>
      </c>
      <c r="L24" s="56">
        <v>36239</v>
      </c>
      <c r="M24" s="56"/>
      <c r="N24" s="56">
        <v>33000</v>
      </c>
      <c r="O24" s="56"/>
      <c r="P24" s="56">
        <v>33587</v>
      </c>
      <c r="Q24" s="56"/>
      <c r="R24" s="56">
        <v>33587</v>
      </c>
      <c r="S24" s="56"/>
      <c r="T24" s="56">
        <v>0</v>
      </c>
      <c r="U24" s="56"/>
      <c r="V24" s="56">
        <v>33587</v>
      </c>
      <c r="W24" s="56"/>
      <c r="X24" s="56">
        <v>30482.62</v>
      </c>
      <c r="Y24" s="56"/>
      <c r="Z24" s="56">
        <v>43300</v>
      </c>
      <c r="AA24" s="56"/>
      <c r="AB24" s="56">
        <v>0</v>
      </c>
      <c r="AC24" s="56"/>
      <c r="AD24" s="56">
        <v>11193</v>
      </c>
      <c r="AE24" s="56"/>
      <c r="AF24" s="56">
        <f t="shared" si="0"/>
        <v>54493</v>
      </c>
      <c r="AG24" s="56">
        <v>0</v>
      </c>
      <c r="AH24" s="56">
        <v>0</v>
      </c>
      <c r="AI24" s="56"/>
      <c r="AJ24" s="56">
        <f t="shared" si="1"/>
        <v>54493</v>
      </c>
      <c r="AK24" s="85"/>
      <c r="AL24" s="56">
        <f>18146+22195</f>
        <v>40341</v>
      </c>
      <c r="AM24" s="56"/>
      <c r="AN24" s="88">
        <v>82522.33</v>
      </c>
      <c r="AO24" s="88">
        <v>0</v>
      </c>
      <c r="AP24" s="88">
        <v>81651.92</v>
      </c>
      <c r="AQ24" s="56"/>
      <c r="AR24" s="56">
        <v>0</v>
      </c>
      <c r="AS24" s="56"/>
      <c r="AT24" s="56">
        <v>5760.3</v>
      </c>
      <c r="AU24" s="56"/>
      <c r="AV24" s="56">
        <f t="shared" si="2"/>
        <v>87412.22</v>
      </c>
      <c r="AW24" s="56"/>
      <c r="AX24" s="56">
        <v>0</v>
      </c>
      <c r="AY24" s="56"/>
      <c r="AZ24" s="88">
        <v>65760</v>
      </c>
      <c r="BA24" s="56">
        <v>70469</v>
      </c>
      <c r="BB24" s="214"/>
      <c r="BC24" s="56"/>
      <c r="BD24" s="84">
        <f t="shared" si="3"/>
        <v>-870.41000000000349</v>
      </c>
      <c r="BE24" s="56"/>
      <c r="BF24" s="56"/>
      <c r="BG24" s="56"/>
      <c r="BH24" s="72"/>
    </row>
    <row r="25" spans="1:62" ht="20.100000000000001" customHeight="1" outlineLevel="1">
      <c r="A25" s="77" t="s">
        <v>43</v>
      </c>
      <c r="B25" s="77" t="s">
        <v>666</v>
      </c>
      <c r="C25" s="77" t="s">
        <v>1092</v>
      </c>
      <c r="D25" s="78" t="s">
        <v>46</v>
      </c>
      <c r="E25" s="78" t="str">
        <f t="shared" si="4"/>
        <v>000</v>
      </c>
      <c r="F25" s="3">
        <v>673001</v>
      </c>
      <c r="G25" s="102" t="s">
        <v>57</v>
      </c>
      <c r="H25" s="87"/>
      <c r="I25" s="13">
        <v>4659</v>
      </c>
      <c r="J25" s="13">
        <v>1148</v>
      </c>
      <c r="L25" s="56">
        <v>0</v>
      </c>
      <c r="M25" s="56"/>
      <c r="N25" s="56">
        <v>7700</v>
      </c>
      <c r="O25" s="56"/>
      <c r="P25" s="56">
        <v>7700</v>
      </c>
      <c r="Q25" s="56"/>
      <c r="R25" s="56">
        <v>7700</v>
      </c>
      <c r="S25" s="56"/>
      <c r="T25" s="56">
        <v>0</v>
      </c>
      <c r="U25" s="56"/>
      <c r="V25" s="56">
        <v>7700</v>
      </c>
      <c r="W25" s="56"/>
      <c r="X25" s="56">
        <v>4375</v>
      </c>
      <c r="Y25" s="56"/>
      <c r="Z25" s="56">
        <v>15000</v>
      </c>
      <c r="AA25" s="56"/>
      <c r="AB25" s="56">
        <v>0</v>
      </c>
      <c r="AC25" s="56"/>
      <c r="AD25" s="56">
        <v>3146</v>
      </c>
      <c r="AE25" s="56"/>
      <c r="AF25" s="56">
        <f t="shared" si="0"/>
        <v>18146</v>
      </c>
      <c r="AG25" s="56">
        <v>0</v>
      </c>
      <c r="AH25" s="56">
        <v>0</v>
      </c>
      <c r="AI25" s="56"/>
      <c r="AJ25" s="56">
        <f t="shared" si="1"/>
        <v>18146</v>
      </c>
      <c r="AK25" s="85"/>
      <c r="AL25" s="56">
        <v>-18146</v>
      </c>
      <c r="AM25" s="56"/>
      <c r="AN25" s="88">
        <f>SUM(AI25:AM25)</f>
        <v>0</v>
      </c>
      <c r="AO25" s="88">
        <v>0</v>
      </c>
      <c r="AP25" s="88">
        <v>0</v>
      </c>
      <c r="AQ25" s="56"/>
      <c r="AR25" s="56">
        <v>0</v>
      </c>
      <c r="AS25" s="56"/>
      <c r="AT25" s="56">
        <v>0</v>
      </c>
      <c r="AU25" s="56"/>
      <c r="AV25" s="56">
        <f t="shared" si="2"/>
        <v>0</v>
      </c>
      <c r="AW25" s="56"/>
      <c r="AX25" s="56">
        <v>0</v>
      </c>
      <c r="AY25" s="56"/>
      <c r="AZ25" s="88">
        <v>10000</v>
      </c>
      <c r="BA25" s="56">
        <v>10000</v>
      </c>
      <c r="BB25" s="214"/>
      <c r="BC25" s="56"/>
      <c r="BD25" s="84">
        <f t="shared" si="3"/>
        <v>0</v>
      </c>
      <c r="BE25" s="56"/>
      <c r="BF25" s="56"/>
      <c r="BG25" s="56"/>
      <c r="BH25" s="72"/>
    </row>
    <row r="26" spans="1:62" ht="20.100000000000001" customHeight="1" outlineLevel="1">
      <c r="A26" s="77" t="s">
        <v>43</v>
      </c>
      <c r="B26" s="77" t="s">
        <v>1093</v>
      </c>
      <c r="C26" s="77" t="s">
        <v>1092</v>
      </c>
      <c r="D26" s="78" t="s">
        <v>46</v>
      </c>
      <c r="E26" s="78" t="str">
        <f t="shared" si="4"/>
        <v>000</v>
      </c>
      <c r="F26" s="3">
        <v>611321</v>
      </c>
      <c r="G26" s="102" t="s">
        <v>674</v>
      </c>
      <c r="H26" s="87"/>
      <c r="I26" s="13"/>
      <c r="J26" s="13">
        <v>52740</v>
      </c>
      <c r="L26" s="56">
        <v>58104</v>
      </c>
      <c r="M26" s="56"/>
      <c r="N26" s="56">
        <v>59955</v>
      </c>
      <c r="O26" s="56"/>
      <c r="P26" s="56">
        <v>59955</v>
      </c>
      <c r="Q26" s="56"/>
      <c r="R26" s="56">
        <v>61655</v>
      </c>
      <c r="S26" s="56"/>
      <c r="T26" s="56">
        <v>0</v>
      </c>
      <c r="U26" s="56"/>
      <c r="V26" s="56">
        <v>61655</v>
      </c>
      <c r="W26" s="56"/>
      <c r="X26" s="56">
        <v>61654</v>
      </c>
      <c r="Y26" s="56"/>
      <c r="Z26" s="56">
        <v>61086</v>
      </c>
      <c r="AA26" s="56"/>
      <c r="AB26" s="56">
        <v>0</v>
      </c>
      <c r="AC26" s="56"/>
      <c r="AD26" s="56"/>
      <c r="AE26" s="56"/>
      <c r="AF26" s="56">
        <f t="shared" si="0"/>
        <v>61086</v>
      </c>
      <c r="AG26" s="56">
        <v>0</v>
      </c>
      <c r="AH26" s="56">
        <v>1250</v>
      </c>
      <c r="AI26" s="56"/>
      <c r="AJ26" s="56">
        <f t="shared" si="1"/>
        <v>62336</v>
      </c>
      <c r="AK26" s="85"/>
      <c r="AL26" s="56">
        <v>0</v>
      </c>
      <c r="AM26" s="56"/>
      <c r="AN26" s="88">
        <v>47063.78</v>
      </c>
      <c r="AO26" s="88">
        <v>0</v>
      </c>
      <c r="AP26" s="88">
        <v>30671</v>
      </c>
      <c r="AQ26" s="56"/>
      <c r="AR26" s="56">
        <v>0</v>
      </c>
      <c r="AS26" s="56"/>
      <c r="AT26" s="56">
        <v>0</v>
      </c>
      <c r="AU26" s="56"/>
      <c r="AV26" s="56">
        <f t="shared" si="2"/>
        <v>30671</v>
      </c>
      <c r="AW26" s="56"/>
      <c r="AX26" s="106">
        <v>45178</v>
      </c>
      <c r="AY26" s="56"/>
      <c r="AZ26" s="88">
        <v>117730</v>
      </c>
      <c r="BA26" s="56">
        <v>43598</v>
      </c>
      <c r="BB26" s="214"/>
      <c r="BC26" s="56"/>
      <c r="BD26" s="84">
        <f t="shared" si="3"/>
        <v>-16392.78</v>
      </c>
      <c r="BE26" s="56"/>
      <c r="BF26" s="56"/>
      <c r="BG26" s="56"/>
      <c r="BH26" s="72">
        <v>1</v>
      </c>
      <c r="BJ26">
        <v>1</v>
      </c>
    </row>
    <row r="27" spans="1:62" ht="20.100000000000001" customHeight="1" outlineLevel="1">
      <c r="A27" s="77" t="s">
        <v>43</v>
      </c>
      <c r="B27" s="77" t="s">
        <v>672</v>
      </c>
      <c r="C27" s="77" t="s">
        <v>1092</v>
      </c>
      <c r="D27" s="78" t="s">
        <v>46</v>
      </c>
      <c r="E27" s="78" t="str">
        <f>+D27</f>
        <v>000</v>
      </c>
      <c r="F27" s="3">
        <v>611322</v>
      </c>
      <c r="G27" s="102" t="s">
        <v>673</v>
      </c>
      <c r="H27" s="87"/>
      <c r="I27" s="13">
        <v>725476</v>
      </c>
      <c r="J27" s="13">
        <v>754803</v>
      </c>
      <c r="L27" s="56">
        <v>857099</v>
      </c>
      <c r="M27" s="56"/>
      <c r="N27" s="56">
        <v>893665</v>
      </c>
      <c r="O27" s="56"/>
      <c r="P27" s="56">
        <v>893665</v>
      </c>
      <c r="Q27" s="56"/>
      <c r="R27" s="56">
        <v>795183</v>
      </c>
      <c r="S27" s="56"/>
      <c r="T27" s="56">
        <v>0</v>
      </c>
      <c r="U27" s="56"/>
      <c r="V27" s="56">
        <v>795183</v>
      </c>
      <c r="W27" s="56"/>
      <c r="X27" s="56">
        <v>807598.07999999996</v>
      </c>
      <c r="Y27" s="56"/>
      <c r="Z27" s="56">
        <v>919081</v>
      </c>
      <c r="AA27" s="56"/>
      <c r="AB27" s="56">
        <v>0</v>
      </c>
      <c r="AC27" s="56"/>
      <c r="AD27" s="56"/>
      <c r="AE27" s="56"/>
      <c r="AF27" s="56">
        <f>SUM(Z27:AE27)</f>
        <v>919081</v>
      </c>
      <c r="AG27" s="56">
        <v>0</v>
      </c>
      <c r="AH27" s="56">
        <v>15000</v>
      </c>
      <c r="AI27" s="56"/>
      <c r="AJ27" s="56">
        <f>SUM(AE27:AI27)</f>
        <v>934081</v>
      </c>
      <c r="AK27" s="85"/>
      <c r="AL27" s="56">
        <v>0</v>
      </c>
      <c r="AM27" s="56"/>
      <c r="AN27" s="88">
        <v>523488.27</v>
      </c>
      <c r="AO27" s="88">
        <v>0</v>
      </c>
      <c r="AP27" s="88">
        <f>813644.26+116</f>
        <v>813760.26</v>
      </c>
      <c r="AQ27" s="56"/>
      <c r="AR27" s="56">
        <v>0</v>
      </c>
      <c r="AS27" s="56"/>
      <c r="AT27" s="56">
        <v>0</v>
      </c>
      <c r="AU27" s="56"/>
      <c r="AV27" s="56">
        <f>SUM(AP27:AU27)</f>
        <v>813760.26</v>
      </c>
      <c r="AW27" s="56"/>
      <c r="AX27" s="106">
        <v>-60425</v>
      </c>
      <c r="AY27" s="56"/>
      <c r="AZ27" s="88">
        <v>653575</v>
      </c>
      <c r="BA27" s="56">
        <v>653575</v>
      </c>
      <c r="BB27" s="214"/>
      <c r="BC27" s="56"/>
      <c r="BD27" s="84">
        <f>+AP27-AN27</f>
        <v>290271.99</v>
      </c>
      <c r="BE27" s="56"/>
      <c r="BF27" s="56"/>
      <c r="BG27" s="56"/>
      <c r="BH27" s="72">
        <v>1</v>
      </c>
      <c r="BJ27">
        <v>1</v>
      </c>
    </row>
    <row r="28" spans="1:62" ht="20.100000000000001" customHeight="1" outlineLevel="1">
      <c r="A28" s="77" t="s">
        <v>43</v>
      </c>
      <c r="B28" s="77" t="s">
        <v>1094</v>
      </c>
      <c r="C28" s="77" t="s">
        <v>1092</v>
      </c>
      <c r="D28" s="78" t="s">
        <v>46</v>
      </c>
      <c r="E28" s="78" t="str">
        <f t="shared" si="4"/>
        <v>000</v>
      </c>
      <c r="F28" s="3">
        <v>611321</v>
      </c>
      <c r="G28" s="102" t="s">
        <v>675</v>
      </c>
      <c r="H28" s="87"/>
      <c r="I28" s="13">
        <v>804545</v>
      </c>
      <c r="J28" s="13">
        <v>761398</v>
      </c>
      <c r="L28" s="56">
        <v>803655</v>
      </c>
      <c r="M28" s="56"/>
      <c r="N28" s="56">
        <v>822190</v>
      </c>
      <c r="O28" s="56"/>
      <c r="P28" s="56">
        <v>822190</v>
      </c>
      <c r="Q28" s="56"/>
      <c r="R28" s="56">
        <v>974917</v>
      </c>
      <c r="S28" s="56"/>
      <c r="T28" s="56">
        <v>0</v>
      </c>
      <c r="U28" s="56"/>
      <c r="V28" s="56">
        <v>974917</v>
      </c>
      <c r="W28" s="56"/>
      <c r="X28" s="56">
        <v>944476.37</v>
      </c>
      <c r="Y28" s="56"/>
      <c r="Z28" s="56">
        <v>942190</v>
      </c>
      <c r="AA28" s="56"/>
      <c r="AB28" s="56">
        <v>0</v>
      </c>
      <c r="AC28" s="56"/>
      <c r="AD28" s="56"/>
      <c r="AE28" s="56"/>
      <c r="AF28" s="56">
        <f t="shared" si="0"/>
        <v>942190</v>
      </c>
      <c r="AG28" s="104">
        <v>47000</v>
      </c>
      <c r="AH28" s="56">
        <v>22500</v>
      </c>
      <c r="AI28" s="56"/>
      <c r="AJ28" s="56">
        <f t="shared" si="1"/>
        <v>1011690</v>
      </c>
      <c r="AK28" s="85"/>
      <c r="AL28" s="56">
        <v>0</v>
      </c>
      <c r="AM28" s="56"/>
      <c r="AN28" s="88">
        <v>794627.2</v>
      </c>
      <c r="AO28" s="88">
        <v>0</v>
      </c>
      <c r="AP28" s="88">
        <f>1378.72+32565.4+787519.34</f>
        <v>821463.46</v>
      </c>
      <c r="AQ28" s="56"/>
      <c r="AR28" s="56">
        <v>0</v>
      </c>
      <c r="AS28" s="56"/>
      <c r="AT28" s="56">
        <v>0</v>
      </c>
      <c r="AU28" s="56"/>
      <c r="AV28" s="56">
        <f t="shared" si="2"/>
        <v>821463.46</v>
      </c>
      <c r="AW28" s="56"/>
      <c r="AX28" s="106">
        <v>-184650</v>
      </c>
      <c r="AY28" s="56"/>
      <c r="AZ28" s="88">
        <v>693700</v>
      </c>
      <c r="BA28" s="56">
        <v>740000</v>
      </c>
      <c r="BB28" s="214"/>
      <c r="BC28" s="56"/>
      <c r="BD28" s="84">
        <f t="shared" si="3"/>
        <v>26836.260000000009</v>
      </c>
      <c r="BE28" s="56"/>
      <c r="BF28" s="56"/>
      <c r="BG28" s="56"/>
      <c r="BH28" s="72">
        <v>1</v>
      </c>
      <c r="BJ28">
        <v>1</v>
      </c>
    </row>
    <row r="29" spans="1:62" ht="20.100000000000001" customHeight="1" outlineLevel="1">
      <c r="A29" s="77" t="s">
        <v>43</v>
      </c>
      <c r="B29" s="165" t="s">
        <v>613</v>
      </c>
      <c r="C29" s="77" t="s">
        <v>1092</v>
      </c>
      <c r="D29" s="78" t="s">
        <v>46</v>
      </c>
      <c r="E29" s="78" t="str">
        <f t="shared" si="4"/>
        <v>000</v>
      </c>
      <c r="F29" s="3">
        <v>611313</v>
      </c>
      <c r="G29" s="102" t="s">
        <v>676</v>
      </c>
      <c r="H29" s="87"/>
      <c r="I29" s="13">
        <v>106967</v>
      </c>
      <c r="J29" s="13">
        <v>106864</v>
      </c>
      <c r="L29" s="56">
        <v>117841</v>
      </c>
      <c r="M29" s="56"/>
      <c r="N29" s="56">
        <v>122364</v>
      </c>
      <c r="O29" s="56"/>
      <c r="P29" s="56">
        <v>122364</v>
      </c>
      <c r="Q29" s="56"/>
      <c r="R29" s="56">
        <v>128431</v>
      </c>
      <c r="S29" s="56"/>
      <c r="T29" s="56">
        <v>0</v>
      </c>
      <c r="U29" s="56"/>
      <c r="V29" s="56">
        <v>128431</v>
      </c>
      <c r="W29" s="56"/>
      <c r="X29" s="56">
        <v>131763.9</v>
      </c>
      <c r="Y29" s="56"/>
      <c r="Z29" s="56">
        <v>130794</v>
      </c>
      <c r="AA29" s="56"/>
      <c r="AB29" s="56">
        <v>0</v>
      </c>
      <c r="AC29" s="56"/>
      <c r="AD29" s="56"/>
      <c r="AE29" s="56"/>
      <c r="AF29" s="56">
        <f t="shared" si="0"/>
        <v>130794</v>
      </c>
      <c r="AG29" s="104">
        <v>2500</v>
      </c>
      <c r="AH29" s="56">
        <v>0</v>
      </c>
      <c r="AI29" s="56"/>
      <c r="AJ29" s="56">
        <f t="shared" si="1"/>
        <v>133294</v>
      </c>
      <c r="AK29" s="85"/>
      <c r="AL29" s="56">
        <v>0</v>
      </c>
      <c r="AM29" s="56"/>
      <c r="AN29" s="88">
        <v>142844.74</v>
      </c>
      <c r="AO29" s="88">
        <v>0</v>
      </c>
      <c r="AP29" s="88">
        <v>134043.91</v>
      </c>
      <c r="AQ29" s="56"/>
      <c r="AR29" s="56">
        <v>0</v>
      </c>
      <c r="AS29" s="56"/>
      <c r="AT29" s="56">
        <v>0</v>
      </c>
      <c r="AU29" s="56"/>
      <c r="AV29" s="56">
        <f t="shared" si="2"/>
        <v>134043.91</v>
      </c>
      <c r="AW29" s="56"/>
      <c r="AX29" s="106">
        <v>-45337</v>
      </c>
      <c r="AY29" s="56"/>
      <c r="AZ29" s="88">
        <v>195493</v>
      </c>
      <c r="BA29" s="56">
        <v>132672</v>
      </c>
      <c r="BB29" s="214"/>
      <c r="BC29" s="56"/>
      <c r="BD29" s="84">
        <f t="shared" si="3"/>
        <v>-8800.8299999999872</v>
      </c>
      <c r="BE29" s="56"/>
      <c r="BF29" s="56"/>
      <c r="BG29" s="56"/>
      <c r="BH29" s="72">
        <v>1</v>
      </c>
      <c r="BJ29">
        <v>1</v>
      </c>
    </row>
    <row r="30" spans="1:62" ht="20.100000000000001" customHeight="1" outlineLevel="1">
      <c r="A30" s="77" t="s">
        <v>43</v>
      </c>
      <c r="B30" s="77" t="s">
        <v>137</v>
      </c>
      <c r="C30" s="77" t="s">
        <v>1092</v>
      </c>
      <c r="D30" s="78" t="s">
        <v>46</v>
      </c>
      <c r="E30" s="78" t="str">
        <f t="shared" si="4"/>
        <v>000</v>
      </c>
      <c r="F30" s="3">
        <v>644113</v>
      </c>
      <c r="G30" s="102" t="s">
        <v>677</v>
      </c>
      <c r="H30" s="87"/>
      <c r="I30" s="13">
        <v>0</v>
      </c>
      <c r="J30" s="13">
        <v>55</v>
      </c>
      <c r="L30" s="56">
        <v>0</v>
      </c>
      <c r="M30" s="56"/>
      <c r="N30" s="56">
        <v>0</v>
      </c>
      <c r="O30" s="56"/>
      <c r="P30" s="56">
        <v>0</v>
      </c>
      <c r="Q30" s="56"/>
      <c r="R30" s="56">
        <v>0</v>
      </c>
      <c r="S30" s="56"/>
      <c r="T30" s="56">
        <v>0</v>
      </c>
      <c r="U30" s="56"/>
      <c r="V30" s="56">
        <v>0</v>
      </c>
      <c r="W30" s="56"/>
      <c r="X30" s="56">
        <v>0</v>
      </c>
      <c r="Y30" s="56"/>
      <c r="Z30" s="56"/>
      <c r="AA30" s="56"/>
      <c r="AB30" s="56">
        <v>0</v>
      </c>
      <c r="AC30" s="56"/>
      <c r="AD30" s="56"/>
      <c r="AE30" s="56"/>
      <c r="AF30" s="56">
        <f t="shared" si="0"/>
        <v>0</v>
      </c>
      <c r="AG30" s="56">
        <v>0</v>
      </c>
      <c r="AH30" s="56">
        <v>0</v>
      </c>
      <c r="AI30" s="56"/>
      <c r="AJ30" s="56">
        <f t="shared" si="1"/>
        <v>0</v>
      </c>
      <c r="AK30" s="85"/>
      <c r="AL30" s="56">
        <v>0</v>
      </c>
      <c r="AM30" s="56"/>
      <c r="AN30" s="88">
        <f>SUM(AI30:AM30)</f>
        <v>0</v>
      </c>
      <c r="AO30" s="88">
        <v>0</v>
      </c>
      <c r="AP30" s="88">
        <v>0</v>
      </c>
      <c r="AQ30" s="56"/>
      <c r="AR30" s="56">
        <v>0</v>
      </c>
      <c r="AS30" s="56"/>
      <c r="AT30" s="56"/>
      <c r="AU30" s="56"/>
      <c r="AV30" s="56">
        <f t="shared" si="2"/>
        <v>0</v>
      </c>
      <c r="AW30" s="56"/>
      <c r="AX30" s="56">
        <v>0</v>
      </c>
      <c r="AY30" s="56"/>
      <c r="AZ30" s="88">
        <v>0</v>
      </c>
      <c r="BA30" s="56">
        <v>0</v>
      </c>
      <c r="BB30" s="214"/>
      <c r="BC30" s="56"/>
      <c r="BD30" s="84">
        <f t="shared" si="3"/>
        <v>0</v>
      </c>
      <c r="BE30" s="56"/>
      <c r="BF30" s="56"/>
      <c r="BG30" s="56"/>
      <c r="BH30" s="72"/>
    </row>
    <row r="31" spans="1:62" ht="20.100000000000001" customHeight="1">
      <c r="B31" s="77"/>
      <c r="C31" s="77"/>
      <c r="D31" s="90"/>
      <c r="E31" s="90"/>
      <c r="F31" s="3"/>
      <c r="G31" s="110" t="s">
        <v>678</v>
      </c>
      <c r="H31" s="81"/>
      <c r="I31" s="92">
        <v>2428496</v>
      </c>
      <c r="J31" s="93">
        <v>2441789</v>
      </c>
      <c r="L31" s="125">
        <v>2646490</v>
      </c>
      <c r="M31" s="126"/>
      <c r="N31" s="125">
        <v>2799246</v>
      </c>
      <c r="O31" s="126"/>
      <c r="P31" s="125">
        <v>2806599</v>
      </c>
      <c r="Q31" s="126"/>
      <c r="R31" s="125">
        <v>2879751</v>
      </c>
      <c r="S31" s="95"/>
      <c r="T31" s="94">
        <v>0</v>
      </c>
      <c r="U31" s="126"/>
      <c r="V31" s="125">
        <v>2879751</v>
      </c>
      <c r="W31" s="126"/>
      <c r="X31" s="125">
        <f>SUBTOTAL(9,X11:X30)</f>
        <v>2821688.8899999997</v>
      </c>
      <c r="Y31" s="126"/>
      <c r="Z31" s="125">
        <f>SUBTOTAL(9,Z11:Z30)</f>
        <v>3052499</v>
      </c>
      <c r="AA31" s="126"/>
      <c r="AB31" s="125">
        <f>SUBTOTAL(9,AB11:AB30)</f>
        <v>0</v>
      </c>
      <c r="AC31" s="126"/>
      <c r="AD31" s="125">
        <f>SUBTOTAL(9,AD11:AD30)</f>
        <v>14339</v>
      </c>
      <c r="AE31" s="126"/>
      <c r="AF31" s="125">
        <f>SUBTOTAL(9,AF11:AF30)</f>
        <v>3066838</v>
      </c>
      <c r="AG31" s="125">
        <f>SUBTOTAL(9,AG11:AG30)</f>
        <v>-21808</v>
      </c>
      <c r="AH31" s="125">
        <f>SUBTOTAL(9,AH11:AH30)</f>
        <v>61500</v>
      </c>
      <c r="AI31" s="126"/>
      <c r="AJ31" s="125">
        <f>SUBTOTAL(9,AJ11:AJ30)</f>
        <v>3106530</v>
      </c>
      <c r="AK31" s="96"/>
      <c r="AL31" s="125">
        <f>SUBTOTAL(9,AL11:AL30)</f>
        <v>0</v>
      </c>
      <c r="AM31" s="126"/>
      <c r="AN31" s="127">
        <f>SUBTOTAL(9,AN11:AN30)</f>
        <v>2444573.3099999996</v>
      </c>
      <c r="AO31" s="127">
        <f>SUBTOTAL(9,AO11:AO30)</f>
        <v>0</v>
      </c>
      <c r="AP31" s="127">
        <f>SUBTOTAL(9,AP11:AP30)</f>
        <v>2700389.3800000004</v>
      </c>
      <c r="AQ31" s="126"/>
      <c r="AR31" s="125">
        <f>SUBTOTAL(9,AR11:AR30)</f>
        <v>0</v>
      </c>
      <c r="AS31" s="126"/>
      <c r="AT31" s="125">
        <f>SUBTOTAL(9,AT11:AT30)</f>
        <v>5760.3</v>
      </c>
      <c r="AU31" s="126"/>
      <c r="AV31" s="125">
        <f>SUBTOTAL(9,AV11:AV30)</f>
        <v>2706149.68</v>
      </c>
      <c r="AW31" s="126"/>
      <c r="AX31" s="125">
        <f>SUBTOTAL(9,AX11:AX30)</f>
        <v>-300500</v>
      </c>
      <c r="AY31" s="126"/>
      <c r="AZ31" s="127">
        <f>SUBTOTAL(9,AZ11:AZ30)</f>
        <v>2554356</v>
      </c>
      <c r="BA31" s="125">
        <f>SUBTOTAL(9,BA11:BA30)</f>
        <v>2466493</v>
      </c>
      <c r="BB31" s="214"/>
      <c r="BC31" s="56"/>
      <c r="BD31" s="98">
        <f t="shared" si="3"/>
        <v>255816.07000000076</v>
      </c>
      <c r="BE31" s="126"/>
      <c r="BF31" s="126"/>
      <c r="BG31" s="126"/>
    </row>
    <row r="33" spans="1:256">
      <c r="A33" s="215" t="s">
        <v>1134</v>
      </c>
      <c r="B33" s="215"/>
      <c r="C33" s="215"/>
      <c r="D33" s="215"/>
      <c r="E33" s="215"/>
      <c r="F33" s="215"/>
      <c r="G33" s="215"/>
      <c r="H33" s="215"/>
      <c r="I33" s="215"/>
      <c r="J33" s="215"/>
      <c r="K33" s="215"/>
      <c r="L33" s="215"/>
      <c r="M33" s="215"/>
      <c r="N33" s="215"/>
      <c r="O33" s="215"/>
      <c r="P33" s="215"/>
      <c r="Q33" s="215"/>
      <c r="R33" s="215"/>
      <c r="S33" s="215"/>
      <c r="T33" s="215"/>
      <c r="U33" s="215"/>
      <c r="V33" s="215"/>
      <c r="W33" s="215"/>
      <c r="X33" s="215"/>
      <c r="Y33" s="215"/>
      <c r="Z33" s="215"/>
      <c r="AA33" s="215"/>
      <c r="AB33" s="215"/>
      <c r="AC33" s="215"/>
      <c r="AD33" s="215"/>
      <c r="AE33" s="215"/>
      <c r="AF33" s="215"/>
      <c r="AG33" s="215"/>
      <c r="AH33" s="215"/>
      <c r="AI33" s="215"/>
      <c r="AJ33" s="215"/>
      <c r="AK33" s="215"/>
      <c r="AL33" s="215"/>
      <c r="AM33" s="215"/>
      <c r="AN33" s="215"/>
      <c r="AO33" s="215"/>
      <c r="AP33" s="215"/>
      <c r="AQ33" s="215"/>
      <c r="AR33" s="215"/>
      <c r="AS33" s="215"/>
      <c r="AT33" s="215"/>
      <c r="AU33" s="215"/>
      <c r="AV33" s="215"/>
      <c r="AW33" s="215"/>
      <c r="AX33" s="215"/>
      <c r="AY33" s="215"/>
      <c r="AZ33" s="215"/>
      <c r="BA33" s="215"/>
      <c r="BB33" s="215"/>
      <c r="BC33" s="215"/>
      <c r="BD33" s="215"/>
      <c r="BE33" s="215"/>
      <c r="BF33" s="215"/>
      <c r="BG33" s="215"/>
      <c r="BH33" s="215"/>
      <c r="BI33" s="215"/>
      <c r="BJ33" s="215"/>
      <c r="BK33" s="215"/>
      <c r="BL33" s="215"/>
      <c r="BM33" s="215"/>
      <c r="BN33" s="215"/>
      <c r="BO33" s="215"/>
      <c r="BP33" s="215"/>
      <c r="BQ33" s="215"/>
      <c r="BR33" s="215"/>
      <c r="BS33" s="215"/>
      <c r="BT33" s="215"/>
      <c r="BU33" s="215"/>
      <c r="BV33" s="215"/>
      <c r="BW33" s="215"/>
      <c r="BX33" s="215"/>
      <c r="BY33" s="215"/>
      <c r="BZ33" s="215"/>
      <c r="CA33" s="215"/>
      <c r="CB33" s="215"/>
      <c r="CC33" s="215"/>
      <c r="CD33" s="215"/>
      <c r="CE33" s="215"/>
      <c r="CF33" s="215"/>
      <c r="CG33" s="215"/>
      <c r="CH33" s="215"/>
      <c r="CI33" s="215"/>
      <c r="CJ33" s="215"/>
      <c r="CK33" s="215"/>
      <c r="CL33" s="215"/>
      <c r="CM33" s="215"/>
      <c r="CN33" s="215"/>
      <c r="CO33" s="215"/>
      <c r="CP33" s="215"/>
      <c r="CQ33" s="215"/>
      <c r="CR33" s="215"/>
      <c r="CS33" s="215"/>
      <c r="CT33" s="215"/>
      <c r="CU33" s="215"/>
      <c r="CV33" s="215"/>
      <c r="CW33" s="215"/>
      <c r="CX33" s="215"/>
      <c r="CY33" s="215"/>
      <c r="CZ33" s="215"/>
      <c r="DA33" s="215"/>
      <c r="DB33" s="215"/>
      <c r="DC33" s="215"/>
      <c r="DD33" s="215"/>
      <c r="DE33" s="215"/>
      <c r="DF33" s="215"/>
      <c r="DG33" s="215"/>
      <c r="DH33" s="215"/>
      <c r="DI33" s="215"/>
      <c r="DJ33" s="215"/>
      <c r="DK33" s="215"/>
      <c r="DL33" s="215"/>
      <c r="DM33" s="215"/>
      <c r="DN33" s="215"/>
      <c r="DO33" s="215"/>
      <c r="DP33" s="215"/>
      <c r="DQ33" s="215"/>
      <c r="DR33" s="215"/>
      <c r="DS33" s="215"/>
      <c r="DT33" s="215"/>
      <c r="DU33" s="215"/>
      <c r="DV33" s="215"/>
      <c r="DW33" s="215"/>
      <c r="DX33" s="215"/>
      <c r="DY33" s="215"/>
      <c r="DZ33" s="215"/>
      <c r="EA33" s="215"/>
      <c r="EB33" s="215"/>
      <c r="EC33" s="215"/>
      <c r="ED33" s="215"/>
      <c r="EE33" s="215"/>
      <c r="EF33" s="215"/>
      <c r="EG33" s="215"/>
      <c r="EH33" s="215"/>
      <c r="EI33" s="215"/>
      <c r="EJ33" s="215"/>
      <c r="EK33" s="215"/>
      <c r="EL33" s="215"/>
      <c r="EM33" s="215"/>
      <c r="EN33" s="215"/>
      <c r="EO33" s="215"/>
      <c r="EP33" s="215"/>
      <c r="EQ33" s="215"/>
      <c r="ER33" s="215"/>
      <c r="ES33" s="215"/>
      <c r="ET33" s="215"/>
      <c r="EU33" s="215"/>
      <c r="EV33" s="215"/>
      <c r="EW33" s="215"/>
      <c r="EX33" s="215"/>
      <c r="EY33" s="215"/>
      <c r="EZ33" s="215"/>
      <c r="FA33" s="215"/>
      <c r="FB33" s="215"/>
      <c r="FC33" s="215"/>
      <c r="FD33" s="215"/>
      <c r="FE33" s="215"/>
      <c r="FF33" s="215"/>
      <c r="FG33" s="215"/>
      <c r="FH33" s="215"/>
      <c r="FI33" s="215"/>
      <c r="FJ33" s="215"/>
      <c r="FK33" s="215"/>
      <c r="FL33" s="215"/>
      <c r="FM33" s="215"/>
      <c r="FN33" s="215"/>
      <c r="FO33" s="215"/>
      <c r="FP33" s="215"/>
      <c r="FQ33" s="215"/>
      <c r="FR33" s="215"/>
      <c r="FS33" s="215"/>
      <c r="FT33" s="215"/>
      <c r="FU33" s="215"/>
      <c r="FV33" s="215"/>
      <c r="FW33" s="215"/>
      <c r="FX33" s="215"/>
      <c r="FY33" s="215"/>
      <c r="FZ33" s="215"/>
      <c r="GA33" s="215"/>
      <c r="GB33" s="215"/>
      <c r="GC33" s="215"/>
      <c r="GD33" s="215"/>
      <c r="GE33" s="215"/>
      <c r="GF33" s="215"/>
      <c r="GG33" s="215"/>
      <c r="GH33" s="215"/>
      <c r="GI33" s="215"/>
      <c r="GJ33" s="215"/>
      <c r="GK33" s="215"/>
      <c r="GL33" s="215"/>
      <c r="GM33" s="215"/>
      <c r="GN33" s="215"/>
      <c r="GO33" s="215"/>
      <c r="GP33" s="215"/>
      <c r="GQ33" s="215"/>
      <c r="GR33" s="215"/>
      <c r="GS33" s="215"/>
      <c r="GT33" s="215"/>
      <c r="GU33" s="215"/>
      <c r="GV33" s="215"/>
      <c r="GW33" s="215"/>
      <c r="GX33" s="215"/>
      <c r="GY33" s="215"/>
      <c r="GZ33" s="215"/>
      <c r="HA33" s="215"/>
      <c r="HB33" s="215"/>
      <c r="HC33" s="215"/>
      <c r="HD33" s="215"/>
      <c r="HE33" s="215"/>
      <c r="HF33" s="215"/>
      <c r="HG33" s="215"/>
      <c r="HH33" s="215"/>
      <c r="HI33" s="215"/>
      <c r="HJ33" s="215"/>
      <c r="HK33" s="215"/>
      <c r="HL33" s="215"/>
      <c r="HM33" s="215"/>
      <c r="HN33" s="215"/>
      <c r="HO33" s="215"/>
      <c r="HP33" s="215"/>
      <c r="HQ33" s="215"/>
      <c r="HR33" s="215"/>
      <c r="HS33" s="215"/>
      <c r="HT33" s="215"/>
      <c r="HU33" s="215"/>
      <c r="HV33" s="215"/>
      <c r="HW33" s="215"/>
      <c r="HX33" s="215"/>
      <c r="HY33" s="215"/>
      <c r="HZ33" s="215"/>
      <c r="IA33" s="215"/>
      <c r="IB33" s="215"/>
      <c r="IC33" s="215"/>
      <c r="ID33" s="215"/>
      <c r="IE33" s="215"/>
      <c r="IF33" s="215"/>
      <c r="IG33" s="215"/>
      <c r="IH33" s="215"/>
      <c r="II33" s="215"/>
      <c r="IJ33" s="215"/>
      <c r="IK33" s="215"/>
      <c r="IL33" s="215"/>
      <c r="IM33" s="215"/>
      <c r="IN33" s="215"/>
      <c r="IO33" s="215"/>
      <c r="IP33" s="215"/>
      <c r="IQ33" s="215"/>
      <c r="IR33" s="215"/>
      <c r="IS33" s="215"/>
      <c r="IT33" s="215"/>
      <c r="IU33" s="215"/>
      <c r="IV33" s="215"/>
    </row>
    <row r="34" spans="1:256">
      <c r="A34" s="39" t="s">
        <v>1126</v>
      </c>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c r="AT34" s="39"/>
      <c r="AU34" s="39"/>
      <c r="AV34" s="39"/>
      <c r="AW34" s="39"/>
      <c r="AX34" s="39"/>
      <c r="AY34" s="39"/>
      <c r="AZ34" s="39"/>
      <c r="BA34" s="39"/>
      <c r="BB34" s="39"/>
      <c r="BC34" s="39"/>
      <c r="BD34" s="39"/>
      <c r="BE34" s="39"/>
      <c r="BF34" s="39"/>
      <c r="BG34" s="39"/>
      <c r="BH34" s="39"/>
      <c r="BI34" s="39"/>
      <c r="BJ34" s="39"/>
      <c r="BK34" s="39"/>
      <c r="BL34" s="39"/>
      <c r="BM34" s="39"/>
      <c r="BN34" s="39"/>
      <c r="BO34" s="39"/>
      <c r="BP34" s="39"/>
      <c r="BQ34" s="39"/>
      <c r="BR34" s="39"/>
      <c r="BS34" s="39"/>
      <c r="BT34" s="39"/>
      <c r="BU34" s="39"/>
      <c r="BV34" s="39"/>
      <c r="BW34" s="39"/>
      <c r="BX34" s="39"/>
      <c r="BY34" s="39"/>
      <c r="BZ34" s="39"/>
      <c r="CA34" s="39"/>
      <c r="CB34" s="39"/>
      <c r="CC34" s="39"/>
      <c r="CD34" s="39"/>
      <c r="CE34" s="39"/>
      <c r="CF34" s="39"/>
      <c r="CG34" s="39"/>
      <c r="CH34" s="39"/>
      <c r="CI34" s="39"/>
      <c r="CJ34" s="39"/>
      <c r="CK34" s="39"/>
      <c r="CL34" s="39"/>
      <c r="CM34" s="39"/>
      <c r="CN34" s="39"/>
      <c r="CO34" s="39"/>
      <c r="CP34" s="39"/>
      <c r="CQ34" s="39"/>
      <c r="CR34" s="39"/>
      <c r="CS34" s="39"/>
      <c r="CT34" s="39"/>
      <c r="CU34" s="39"/>
      <c r="CV34" s="39"/>
      <c r="CW34" s="39"/>
      <c r="CX34" s="39"/>
      <c r="CY34" s="39"/>
      <c r="CZ34" s="39"/>
      <c r="DA34" s="39"/>
      <c r="DB34" s="39"/>
      <c r="DC34" s="39"/>
      <c r="DD34" s="39"/>
      <c r="DE34" s="39"/>
      <c r="DF34" s="39"/>
      <c r="DG34" s="39"/>
      <c r="DH34" s="39"/>
      <c r="DI34" s="39"/>
      <c r="DJ34" s="39"/>
      <c r="DK34" s="39"/>
      <c r="DL34" s="39"/>
      <c r="DM34" s="39"/>
      <c r="DN34" s="39"/>
      <c r="DO34" s="39"/>
      <c r="DP34" s="39"/>
      <c r="DQ34" s="39"/>
      <c r="DR34" s="39"/>
      <c r="DS34" s="39"/>
      <c r="DT34" s="39"/>
      <c r="DU34" s="39"/>
      <c r="DV34" s="39"/>
      <c r="DW34" s="39"/>
      <c r="DX34" s="39"/>
      <c r="DY34" s="39"/>
      <c r="DZ34" s="39"/>
      <c r="EA34" s="39"/>
      <c r="EB34" s="39"/>
      <c r="EC34" s="39"/>
      <c r="ED34" s="39"/>
      <c r="EE34" s="39"/>
      <c r="EF34" s="39"/>
      <c r="EG34" s="39"/>
      <c r="EH34" s="39"/>
      <c r="EI34" s="39"/>
      <c r="EJ34" s="39"/>
      <c r="EK34" s="39"/>
      <c r="EL34" s="39"/>
      <c r="EM34" s="39"/>
      <c r="EN34" s="39"/>
      <c r="EO34" s="39"/>
      <c r="EP34" s="39"/>
      <c r="EQ34" s="39"/>
      <c r="ER34" s="39"/>
      <c r="ES34" s="39"/>
      <c r="ET34" s="39"/>
      <c r="EU34" s="39"/>
      <c r="EV34" s="39"/>
      <c r="EW34" s="39"/>
      <c r="EX34" s="39"/>
      <c r="EY34" s="39"/>
      <c r="EZ34" s="39"/>
      <c r="FA34" s="39"/>
      <c r="FB34" s="39"/>
      <c r="FC34" s="39"/>
      <c r="FD34" s="39"/>
      <c r="FE34" s="39"/>
      <c r="FF34" s="39"/>
      <c r="FG34" s="39"/>
      <c r="FH34" s="39"/>
      <c r="FI34" s="39"/>
      <c r="FJ34" s="39"/>
      <c r="FK34" s="39"/>
      <c r="FL34" s="39"/>
      <c r="FM34" s="39"/>
      <c r="FN34" s="39"/>
      <c r="FO34" s="39"/>
      <c r="FP34" s="39"/>
      <c r="FQ34" s="39"/>
      <c r="FR34" s="39"/>
      <c r="FS34" s="39"/>
      <c r="FT34" s="39"/>
      <c r="FU34" s="39"/>
      <c r="FV34" s="39"/>
      <c r="FW34" s="39"/>
      <c r="FX34" s="39"/>
      <c r="FY34" s="39"/>
      <c r="FZ34" s="39"/>
      <c r="GA34" s="39"/>
      <c r="GB34" s="39"/>
      <c r="GC34" s="39"/>
      <c r="GD34" s="39"/>
      <c r="GE34" s="39"/>
      <c r="GF34" s="39"/>
      <c r="GG34" s="39"/>
      <c r="GH34" s="39"/>
      <c r="GI34" s="39"/>
      <c r="GJ34" s="39"/>
      <c r="GK34" s="39"/>
      <c r="GL34" s="39"/>
      <c r="GM34" s="39"/>
      <c r="GN34" s="39"/>
      <c r="GO34" s="39"/>
      <c r="GP34" s="39"/>
      <c r="GQ34" s="39"/>
      <c r="GR34" s="39"/>
      <c r="GS34" s="39"/>
      <c r="GT34" s="39"/>
      <c r="GU34" s="39"/>
      <c r="GV34" s="39"/>
      <c r="GW34" s="39"/>
      <c r="GX34" s="39"/>
      <c r="GY34" s="39"/>
      <c r="GZ34" s="39"/>
      <c r="HA34" s="39"/>
      <c r="HB34" s="39"/>
      <c r="HC34" s="39"/>
      <c r="HD34" s="39"/>
      <c r="HE34" s="39"/>
      <c r="HF34" s="39"/>
      <c r="HG34" s="39"/>
      <c r="HH34" s="39"/>
      <c r="HI34" s="39"/>
      <c r="HJ34" s="39"/>
      <c r="HK34" s="39"/>
      <c r="HL34" s="39"/>
      <c r="HM34" s="39"/>
      <c r="HN34" s="39"/>
      <c r="HO34" s="39"/>
      <c r="HP34" s="39"/>
      <c r="HQ34" s="39"/>
      <c r="HR34" s="39"/>
      <c r="HS34" s="39"/>
      <c r="HT34" s="39"/>
      <c r="HU34" s="39"/>
      <c r="HV34" s="39"/>
      <c r="HW34" s="39"/>
      <c r="HX34" s="39"/>
      <c r="HY34" s="39"/>
      <c r="HZ34" s="39"/>
      <c r="IA34" s="39"/>
      <c r="IB34" s="39"/>
      <c r="IC34" s="39"/>
      <c r="ID34" s="39"/>
      <c r="IE34" s="39"/>
      <c r="IF34" s="39"/>
      <c r="IG34" s="39"/>
      <c r="IH34" s="39"/>
      <c r="II34" s="39"/>
      <c r="IJ34" s="39"/>
      <c r="IK34" s="39"/>
      <c r="IL34" s="39"/>
      <c r="IM34" s="39"/>
      <c r="IN34" s="39"/>
      <c r="IO34" s="39"/>
      <c r="IP34" s="39"/>
      <c r="IQ34" s="39"/>
      <c r="IR34" s="39"/>
      <c r="IS34" s="39"/>
      <c r="IT34" s="39"/>
      <c r="IU34" s="39"/>
      <c r="IV34" s="39"/>
    </row>
  </sheetData>
  <autoFilter ref="A9:BH31"/>
  <mergeCells count="8">
    <mergeCell ref="A8:E8"/>
    <mergeCell ref="AG2:AH2"/>
    <mergeCell ref="AG3:AH3"/>
    <mergeCell ref="AG4:AH4"/>
    <mergeCell ref="AB4:AD4"/>
    <mergeCell ref="A6:F6"/>
    <mergeCell ref="A7:F7"/>
    <mergeCell ref="AB5:AD5"/>
  </mergeCells>
  <phoneticPr fontId="3" type="noConversion"/>
  <conditionalFormatting sqref="F1:F32 F35:F65536">
    <cfRule type="cellIs" dxfId="24" priority="1" stopIfTrue="1" operator="between">
      <formula>610000</formula>
      <formula>619999</formula>
    </cfRule>
  </conditionalFormatting>
  <pageMargins left="0.54" right="0.25" top="0.24" bottom="0.49" header="0.25" footer="0"/>
  <pageSetup scale="77" fitToHeight="0" orientation="landscape" r:id="rId1"/>
  <headerFooter alignWithMargins="0">
    <oddFooter>&amp;C&amp;8Detail of Expenditures Budget By Department, Page &amp;P of &amp;N</oddFooter>
  </headerFooter>
  <legacyDrawing r:id="rId2"/>
</worksheet>
</file>

<file path=xl/worksheets/sheet14.xml><?xml version="1.0" encoding="utf-8"?>
<worksheet xmlns="http://schemas.openxmlformats.org/spreadsheetml/2006/main" xmlns:r="http://schemas.openxmlformats.org/officeDocument/2006/relationships">
  <sheetPr codeName="Sheet19" enableFormatConditionsCalculation="0">
    <tabColor indexed="17"/>
    <pageSetUpPr fitToPage="1"/>
  </sheetPr>
  <dimension ref="A1:BK42"/>
  <sheetViews>
    <sheetView zoomScale="87" zoomScaleNormal="90" workbookViewId="0">
      <pane xSplit="8" ySplit="9" topLeftCell="AN10" activePane="bottomRight" state="frozen"/>
      <selection activeCell="A28" sqref="A28"/>
      <selection pane="topRight" activeCell="A28" sqref="A28"/>
      <selection pane="bottomLeft" activeCell="A28" sqref="A28"/>
      <selection pane="bottomRight"/>
    </sheetView>
  </sheetViews>
  <sheetFormatPr defaultRowHeight="12.75" outlineLevelRow="1" outlineLevelCol="1"/>
  <cols>
    <col min="1" max="1" width="7" style="39" customWidth="1" outlineLevel="1"/>
    <col min="2" max="2" width="6.140625" style="39" customWidth="1" outlineLevel="1"/>
    <col min="3" max="3" width="3.7109375" style="39" customWidth="1" outlineLevel="1"/>
    <col min="4" max="5" width="4.85546875" style="168" customWidth="1" outlineLevel="1"/>
    <col min="6" max="6" width="8.7109375" style="40" customWidth="1" outlineLevel="1"/>
    <col min="7" max="7" width="28.5703125" style="4" customWidth="1"/>
    <col min="8" max="8" width="16.5703125" style="4" hidden="1" customWidth="1"/>
    <col min="9" max="10" width="15.140625" style="4" hidden="1" customWidth="1" collapsed="1"/>
    <col min="11" max="11" width="39.5703125" style="4" hidden="1" customWidth="1"/>
    <col min="12" max="12" width="15.140625" style="7" bestFit="1" customWidth="1" collapsed="1"/>
    <col min="13" max="13" width="31.7109375" style="7" hidden="1" customWidth="1"/>
    <col min="14" max="14" width="35.5703125" style="7" hidden="1" customWidth="1" collapsed="1"/>
    <col min="15" max="15" width="0.140625" style="7" customWidth="1"/>
    <col min="16" max="16" width="25.28515625" style="7" hidden="1" customWidth="1" outlineLevel="1" collapsed="1"/>
    <col min="17" max="17" width="23.42578125" style="7" hidden="1" customWidth="1" outlineLevel="1"/>
    <col min="18" max="18" width="20.5703125" style="7" hidden="1" customWidth="1" outlineLevel="1" collapsed="1"/>
    <col min="19" max="19" width="18" style="7" hidden="1" customWidth="1" outlineLevel="1"/>
    <col min="20" max="20" width="19.5703125" style="7" hidden="1" customWidth="1" outlineLevel="1"/>
    <col min="21" max="21" width="18.42578125" style="7" hidden="1" customWidth="1" outlineLevel="1"/>
    <col min="22" max="22" width="13.140625" style="7" hidden="1" customWidth="1"/>
    <col min="23" max="23" width="14.140625" style="7" hidden="1" customWidth="1"/>
    <col min="24" max="24" width="14.5703125" style="7" customWidth="1" collapsed="1"/>
    <col min="25" max="25" width="0.85546875" style="7" hidden="1" customWidth="1"/>
    <col min="26" max="26" width="16.140625" style="7" hidden="1" customWidth="1"/>
    <col min="27" max="27" width="0.140625" style="7" hidden="1" customWidth="1"/>
    <col min="28" max="28" width="16.140625" style="7" hidden="1" customWidth="1" outlineLevel="1"/>
    <col min="29" max="29" width="0.42578125" style="7" hidden="1" customWidth="1" outlineLevel="1"/>
    <col min="30" max="30" width="17.85546875" style="7" hidden="1" customWidth="1" outlineLevel="1"/>
    <col min="31" max="31" width="0.42578125" style="7" hidden="1" customWidth="1" outlineLevel="1"/>
    <col min="32" max="32" width="16.140625" style="7" hidden="1" customWidth="1" collapsed="1"/>
    <col min="33" max="33" width="16" style="7" hidden="1" customWidth="1" outlineLevel="1"/>
    <col min="34" max="34" width="17" style="7" hidden="1" customWidth="1" outlineLevel="1"/>
    <col min="35" max="35" width="10.5703125" style="7" hidden="1" customWidth="1" outlineLevel="1"/>
    <col min="36" max="36" width="16.140625" style="7" hidden="1" customWidth="1" collapsed="1"/>
    <col min="37" max="37" width="0.7109375" style="7" hidden="1" customWidth="1"/>
    <col min="38" max="38" width="16.140625" style="7" hidden="1" customWidth="1" outlineLevel="1"/>
    <col min="39" max="39" width="4.140625" style="7" hidden="1" customWidth="1" outlineLevel="1"/>
    <col min="40" max="40" width="16.140625" style="17" customWidth="1" collapsed="1"/>
    <col min="41" max="41" width="16.140625" style="17" hidden="1" customWidth="1" collapsed="1"/>
    <col min="42" max="42" width="16.140625" style="17" customWidth="1" collapsed="1"/>
    <col min="43" max="43" width="0.7109375" style="7" hidden="1" customWidth="1" outlineLevel="1"/>
    <col min="44" max="44" width="22.140625" style="7" hidden="1" customWidth="1" outlineLevel="1"/>
    <col min="45" max="45" width="0.42578125" style="7" hidden="1" customWidth="1" outlineLevel="1"/>
    <col min="46" max="46" width="17.85546875" style="7" hidden="1" customWidth="1" outlineLevel="1"/>
    <col min="47" max="47" width="0.42578125" style="7" hidden="1" customWidth="1" outlineLevel="1"/>
    <col min="48" max="48" width="18" style="7" hidden="1" customWidth="1" collapsed="1"/>
    <col min="49" max="49" width="0.5703125" style="7" hidden="1" customWidth="1"/>
    <col min="50" max="50" width="18" style="7" hidden="1" customWidth="1"/>
    <col min="51" max="51" width="0.5703125" style="7" customWidth="1"/>
    <col min="52" max="52" width="15.140625" style="7" customWidth="1"/>
    <col min="53" max="53" width="15.7109375" style="7" bestFit="1" customWidth="1"/>
    <col min="54" max="54" width="15.140625" style="7" customWidth="1"/>
    <col min="55" max="55" width="23.140625" style="7" customWidth="1"/>
    <col min="56" max="56" width="19.85546875" style="7" bestFit="1" customWidth="1"/>
    <col min="57" max="59" width="12.42578125" style="7" customWidth="1"/>
    <col min="60" max="60" width="3.85546875" style="76" customWidth="1"/>
    <col min="61" max="61" width="14.5703125" style="12" bestFit="1" customWidth="1"/>
  </cols>
  <sheetData>
    <row r="1" spans="1:62" ht="15">
      <c r="A1" s="1" t="s">
        <v>0</v>
      </c>
      <c r="B1" s="2"/>
      <c r="C1" s="2"/>
      <c r="D1" s="1"/>
      <c r="E1" s="1"/>
      <c r="F1" s="3"/>
      <c r="H1" s="5"/>
      <c r="I1" s="6"/>
      <c r="T1" s="8"/>
      <c r="Z1" s="9"/>
      <c r="AB1" s="9"/>
      <c r="AD1" s="9"/>
      <c r="AF1" s="9"/>
      <c r="AH1" s="10" t="e">
        <f>+#REF!</f>
        <v>#REF!</v>
      </c>
      <c r="AJ1" s="9"/>
      <c r="AK1" s="9"/>
      <c r="AN1" s="9"/>
      <c r="AO1" s="9"/>
      <c r="AP1" s="9"/>
      <c r="AR1" s="9"/>
      <c r="AT1" s="9"/>
      <c r="AV1" s="9"/>
      <c r="AW1" s="9"/>
      <c r="AX1" s="9"/>
      <c r="AY1" s="9"/>
      <c r="AZ1" s="9"/>
      <c r="BA1" s="9"/>
      <c r="BB1" s="9"/>
      <c r="BC1" s="9"/>
      <c r="BD1" s="9"/>
      <c r="BE1" s="9"/>
      <c r="BF1" s="9"/>
      <c r="BG1" s="9"/>
      <c r="BH1" s="11"/>
    </row>
    <row r="2" spans="1:62" ht="15">
      <c r="A2" s="1" t="s">
        <v>1053</v>
      </c>
      <c r="B2" s="2"/>
      <c r="C2" s="2"/>
      <c r="D2" s="1"/>
      <c r="E2" s="1"/>
      <c r="F2" s="3"/>
      <c r="H2" s="5"/>
      <c r="I2" s="13"/>
      <c r="J2" s="14"/>
      <c r="K2" s="14"/>
      <c r="L2" s="15"/>
      <c r="M2" s="15"/>
      <c r="N2" s="15"/>
      <c r="O2" s="15"/>
      <c r="P2" s="15"/>
      <c r="R2" s="15"/>
      <c r="T2" s="8"/>
      <c r="V2" s="15"/>
      <c r="X2" s="15"/>
      <c r="Z2" s="15"/>
      <c r="AB2" s="15"/>
      <c r="AD2" s="15"/>
      <c r="AF2" s="15"/>
      <c r="AG2" s="238" t="s">
        <v>1</v>
      </c>
      <c r="AH2" s="238"/>
      <c r="AI2" s="17"/>
      <c r="AJ2" s="18"/>
      <c r="AK2" s="15"/>
      <c r="AL2" s="10" t="e">
        <f>+#REF!</f>
        <v>#REF!</v>
      </c>
      <c r="AN2" s="18"/>
      <c r="AO2" s="18"/>
      <c r="AP2" s="18"/>
      <c r="AR2" s="15"/>
      <c r="AT2" s="15"/>
      <c r="AV2" s="15"/>
      <c r="AW2" s="15"/>
      <c r="AX2" s="15"/>
      <c r="AY2" s="15"/>
      <c r="AZ2" s="15"/>
      <c r="BA2" s="15"/>
      <c r="BB2" s="15"/>
      <c r="BC2" s="15"/>
      <c r="BD2" s="15"/>
      <c r="BE2" s="15"/>
      <c r="BF2" s="15"/>
      <c r="BG2" s="15"/>
      <c r="BH2" s="19"/>
    </row>
    <row r="3" spans="1:62">
      <c r="A3" s="20" t="str">
        <f>IF(G7=1,"DETAIL OF EXPENDITURES BUDGET BY DEPARTMENT WITH COMPARATIVE AMOUNTS", "SUMMARY OF EXPENDITURES BUDGET BY DEPARTMENT WITH COMPARATIVE AMOUNTS")</f>
        <v>DETAIL OF EXPENDITURES BUDGET BY DEPARTMENT WITH COMPARATIVE AMOUNTS</v>
      </c>
      <c r="B3" s="21"/>
      <c r="C3" s="21"/>
      <c r="D3" s="22"/>
      <c r="E3" s="22"/>
      <c r="F3" s="3"/>
      <c r="H3" s="5"/>
      <c r="I3" s="23"/>
      <c r="J3" s="15"/>
      <c r="L3" s="15"/>
      <c r="M3" s="10"/>
      <c r="N3" s="10"/>
      <c r="O3" s="10"/>
      <c r="P3" s="24"/>
      <c r="R3" s="24"/>
      <c r="V3" s="24"/>
      <c r="W3" s="24"/>
      <c r="X3" s="15"/>
      <c r="Y3" s="24"/>
      <c r="AA3" s="24"/>
      <c r="AB3" s="24" t="e">
        <f>+#REF!</f>
        <v>#REF!</v>
      </c>
      <c r="AC3" s="24"/>
      <c r="AD3" s="24" t="e">
        <f>+#REF!</f>
        <v>#REF!</v>
      </c>
      <c r="AE3" s="24"/>
      <c r="AF3" s="10" t="e">
        <f>+#REF!</f>
        <v>#REF!</v>
      </c>
      <c r="AG3" s="239" t="s">
        <v>2</v>
      </c>
      <c r="AH3" s="239"/>
      <c r="AI3" s="25"/>
      <c r="AJ3" s="25" t="e">
        <f>+#REF!</f>
        <v>#REF!</v>
      </c>
      <c r="AK3" s="24"/>
      <c r="AL3" s="16" t="s">
        <v>1</v>
      </c>
      <c r="AM3" s="25"/>
      <c r="AN3" s="25"/>
      <c r="AO3" s="25"/>
      <c r="AP3" s="25"/>
      <c r="AQ3" s="24"/>
      <c r="AR3" s="24" t="e">
        <f>+#REF!</f>
        <v>#REF!</v>
      </c>
      <c r="AS3" s="24"/>
      <c r="AT3" s="24" t="e">
        <f>+#REF!</f>
        <v>#REF!</v>
      </c>
      <c r="AU3" s="24"/>
      <c r="AV3" s="24" t="e">
        <f>+#REF!</f>
        <v>#REF!</v>
      </c>
      <c r="AW3" s="24"/>
      <c r="AX3" s="24" t="e">
        <f>+#REF!</f>
        <v>#REF!</v>
      </c>
      <c r="AY3" s="24"/>
      <c r="AZ3" s="24"/>
      <c r="BA3" s="24"/>
      <c r="BB3" s="24"/>
      <c r="BC3" s="24"/>
      <c r="BD3" s="26"/>
      <c r="BE3" s="26"/>
      <c r="BF3" s="26"/>
      <c r="BG3" s="26"/>
      <c r="BH3" s="27"/>
    </row>
    <row r="4" spans="1:62" ht="15">
      <c r="A4" s="28" t="s">
        <v>1070</v>
      </c>
      <c r="B4" s="29"/>
      <c r="C4" s="29"/>
      <c r="D4" s="28"/>
      <c r="E4" s="28"/>
      <c r="F4" s="3"/>
      <c r="H4" s="30"/>
      <c r="I4" s="31"/>
      <c r="J4" s="31"/>
      <c r="L4" s="31"/>
      <c r="M4" s="32"/>
      <c r="N4" s="33"/>
      <c r="O4" s="32"/>
      <c r="P4" s="33"/>
      <c r="R4" s="33"/>
      <c r="T4" s="33"/>
      <c r="X4" s="31"/>
      <c r="Z4" s="10"/>
      <c r="AB4" s="241"/>
      <c r="AC4" s="241"/>
      <c r="AD4" s="241"/>
      <c r="AE4" s="35"/>
      <c r="AF4" s="34"/>
      <c r="AG4" s="240"/>
      <c r="AH4" s="240"/>
      <c r="AI4" s="17"/>
      <c r="AJ4" s="16"/>
      <c r="AK4" s="24"/>
      <c r="AL4" s="16"/>
      <c r="AM4" s="17"/>
      <c r="AN4" s="31"/>
      <c r="AO4" s="31"/>
      <c r="AP4" s="31"/>
      <c r="AR4" s="34" t="s">
        <v>5</v>
      </c>
      <c r="AU4" s="35"/>
      <c r="AV4" s="34"/>
      <c r="AW4" s="34"/>
      <c r="AX4" s="34" t="s">
        <v>5</v>
      </c>
      <c r="AY4" s="34"/>
      <c r="AZ4" s="34"/>
      <c r="BA4" s="34"/>
      <c r="BB4" s="34"/>
      <c r="BC4" s="34"/>
      <c r="BD4" s="37"/>
      <c r="BE4" s="37"/>
      <c r="BF4" s="37"/>
      <c r="BG4" s="37"/>
      <c r="BH4" s="38"/>
    </row>
    <row r="5" spans="1:62" ht="15">
      <c r="B5" s="29"/>
      <c r="C5" s="29"/>
      <c r="D5" s="28"/>
      <c r="E5" s="28"/>
      <c r="G5" s="28"/>
      <c r="H5" s="5"/>
      <c r="I5" s="41" t="s">
        <v>6</v>
      </c>
      <c r="J5" s="42" t="s">
        <v>7</v>
      </c>
      <c r="L5" s="16" t="s">
        <v>8</v>
      </c>
      <c r="M5" s="16"/>
      <c r="N5" s="16" t="s">
        <v>9</v>
      </c>
      <c r="O5" s="16"/>
      <c r="P5" s="16" t="s">
        <v>9</v>
      </c>
      <c r="Q5" s="17"/>
      <c r="R5" s="43"/>
      <c r="S5" s="17"/>
      <c r="T5" s="16"/>
      <c r="U5" s="17"/>
      <c r="V5" s="16" t="s">
        <v>9</v>
      </c>
      <c r="X5" s="16" t="s">
        <v>9</v>
      </c>
      <c r="Z5" s="34" t="s">
        <v>1</v>
      </c>
      <c r="AB5" s="243" t="s">
        <v>10</v>
      </c>
      <c r="AC5" s="243"/>
      <c r="AD5" s="243"/>
      <c r="AE5" s="35"/>
      <c r="AF5" s="34" t="s">
        <v>1</v>
      </c>
      <c r="AG5" s="17"/>
      <c r="AH5" s="16" t="s">
        <v>11</v>
      </c>
      <c r="AI5" s="17"/>
      <c r="AJ5" s="16" t="s">
        <v>1</v>
      </c>
      <c r="AK5" s="24"/>
      <c r="AL5" s="43" t="s">
        <v>12</v>
      </c>
      <c r="AM5" s="17"/>
      <c r="AN5" s="16" t="s">
        <v>1</v>
      </c>
      <c r="AO5" s="45" t="s">
        <v>1</v>
      </c>
      <c r="AP5" s="46" t="s">
        <v>5</v>
      </c>
      <c r="AQ5" s="47"/>
      <c r="AR5" s="48" t="s">
        <v>10</v>
      </c>
      <c r="AS5" s="47"/>
      <c r="AT5" s="47"/>
      <c r="AU5" s="47"/>
      <c r="AV5" s="46" t="s">
        <v>5</v>
      </c>
      <c r="AW5" s="34"/>
      <c r="AX5" s="49" t="s">
        <v>3</v>
      </c>
      <c r="AY5" s="34"/>
      <c r="AZ5" s="46" t="s">
        <v>1054</v>
      </c>
      <c r="BA5" s="46" t="s">
        <v>1054</v>
      </c>
      <c r="BB5" s="34" t="s">
        <v>1069</v>
      </c>
      <c r="BC5" s="34"/>
      <c r="BD5" s="50" t="s">
        <v>13</v>
      </c>
      <c r="BE5" s="37"/>
      <c r="BF5" s="37"/>
      <c r="BG5" s="37"/>
      <c r="BH5" s="51"/>
    </row>
    <row r="6" spans="1:62">
      <c r="A6" s="242"/>
      <c r="B6" s="242"/>
      <c r="C6" s="242"/>
      <c r="D6" s="242"/>
      <c r="E6" s="242"/>
      <c r="F6" s="242"/>
      <c r="G6" s="22"/>
      <c r="H6" s="5"/>
      <c r="I6" s="52" t="s">
        <v>14</v>
      </c>
      <c r="J6" s="52" t="s">
        <v>14</v>
      </c>
      <c r="L6" s="43" t="s">
        <v>14</v>
      </c>
      <c r="M6" s="43"/>
      <c r="N6" s="43" t="s">
        <v>15</v>
      </c>
      <c r="O6" s="43"/>
      <c r="P6" s="43" t="s">
        <v>4</v>
      </c>
      <c r="Q6" s="17"/>
      <c r="R6" s="43" t="s">
        <v>4</v>
      </c>
      <c r="S6" s="43"/>
      <c r="T6" s="43" t="s">
        <v>16</v>
      </c>
      <c r="U6" s="43"/>
      <c r="V6" s="43" t="s">
        <v>4</v>
      </c>
      <c r="W6" s="43"/>
      <c r="X6" s="43" t="s">
        <v>14</v>
      </c>
      <c r="Y6" s="43"/>
      <c r="Z6" s="34" t="s">
        <v>17</v>
      </c>
      <c r="AA6" s="43"/>
      <c r="AB6" s="53" t="s">
        <v>16</v>
      </c>
      <c r="AC6" s="53"/>
      <c r="AD6" s="34"/>
      <c r="AE6" s="53"/>
      <c r="AF6" s="34" t="s">
        <v>17</v>
      </c>
      <c r="AG6" s="43" t="s">
        <v>16</v>
      </c>
      <c r="AH6" s="16" t="s">
        <v>18</v>
      </c>
      <c r="AI6" s="43"/>
      <c r="AJ6" s="16" t="s">
        <v>19</v>
      </c>
      <c r="AK6" s="24"/>
      <c r="AL6" s="43" t="s">
        <v>16</v>
      </c>
      <c r="AM6" s="43"/>
      <c r="AN6" s="43" t="s">
        <v>14</v>
      </c>
      <c r="AO6" s="45" t="s">
        <v>20</v>
      </c>
      <c r="AP6" s="43" t="s">
        <v>14</v>
      </c>
      <c r="AQ6" s="54"/>
      <c r="AR6" s="54" t="s">
        <v>16</v>
      </c>
      <c r="AS6" s="54"/>
      <c r="AT6" s="46"/>
      <c r="AU6" s="54"/>
      <c r="AV6" s="46" t="s">
        <v>19</v>
      </c>
      <c r="AW6" s="34"/>
      <c r="AX6" s="55" t="s">
        <v>16</v>
      </c>
      <c r="AY6" s="34"/>
      <c r="AZ6" s="46" t="s">
        <v>17</v>
      </c>
      <c r="BA6" s="46" t="s">
        <v>17</v>
      </c>
      <c r="BB6" s="34" t="s">
        <v>19</v>
      </c>
      <c r="BC6" s="56"/>
      <c r="BD6" s="50" t="s">
        <v>21</v>
      </c>
      <c r="BE6" s="37"/>
      <c r="BF6" s="37"/>
      <c r="BG6" s="37"/>
      <c r="BH6" s="57"/>
    </row>
    <row r="7" spans="1:62" ht="15">
      <c r="A7" s="237"/>
      <c r="B7" s="237"/>
      <c r="C7" s="237"/>
      <c r="D7" s="237"/>
      <c r="E7" s="237"/>
      <c r="F7" s="237"/>
      <c r="G7" s="59">
        <v>1</v>
      </c>
      <c r="H7" s="60"/>
      <c r="I7" s="52" t="s">
        <v>22</v>
      </c>
      <c r="J7" s="52" t="s">
        <v>22</v>
      </c>
      <c r="L7" s="43" t="s">
        <v>22</v>
      </c>
      <c r="M7" s="43"/>
      <c r="N7" s="43" t="s">
        <v>23</v>
      </c>
      <c r="O7" s="43"/>
      <c r="P7" s="43" t="s">
        <v>24</v>
      </c>
      <c r="Q7" s="43"/>
      <c r="R7" s="43" t="s">
        <v>24</v>
      </c>
      <c r="S7" s="43"/>
      <c r="T7" s="43" t="s">
        <v>25</v>
      </c>
      <c r="U7" s="43"/>
      <c r="V7" s="43" t="s">
        <v>24</v>
      </c>
      <c r="W7" s="43"/>
      <c r="X7" s="43" t="s">
        <v>22</v>
      </c>
      <c r="Y7" s="43"/>
      <c r="Z7" s="53" t="s">
        <v>15</v>
      </c>
      <c r="AA7" s="43"/>
      <c r="AB7" s="53" t="s">
        <v>26</v>
      </c>
      <c r="AC7" s="53"/>
      <c r="AD7" s="53"/>
      <c r="AE7" s="53"/>
      <c r="AF7" s="53" t="s">
        <v>4</v>
      </c>
      <c r="AG7" s="43" t="s">
        <v>26</v>
      </c>
      <c r="AH7" s="43" t="s">
        <v>27</v>
      </c>
      <c r="AI7" s="43"/>
      <c r="AJ7" s="43" t="s">
        <v>4</v>
      </c>
      <c r="AK7" s="24"/>
      <c r="AL7" s="43" t="s">
        <v>26</v>
      </c>
      <c r="AM7" s="43"/>
      <c r="AN7" s="43" t="s">
        <v>22</v>
      </c>
      <c r="AO7" s="61" t="s">
        <v>22</v>
      </c>
      <c r="AP7" s="43" t="s">
        <v>22</v>
      </c>
      <c r="AQ7" s="54"/>
      <c r="AR7" s="54" t="s">
        <v>26</v>
      </c>
      <c r="AS7" s="54"/>
      <c r="AT7" s="54"/>
      <c r="AU7" s="54"/>
      <c r="AV7" s="54" t="s">
        <v>4</v>
      </c>
      <c r="AW7" s="53"/>
      <c r="AX7" s="55" t="s">
        <v>26</v>
      </c>
      <c r="AY7" s="53"/>
      <c r="AZ7" s="46" t="s">
        <v>15</v>
      </c>
      <c r="BA7" s="54" t="s">
        <v>4</v>
      </c>
      <c r="BB7" s="34" t="s">
        <v>15</v>
      </c>
      <c r="BC7" s="56"/>
      <c r="BD7" s="50" t="s">
        <v>28</v>
      </c>
      <c r="BE7" s="62"/>
      <c r="BF7" s="62"/>
      <c r="BG7" s="62"/>
      <c r="BH7" s="57"/>
      <c r="BI7" s="63"/>
    </row>
    <row r="8" spans="1:62" ht="15">
      <c r="A8" s="237" t="s">
        <v>29</v>
      </c>
      <c r="B8" s="237"/>
      <c r="C8" s="237"/>
      <c r="D8" s="237"/>
      <c r="E8" s="237"/>
      <c r="F8" s="64" t="s">
        <v>30</v>
      </c>
      <c r="G8" s="64" t="s">
        <v>31</v>
      </c>
      <c r="H8" s="60"/>
      <c r="I8" s="65" t="s">
        <v>32</v>
      </c>
      <c r="J8" s="65" t="s">
        <v>32</v>
      </c>
      <c r="L8" s="66" t="s">
        <v>32</v>
      </c>
      <c r="M8" s="36"/>
      <c r="N8" s="36" t="s">
        <v>2</v>
      </c>
      <c r="O8" s="36"/>
      <c r="P8" s="36" t="s">
        <v>33</v>
      </c>
      <c r="Q8" s="36"/>
      <c r="R8" s="36" t="s">
        <v>34</v>
      </c>
      <c r="S8" s="36"/>
      <c r="T8" s="36" t="s">
        <v>35</v>
      </c>
      <c r="U8" s="36"/>
      <c r="V8" s="36" t="s">
        <v>36</v>
      </c>
      <c r="W8" s="36"/>
      <c r="X8" s="66" t="s">
        <v>32</v>
      </c>
      <c r="Y8" s="36"/>
      <c r="Z8" s="44" t="s">
        <v>24</v>
      </c>
      <c r="AA8" s="36"/>
      <c r="AB8" s="44" t="s">
        <v>35</v>
      </c>
      <c r="AC8" s="44"/>
      <c r="AD8" s="44" t="s">
        <v>37</v>
      </c>
      <c r="AE8" s="44"/>
      <c r="AF8" s="44" t="s">
        <v>38</v>
      </c>
      <c r="AG8" s="36" t="s">
        <v>35</v>
      </c>
      <c r="AH8" s="36" t="s">
        <v>39</v>
      </c>
      <c r="AI8" s="36"/>
      <c r="AJ8" s="36" t="s">
        <v>40</v>
      </c>
      <c r="AK8" s="24"/>
      <c r="AL8" s="36" t="s">
        <v>35</v>
      </c>
      <c r="AM8" s="36"/>
      <c r="AN8" s="36" t="s">
        <v>32</v>
      </c>
      <c r="AO8" s="67" t="s">
        <v>32</v>
      </c>
      <c r="AP8" s="36" t="s">
        <v>32</v>
      </c>
      <c r="AQ8" s="48"/>
      <c r="AR8" s="48" t="s">
        <v>35</v>
      </c>
      <c r="AS8" s="48"/>
      <c r="AT8" s="48" t="s">
        <v>37</v>
      </c>
      <c r="AU8" s="48"/>
      <c r="AV8" s="48" t="s">
        <v>38</v>
      </c>
      <c r="AW8" s="44"/>
      <c r="AX8" s="49" t="s">
        <v>35</v>
      </c>
      <c r="AY8" s="44"/>
      <c r="AZ8" s="48" t="s">
        <v>2</v>
      </c>
      <c r="BA8" s="48" t="s">
        <v>40</v>
      </c>
      <c r="BB8" s="44" t="s">
        <v>2</v>
      </c>
      <c r="BC8" s="56"/>
      <c r="BD8" s="50" t="s">
        <v>41</v>
      </c>
      <c r="BE8" s="68"/>
      <c r="BF8" s="68"/>
      <c r="BG8" s="68"/>
      <c r="BH8" s="69"/>
    </row>
    <row r="9" spans="1:62" ht="15">
      <c r="A9" s="58"/>
      <c r="B9" s="58"/>
      <c r="C9" s="58"/>
      <c r="D9" s="64"/>
      <c r="E9" s="64"/>
      <c r="F9" s="64"/>
      <c r="G9" s="70"/>
      <c r="H9" s="60"/>
      <c r="J9" s="71"/>
      <c r="AK9" s="24"/>
      <c r="AZ9" s="34"/>
      <c r="BB9" s="34"/>
      <c r="BC9" s="56"/>
      <c r="BH9" s="72">
        <v>2</v>
      </c>
    </row>
    <row r="10" spans="1:62" ht="20.100000000000001" customHeight="1" outlineLevel="1">
      <c r="A10" s="75" t="s">
        <v>679</v>
      </c>
      <c r="B10" s="77"/>
      <c r="C10" s="77"/>
      <c r="D10" s="90"/>
      <c r="E10" s="90"/>
      <c r="F10" s="3"/>
      <c r="H10" s="87"/>
      <c r="L10" s="44"/>
      <c r="AK10" s="85"/>
      <c r="AZ10" s="83"/>
      <c r="BB10" s="83"/>
      <c r="BC10" s="56"/>
    </row>
    <row r="11" spans="1:62" ht="20.100000000000001" customHeight="1" outlineLevel="1">
      <c r="A11" s="77" t="s">
        <v>43</v>
      </c>
      <c r="B11" s="77" t="s">
        <v>613</v>
      </c>
      <c r="C11" s="77" t="s">
        <v>1095</v>
      </c>
      <c r="D11" s="78" t="s">
        <v>46</v>
      </c>
      <c r="E11" s="78" t="str">
        <f>+D11</f>
        <v>000</v>
      </c>
      <c r="F11" s="3">
        <v>611511</v>
      </c>
      <c r="G11" s="102" t="s">
        <v>680</v>
      </c>
      <c r="H11" s="87"/>
      <c r="I11" s="82">
        <v>16505</v>
      </c>
      <c r="J11" s="82">
        <v>24990</v>
      </c>
      <c r="L11" s="83">
        <v>31644</v>
      </c>
      <c r="M11" s="83"/>
      <c r="N11" s="83">
        <v>28992</v>
      </c>
      <c r="O11" s="83"/>
      <c r="P11" s="83">
        <v>28992</v>
      </c>
      <c r="Q11" s="83"/>
      <c r="R11" s="83">
        <v>32392</v>
      </c>
      <c r="S11" s="56"/>
      <c r="T11" s="56">
        <v>0</v>
      </c>
      <c r="U11" s="83"/>
      <c r="V11" s="83">
        <v>32392</v>
      </c>
      <c r="W11" s="56"/>
      <c r="X11" s="83">
        <v>28508.19</v>
      </c>
      <c r="Y11" s="56"/>
      <c r="Z11" s="83">
        <v>30000</v>
      </c>
      <c r="AA11" s="56"/>
      <c r="AB11" s="83">
        <v>0</v>
      </c>
      <c r="AC11" s="56"/>
      <c r="AD11" s="83">
        <v>0</v>
      </c>
      <c r="AE11" s="56"/>
      <c r="AF11" s="84">
        <f>SUM(Z11:AE11)</f>
        <v>30000</v>
      </c>
      <c r="AG11" s="83">
        <v>0</v>
      </c>
      <c r="AH11" s="83">
        <v>3375</v>
      </c>
      <c r="AI11" s="56"/>
      <c r="AJ11" s="84">
        <f>SUM(AE11:AI11)</f>
        <v>33375</v>
      </c>
      <c r="AK11" s="85"/>
      <c r="AL11" s="83">
        <v>0</v>
      </c>
      <c r="AM11" s="56"/>
      <c r="AN11" s="86">
        <f>SUM(AI11:AM11)</f>
        <v>33375</v>
      </c>
      <c r="AO11" s="86">
        <v>0</v>
      </c>
      <c r="AP11" s="86">
        <v>54376.92</v>
      </c>
      <c r="AQ11" s="56"/>
      <c r="AR11" s="83">
        <v>0</v>
      </c>
      <c r="AS11" s="56"/>
      <c r="AT11" s="83">
        <v>0</v>
      </c>
      <c r="AU11" s="56"/>
      <c r="AV11" s="84">
        <f t="shared" ref="AV11:AV25" si="0">SUM(AP11:AU11)</f>
        <v>54376.92</v>
      </c>
      <c r="AW11" s="84"/>
      <c r="AX11" s="128">
        <v>-11871</v>
      </c>
      <c r="AY11" s="84"/>
      <c r="AZ11" s="86">
        <v>54377</v>
      </c>
      <c r="BA11" s="84">
        <v>54842</v>
      </c>
      <c r="BB11" s="214"/>
      <c r="BC11" s="56"/>
      <c r="BD11" s="84">
        <f>+AP11-AN11</f>
        <v>21001.919999999998</v>
      </c>
      <c r="BE11" s="84"/>
      <c r="BF11" s="84"/>
      <c r="BG11" s="84"/>
      <c r="BH11" s="72">
        <v>1</v>
      </c>
      <c r="BJ11">
        <v>1</v>
      </c>
    </row>
    <row r="12" spans="1:62" ht="20.100000000000001" customHeight="1" outlineLevel="1">
      <c r="A12" s="77" t="s">
        <v>43</v>
      </c>
      <c r="B12" s="77" t="s">
        <v>613</v>
      </c>
      <c r="C12" s="77" t="s">
        <v>1095</v>
      </c>
      <c r="D12" s="78" t="s">
        <v>46</v>
      </c>
      <c r="E12" s="78" t="str">
        <f t="shared" ref="E12:E25" si="1">+D12</f>
        <v>000</v>
      </c>
      <c r="F12" s="79">
        <v>611311</v>
      </c>
      <c r="G12" s="102" t="s">
        <v>614</v>
      </c>
      <c r="H12" s="87"/>
      <c r="I12" s="13">
        <v>1619285</v>
      </c>
      <c r="J12" s="13">
        <v>1723856</v>
      </c>
      <c r="L12" s="56">
        <v>2002194</v>
      </c>
      <c r="M12" s="56"/>
      <c r="N12" s="56">
        <v>2082075</v>
      </c>
      <c r="O12" s="56"/>
      <c r="P12" s="56">
        <v>2082075</v>
      </c>
      <c r="Q12" s="56"/>
      <c r="R12" s="56">
        <v>1999387</v>
      </c>
      <c r="S12" s="56"/>
      <c r="T12" s="56">
        <v>0</v>
      </c>
      <c r="U12" s="56"/>
      <c r="V12" s="56">
        <v>1999387</v>
      </c>
      <c r="W12" s="56"/>
      <c r="X12" s="56">
        <v>1874606.62</v>
      </c>
      <c r="Y12" s="56"/>
      <c r="Z12" s="56">
        <v>1982473</v>
      </c>
      <c r="AA12" s="56"/>
      <c r="AB12" s="56">
        <v>0</v>
      </c>
      <c r="AC12" s="56"/>
      <c r="AD12" s="56">
        <v>0</v>
      </c>
      <c r="AE12" s="56"/>
      <c r="AF12" s="56">
        <f>SUM(Z12:AE12)</f>
        <v>1982473</v>
      </c>
      <c r="AG12" s="104">
        <v>26000</v>
      </c>
      <c r="AH12" s="56">
        <v>58750</v>
      </c>
      <c r="AI12" s="56"/>
      <c r="AJ12" s="56">
        <f>SUM(AE12:AI12)</f>
        <v>2067223</v>
      </c>
      <c r="AK12" s="85"/>
      <c r="AL12" s="56">
        <v>0</v>
      </c>
      <c r="AM12" s="56"/>
      <c r="AN12" s="88">
        <f>SUM(AI12:AM12)</f>
        <v>2067223</v>
      </c>
      <c r="AO12" s="88">
        <v>0</v>
      </c>
      <c r="AP12" s="88">
        <v>2092436.23</v>
      </c>
      <c r="AQ12" s="56"/>
      <c r="AR12" s="56">
        <v>0</v>
      </c>
      <c r="AS12" s="56"/>
      <c r="AT12" s="56">
        <v>0</v>
      </c>
      <c r="AU12" s="56"/>
      <c r="AV12" s="56">
        <f t="shared" si="0"/>
        <v>2092436.23</v>
      </c>
      <c r="AW12" s="56"/>
      <c r="AX12" s="106">
        <v>358482</v>
      </c>
      <c r="AY12" s="56"/>
      <c r="AZ12" s="88">
        <v>2246755</v>
      </c>
      <c r="BA12" s="56">
        <v>2304000</v>
      </c>
      <c r="BB12" s="214"/>
      <c r="BC12" s="56"/>
      <c r="BD12" s="84">
        <f>+AP12-AN12</f>
        <v>25213.229999999981</v>
      </c>
      <c r="BE12" s="56"/>
      <c r="BF12" s="56"/>
      <c r="BG12" s="56"/>
      <c r="BH12" s="72">
        <v>1</v>
      </c>
      <c r="BJ12">
        <v>1</v>
      </c>
    </row>
    <row r="13" spans="1:62" ht="20.100000000000001" customHeight="1" outlineLevel="1">
      <c r="A13" s="77" t="s">
        <v>43</v>
      </c>
      <c r="B13" s="77" t="s">
        <v>592</v>
      </c>
      <c r="C13" s="77" t="s">
        <v>1095</v>
      </c>
      <c r="D13" s="78" t="s">
        <v>46</v>
      </c>
      <c r="E13" s="78" t="str">
        <f t="shared" si="1"/>
        <v>000</v>
      </c>
      <c r="F13" s="79">
        <v>633111</v>
      </c>
      <c r="G13" s="102" t="s">
        <v>681</v>
      </c>
      <c r="H13" s="87"/>
      <c r="I13" s="13"/>
      <c r="J13" s="13"/>
      <c r="L13" s="56">
        <v>0</v>
      </c>
      <c r="M13" s="56"/>
      <c r="N13" s="56"/>
      <c r="O13" s="56"/>
      <c r="P13" s="56"/>
      <c r="Q13" s="56"/>
      <c r="R13" s="56"/>
      <c r="S13" s="56"/>
      <c r="T13" s="56"/>
      <c r="U13" s="56"/>
      <c r="V13" s="56"/>
      <c r="W13" s="56"/>
      <c r="X13" s="56">
        <v>0</v>
      </c>
      <c r="Y13" s="56"/>
      <c r="Z13" s="56"/>
      <c r="AA13" s="56"/>
      <c r="AB13" s="56"/>
      <c r="AC13" s="56"/>
      <c r="AD13" s="56"/>
      <c r="AE13" s="56"/>
      <c r="AF13" s="56"/>
      <c r="AG13" s="104"/>
      <c r="AH13" s="56"/>
      <c r="AI13" s="56"/>
      <c r="AJ13" s="56"/>
      <c r="AK13" s="85"/>
      <c r="AL13" s="56"/>
      <c r="AM13" s="56"/>
      <c r="AN13" s="88">
        <v>0</v>
      </c>
      <c r="AO13" s="88"/>
      <c r="AP13" s="88">
        <v>93030</v>
      </c>
      <c r="AQ13" s="56"/>
      <c r="AR13" s="56"/>
      <c r="AS13" s="56"/>
      <c r="AT13" s="56"/>
      <c r="AU13" s="56"/>
      <c r="AV13" s="56">
        <f t="shared" si="0"/>
        <v>93030</v>
      </c>
      <c r="AW13" s="56"/>
      <c r="AX13" s="56">
        <v>0</v>
      </c>
      <c r="AY13" s="56"/>
      <c r="AZ13" s="88">
        <v>0</v>
      </c>
      <c r="BA13" s="56">
        <v>90000</v>
      </c>
      <c r="BB13" s="214"/>
      <c r="BC13" s="56"/>
      <c r="BD13" s="84"/>
      <c r="BE13" s="56"/>
      <c r="BF13" s="56"/>
      <c r="BG13" s="56"/>
      <c r="BH13" s="72"/>
    </row>
    <row r="14" spans="1:62" ht="20.100000000000001" customHeight="1" outlineLevel="1">
      <c r="A14" s="77" t="s">
        <v>43</v>
      </c>
      <c r="B14" s="77" t="s">
        <v>592</v>
      </c>
      <c r="C14" s="77" t="s">
        <v>1095</v>
      </c>
      <c r="D14" s="78" t="s">
        <v>46</v>
      </c>
      <c r="E14" s="78" t="str">
        <f t="shared" si="1"/>
        <v>000</v>
      </c>
      <c r="F14" s="3">
        <v>633941</v>
      </c>
      <c r="G14" s="102" t="s">
        <v>682</v>
      </c>
      <c r="H14" s="87"/>
      <c r="I14" s="13">
        <v>0</v>
      </c>
      <c r="J14" s="13">
        <v>0</v>
      </c>
      <c r="L14" s="56">
        <v>0</v>
      </c>
      <c r="M14" s="56"/>
      <c r="N14" s="56">
        <v>1000</v>
      </c>
      <c r="O14" s="56"/>
      <c r="P14" s="56">
        <v>1000</v>
      </c>
      <c r="Q14" s="56"/>
      <c r="R14" s="56">
        <v>1000</v>
      </c>
      <c r="S14" s="56"/>
      <c r="T14" s="56">
        <v>0</v>
      </c>
      <c r="U14" s="56"/>
      <c r="V14" s="56">
        <v>1000</v>
      </c>
      <c r="W14" s="56"/>
      <c r="X14" s="56">
        <v>26358.75</v>
      </c>
      <c r="Y14" s="56"/>
      <c r="Z14" s="56">
        <v>1000</v>
      </c>
      <c r="AA14" s="56"/>
      <c r="AB14" s="56">
        <v>0</v>
      </c>
      <c r="AC14" s="56"/>
      <c r="AD14" s="56">
        <v>14948</v>
      </c>
      <c r="AE14" s="56"/>
      <c r="AF14" s="56">
        <f t="shared" ref="AF14:AF25" si="2">SUM(Z14:AE14)</f>
        <v>15948</v>
      </c>
      <c r="AG14" s="56">
        <v>0</v>
      </c>
      <c r="AH14" s="56">
        <v>0</v>
      </c>
      <c r="AI14" s="56"/>
      <c r="AJ14" s="56">
        <f t="shared" ref="AJ14:AJ25" si="3">SUM(AE14:AI14)</f>
        <v>15948</v>
      </c>
      <c r="AK14" s="85"/>
      <c r="AL14" s="89">
        <v>4000</v>
      </c>
      <c r="AM14" s="56"/>
      <c r="AN14" s="88">
        <f t="shared" ref="AN14:AN25" si="4">SUM(AI14:AM14)</f>
        <v>19948</v>
      </c>
      <c r="AO14" s="88">
        <v>0</v>
      </c>
      <c r="AP14" s="88">
        <v>37737.5</v>
      </c>
      <c r="AQ14" s="56"/>
      <c r="AR14" s="56">
        <v>0</v>
      </c>
      <c r="AS14" s="56"/>
      <c r="AT14" s="56">
        <v>0</v>
      </c>
      <c r="AU14" s="56"/>
      <c r="AV14" s="56">
        <f t="shared" si="0"/>
        <v>37737.5</v>
      </c>
      <c r="AW14" s="56"/>
      <c r="AX14" s="56">
        <v>0</v>
      </c>
      <c r="AY14" s="56"/>
      <c r="AZ14" s="88">
        <v>1000</v>
      </c>
      <c r="BA14" s="56">
        <v>1000</v>
      </c>
      <c r="BB14" s="214"/>
      <c r="BC14" s="56"/>
      <c r="BD14" s="84">
        <f t="shared" ref="BD14:BD26" si="5">+AP14-AN14</f>
        <v>17789.5</v>
      </c>
      <c r="BE14" s="56"/>
      <c r="BF14" s="56"/>
      <c r="BG14" s="56"/>
      <c r="BH14" s="72"/>
    </row>
    <row r="15" spans="1:62" ht="20.100000000000001" customHeight="1" outlineLevel="1">
      <c r="A15" s="77" t="s">
        <v>43</v>
      </c>
      <c r="B15" s="77" t="s">
        <v>592</v>
      </c>
      <c r="C15" s="77" t="s">
        <v>1095</v>
      </c>
      <c r="D15" s="78" t="s">
        <v>46</v>
      </c>
      <c r="E15" s="78" t="str">
        <f t="shared" si="1"/>
        <v>000</v>
      </c>
      <c r="F15" s="3">
        <v>658211</v>
      </c>
      <c r="G15" s="102" t="s">
        <v>683</v>
      </c>
      <c r="H15" s="87"/>
      <c r="I15" s="13">
        <v>16254</v>
      </c>
      <c r="J15" s="13">
        <v>10631</v>
      </c>
      <c r="L15" s="56">
        <v>15989</v>
      </c>
      <c r="M15" s="56"/>
      <c r="N15" s="56">
        <v>19000</v>
      </c>
      <c r="O15" s="56"/>
      <c r="P15" s="56">
        <v>19000</v>
      </c>
      <c r="Q15" s="56"/>
      <c r="R15" s="56">
        <v>19000</v>
      </c>
      <c r="S15" s="56"/>
      <c r="T15" s="56">
        <v>0</v>
      </c>
      <c r="U15" s="56"/>
      <c r="V15" s="56">
        <v>19000</v>
      </c>
      <c r="W15" s="56"/>
      <c r="X15" s="56">
        <v>33982.25</v>
      </c>
      <c r="Y15" s="56"/>
      <c r="Z15" s="56">
        <v>19000</v>
      </c>
      <c r="AA15" s="56"/>
      <c r="AB15" s="89">
        <v>20000</v>
      </c>
      <c r="AC15" s="56"/>
      <c r="AD15" s="56">
        <v>0</v>
      </c>
      <c r="AE15" s="56"/>
      <c r="AF15" s="56">
        <f t="shared" si="2"/>
        <v>39000</v>
      </c>
      <c r="AG15" s="56">
        <v>0</v>
      </c>
      <c r="AH15" s="56">
        <v>0</v>
      </c>
      <c r="AI15" s="56"/>
      <c r="AJ15" s="56">
        <f t="shared" si="3"/>
        <v>39000</v>
      </c>
      <c r="AK15" s="85"/>
      <c r="AL15" s="56">
        <v>0</v>
      </c>
      <c r="AM15" s="56"/>
      <c r="AN15" s="88">
        <f t="shared" si="4"/>
        <v>39000</v>
      </c>
      <c r="AO15" s="88">
        <v>0</v>
      </c>
      <c r="AP15" s="88">
        <v>34993.14</v>
      </c>
      <c r="AQ15" s="56"/>
      <c r="AR15" s="56">
        <v>0</v>
      </c>
      <c r="AS15" s="56"/>
      <c r="AT15" s="56">
        <v>0</v>
      </c>
      <c r="AU15" s="56"/>
      <c r="AV15" s="56">
        <f t="shared" si="0"/>
        <v>34993.14</v>
      </c>
      <c r="AW15" s="56"/>
      <c r="AX15" s="56">
        <v>0</v>
      </c>
      <c r="AY15" s="56"/>
      <c r="AZ15" s="88">
        <v>38300</v>
      </c>
      <c r="BA15" s="56">
        <v>38300</v>
      </c>
      <c r="BB15" s="214"/>
      <c r="BC15" s="56"/>
      <c r="BD15" s="84">
        <f t="shared" si="5"/>
        <v>-4006.8600000000006</v>
      </c>
      <c r="BE15" s="56"/>
      <c r="BF15" s="56"/>
      <c r="BG15" s="56"/>
      <c r="BH15" s="72"/>
    </row>
    <row r="16" spans="1:62" ht="20.100000000000001" customHeight="1" outlineLevel="1">
      <c r="A16" s="77" t="s">
        <v>43</v>
      </c>
      <c r="B16" s="77" t="s">
        <v>592</v>
      </c>
      <c r="C16" s="77" t="s">
        <v>1095</v>
      </c>
      <c r="D16" s="78" t="s">
        <v>46</v>
      </c>
      <c r="E16" s="78" t="str">
        <f t="shared" si="1"/>
        <v>000</v>
      </c>
      <c r="F16" s="3">
        <v>661001</v>
      </c>
      <c r="G16" s="102" t="s">
        <v>552</v>
      </c>
      <c r="H16" s="87"/>
      <c r="I16" s="13">
        <v>6222</v>
      </c>
      <c r="J16" s="13">
        <v>3517</v>
      </c>
      <c r="L16" s="56">
        <v>5655</v>
      </c>
      <c r="M16" s="56"/>
      <c r="N16" s="56">
        <v>6671</v>
      </c>
      <c r="O16" s="56"/>
      <c r="P16" s="56">
        <v>7922</v>
      </c>
      <c r="Q16" s="56"/>
      <c r="R16" s="56">
        <v>7922</v>
      </c>
      <c r="S16" s="56"/>
      <c r="T16" s="56">
        <v>0</v>
      </c>
      <c r="U16" s="56"/>
      <c r="V16" s="56">
        <v>7922</v>
      </c>
      <c r="W16" s="56"/>
      <c r="X16" s="56">
        <v>5924.8</v>
      </c>
      <c r="Y16" s="56"/>
      <c r="Z16" s="56">
        <v>6671</v>
      </c>
      <c r="AA16" s="56"/>
      <c r="AB16" s="56">
        <v>0</v>
      </c>
      <c r="AC16" s="56"/>
      <c r="AD16" s="56">
        <v>1859</v>
      </c>
      <c r="AE16" s="56"/>
      <c r="AF16" s="56">
        <f t="shared" si="2"/>
        <v>8530</v>
      </c>
      <c r="AG16" s="56">
        <v>0</v>
      </c>
      <c r="AH16" s="56">
        <v>0</v>
      </c>
      <c r="AI16" s="56"/>
      <c r="AJ16" s="56">
        <f t="shared" si="3"/>
        <v>8530</v>
      </c>
      <c r="AK16" s="85"/>
      <c r="AL16" s="56">
        <v>0</v>
      </c>
      <c r="AM16" s="56"/>
      <c r="AN16" s="88">
        <f t="shared" si="4"/>
        <v>8530</v>
      </c>
      <c r="AO16" s="88">
        <v>0</v>
      </c>
      <c r="AP16" s="88">
        <v>2396.6999999999998</v>
      </c>
      <c r="AQ16" s="56"/>
      <c r="AR16" s="56">
        <v>0</v>
      </c>
      <c r="AS16" s="56"/>
      <c r="AT16" s="56">
        <v>0</v>
      </c>
      <c r="AU16" s="56"/>
      <c r="AV16" s="56">
        <f t="shared" si="0"/>
        <v>2396.6999999999998</v>
      </c>
      <c r="AW16" s="56"/>
      <c r="AX16" s="56">
        <v>0</v>
      </c>
      <c r="AY16" s="56"/>
      <c r="AZ16" s="88">
        <v>5000</v>
      </c>
      <c r="BA16" s="56">
        <v>5000</v>
      </c>
      <c r="BB16" s="214"/>
      <c r="BC16" s="56"/>
      <c r="BD16" s="84">
        <f t="shared" si="5"/>
        <v>-6133.3</v>
      </c>
      <c r="BE16" s="56"/>
      <c r="BF16" s="56"/>
      <c r="BG16" s="56"/>
      <c r="BH16" s="72"/>
    </row>
    <row r="17" spans="1:62" ht="20.100000000000001" customHeight="1" outlineLevel="1">
      <c r="A17" s="77" t="s">
        <v>43</v>
      </c>
      <c r="B17" s="77" t="s">
        <v>592</v>
      </c>
      <c r="C17" s="77" t="s">
        <v>1095</v>
      </c>
      <c r="D17" s="78" t="s">
        <v>46</v>
      </c>
      <c r="E17" s="78" t="str">
        <f t="shared" si="1"/>
        <v>000</v>
      </c>
      <c r="F17" s="3">
        <v>673021</v>
      </c>
      <c r="G17" s="102" t="s">
        <v>57</v>
      </c>
      <c r="H17" s="87"/>
      <c r="I17" s="13">
        <v>0</v>
      </c>
      <c r="J17" s="13">
        <v>3500</v>
      </c>
      <c r="L17" s="56">
        <v>0</v>
      </c>
      <c r="M17" s="56"/>
      <c r="N17" s="56">
        <v>0</v>
      </c>
      <c r="O17" s="56"/>
      <c r="P17" s="56">
        <v>0</v>
      </c>
      <c r="Q17" s="56"/>
      <c r="R17" s="56">
        <v>0</v>
      </c>
      <c r="S17" s="56"/>
      <c r="T17" s="56">
        <v>0</v>
      </c>
      <c r="U17" s="56"/>
      <c r="V17" s="56">
        <v>0</v>
      </c>
      <c r="W17" s="56"/>
      <c r="X17" s="56">
        <v>0</v>
      </c>
      <c r="Y17" s="56"/>
      <c r="Z17" s="56">
        <v>0</v>
      </c>
      <c r="AA17" s="56"/>
      <c r="AB17" s="56">
        <v>0</v>
      </c>
      <c r="AC17" s="56"/>
      <c r="AD17" s="56">
        <v>0</v>
      </c>
      <c r="AE17" s="56"/>
      <c r="AF17" s="56">
        <f t="shared" si="2"/>
        <v>0</v>
      </c>
      <c r="AG17" s="56">
        <v>0</v>
      </c>
      <c r="AH17" s="56">
        <v>0</v>
      </c>
      <c r="AI17" s="56"/>
      <c r="AJ17" s="56">
        <f t="shared" si="3"/>
        <v>0</v>
      </c>
      <c r="AK17" s="85"/>
      <c r="AL17" s="56">
        <v>0</v>
      </c>
      <c r="AM17" s="56"/>
      <c r="AN17" s="88">
        <f t="shared" si="4"/>
        <v>0</v>
      </c>
      <c r="AO17" s="88">
        <v>0</v>
      </c>
      <c r="AP17" s="88">
        <v>0</v>
      </c>
      <c r="AQ17" s="56"/>
      <c r="AR17" s="56">
        <v>0</v>
      </c>
      <c r="AS17" s="56"/>
      <c r="AT17" s="56">
        <v>0</v>
      </c>
      <c r="AU17" s="56"/>
      <c r="AV17" s="56">
        <f t="shared" si="0"/>
        <v>0</v>
      </c>
      <c r="AW17" s="56"/>
      <c r="AX17" s="56">
        <v>0</v>
      </c>
      <c r="AY17" s="56"/>
      <c r="AZ17" s="88">
        <v>0</v>
      </c>
      <c r="BA17" s="56">
        <v>0</v>
      </c>
      <c r="BB17" s="214"/>
      <c r="BC17" s="56"/>
      <c r="BD17" s="84">
        <f t="shared" si="5"/>
        <v>0</v>
      </c>
      <c r="BE17" s="56"/>
      <c r="BF17" s="56"/>
      <c r="BG17" s="56"/>
      <c r="BH17" s="72"/>
    </row>
    <row r="18" spans="1:62" ht="20.100000000000001" customHeight="1" outlineLevel="1">
      <c r="A18" s="77" t="s">
        <v>43</v>
      </c>
      <c r="B18" s="77" t="s">
        <v>666</v>
      </c>
      <c r="C18" s="77" t="s">
        <v>1095</v>
      </c>
      <c r="D18" s="78" t="s">
        <v>46</v>
      </c>
      <c r="E18" s="78" t="str">
        <f t="shared" si="1"/>
        <v>000</v>
      </c>
      <c r="F18" s="3">
        <v>611411</v>
      </c>
      <c r="G18" s="102" t="s">
        <v>684</v>
      </c>
      <c r="H18" s="87"/>
      <c r="I18" s="13">
        <v>12650</v>
      </c>
      <c r="J18" s="13">
        <v>17328</v>
      </c>
      <c r="L18" s="56">
        <v>20851</v>
      </c>
      <c r="M18" s="56"/>
      <c r="N18" s="56">
        <v>21303</v>
      </c>
      <c r="O18" s="56"/>
      <c r="P18" s="56">
        <v>21303</v>
      </c>
      <c r="Q18" s="56"/>
      <c r="R18" s="56">
        <v>25752</v>
      </c>
      <c r="S18" s="56"/>
      <c r="T18" s="56">
        <v>0</v>
      </c>
      <c r="U18" s="56"/>
      <c r="V18" s="56">
        <v>25752</v>
      </c>
      <c r="W18" s="56"/>
      <c r="X18" s="56">
        <v>24716.47</v>
      </c>
      <c r="Y18" s="56"/>
      <c r="Z18" s="56">
        <v>24473</v>
      </c>
      <c r="AA18" s="56"/>
      <c r="AB18" s="56">
        <v>0</v>
      </c>
      <c r="AC18" s="56"/>
      <c r="AD18" s="56">
        <v>0</v>
      </c>
      <c r="AE18" s="56"/>
      <c r="AF18" s="56">
        <f t="shared" si="2"/>
        <v>24473</v>
      </c>
      <c r="AG18" s="56">
        <v>0</v>
      </c>
      <c r="AH18" s="56">
        <v>2250</v>
      </c>
      <c r="AI18" s="56"/>
      <c r="AJ18" s="56">
        <f t="shared" si="3"/>
        <v>26723</v>
      </c>
      <c r="AK18" s="85"/>
      <c r="AL18" s="56">
        <v>0</v>
      </c>
      <c r="AM18" s="56"/>
      <c r="AN18" s="88">
        <f t="shared" si="4"/>
        <v>26723</v>
      </c>
      <c r="AO18" s="88">
        <v>0</v>
      </c>
      <c r="AP18" s="88">
        <v>24861</v>
      </c>
      <c r="AQ18" s="56"/>
      <c r="AR18" s="56">
        <v>0</v>
      </c>
      <c r="AS18" s="56"/>
      <c r="AT18" s="56">
        <v>0</v>
      </c>
      <c r="AU18" s="56"/>
      <c r="AV18" s="56">
        <f t="shared" si="0"/>
        <v>24861</v>
      </c>
      <c r="AW18" s="56"/>
      <c r="AX18" s="56">
        <v>0</v>
      </c>
      <c r="AY18" s="56"/>
      <c r="AZ18" s="88">
        <v>25265</v>
      </c>
      <c r="BA18" s="56">
        <v>25265</v>
      </c>
      <c r="BB18" s="214"/>
      <c r="BC18" s="56"/>
      <c r="BD18" s="84">
        <f t="shared" si="5"/>
        <v>-1862</v>
      </c>
      <c r="BE18" s="56"/>
      <c r="BF18" s="56"/>
      <c r="BG18" s="56"/>
      <c r="BH18" s="72">
        <v>1</v>
      </c>
      <c r="BJ18">
        <v>1</v>
      </c>
    </row>
    <row r="19" spans="1:62" ht="20.100000000000001" customHeight="1" outlineLevel="1">
      <c r="A19" s="77" t="s">
        <v>43</v>
      </c>
      <c r="B19" s="77" t="s">
        <v>666</v>
      </c>
      <c r="C19" s="77" t="s">
        <v>1095</v>
      </c>
      <c r="D19" s="78" t="s">
        <v>46</v>
      </c>
      <c r="E19" s="78" t="str">
        <f t="shared" si="1"/>
        <v>000</v>
      </c>
      <c r="F19" s="3">
        <v>611361</v>
      </c>
      <c r="G19" s="102" t="s">
        <v>685</v>
      </c>
      <c r="H19" s="87"/>
      <c r="I19" s="13">
        <v>9610</v>
      </c>
      <c r="J19" s="13">
        <v>0</v>
      </c>
      <c r="L19" s="56">
        <v>0</v>
      </c>
      <c r="M19" s="56"/>
      <c r="N19" s="56">
        <v>0</v>
      </c>
      <c r="O19" s="56"/>
      <c r="P19" s="56">
        <v>0</v>
      </c>
      <c r="Q19" s="56"/>
      <c r="R19" s="56">
        <v>0</v>
      </c>
      <c r="S19" s="56"/>
      <c r="T19" s="56">
        <v>0</v>
      </c>
      <c r="U19" s="56"/>
      <c r="V19" s="56">
        <v>0</v>
      </c>
      <c r="W19" s="56"/>
      <c r="X19" s="56">
        <v>0</v>
      </c>
      <c r="Y19" s="56"/>
      <c r="Z19" s="56">
        <v>0</v>
      </c>
      <c r="AA19" s="56"/>
      <c r="AB19" s="56">
        <v>0</v>
      </c>
      <c r="AC19" s="56"/>
      <c r="AD19" s="56">
        <v>0</v>
      </c>
      <c r="AE19" s="56"/>
      <c r="AF19" s="56">
        <f t="shared" si="2"/>
        <v>0</v>
      </c>
      <c r="AG19" s="56">
        <v>0</v>
      </c>
      <c r="AH19" s="56">
        <v>0</v>
      </c>
      <c r="AI19" s="56"/>
      <c r="AJ19" s="56">
        <f t="shared" si="3"/>
        <v>0</v>
      </c>
      <c r="AK19" s="85"/>
      <c r="AL19" s="56">
        <v>0</v>
      </c>
      <c r="AM19" s="56"/>
      <c r="AN19" s="88">
        <f t="shared" si="4"/>
        <v>0</v>
      </c>
      <c r="AO19" s="88">
        <v>0</v>
      </c>
      <c r="AP19" s="88">
        <v>0</v>
      </c>
      <c r="AQ19" s="56"/>
      <c r="AR19" s="56">
        <v>0</v>
      </c>
      <c r="AS19" s="56"/>
      <c r="AT19" s="56">
        <v>0</v>
      </c>
      <c r="AU19" s="56"/>
      <c r="AV19" s="56">
        <f t="shared" si="0"/>
        <v>0</v>
      </c>
      <c r="AW19" s="56"/>
      <c r="AX19" s="56">
        <v>0</v>
      </c>
      <c r="AY19" s="56"/>
      <c r="AZ19" s="88"/>
      <c r="BA19" s="56">
        <v>0</v>
      </c>
      <c r="BB19" s="214"/>
      <c r="BC19" s="56"/>
      <c r="BD19" s="84">
        <f t="shared" si="5"/>
        <v>0</v>
      </c>
      <c r="BE19" s="56"/>
      <c r="BF19" s="56"/>
      <c r="BG19" s="56"/>
      <c r="BH19" s="72">
        <v>1</v>
      </c>
      <c r="BJ19">
        <v>1</v>
      </c>
    </row>
    <row r="20" spans="1:62" ht="20.100000000000001" customHeight="1" outlineLevel="1">
      <c r="A20" s="77" t="s">
        <v>43</v>
      </c>
      <c r="B20" s="77" t="s">
        <v>621</v>
      </c>
      <c r="C20" s="77" t="s">
        <v>1095</v>
      </c>
      <c r="D20" s="78" t="s">
        <v>46</v>
      </c>
      <c r="E20" s="78" t="str">
        <f t="shared" si="1"/>
        <v>000</v>
      </c>
      <c r="F20" s="3">
        <v>611117</v>
      </c>
      <c r="G20" s="102" t="s">
        <v>686</v>
      </c>
      <c r="H20" s="87"/>
      <c r="I20" s="13">
        <v>61876</v>
      </c>
      <c r="J20" s="13">
        <v>62591</v>
      </c>
      <c r="L20" s="56">
        <v>68252</v>
      </c>
      <c r="M20" s="56"/>
      <c r="N20" s="56">
        <v>75510</v>
      </c>
      <c r="O20" s="56"/>
      <c r="P20" s="56">
        <v>75510</v>
      </c>
      <c r="Q20" s="56"/>
      <c r="R20" s="56">
        <v>77210</v>
      </c>
      <c r="S20" s="56"/>
      <c r="T20" s="56">
        <v>0</v>
      </c>
      <c r="U20" s="56"/>
      <c r="V20" s="56">
        <v>77210</v>
      </c>
      <c r="W20" s="56"/>
      <c r="X20" s="56">
        <v>77210</v>
      </c>
      <c r="Y20" s="56"/>
      <c r="Z20" s="56">
        <v>76927</v>
      </c>
      <c r="AA20" s="56"/>
      <c r="AB20" s="56">
        <v>0</v>
      </c>
      <c r="AC20" s="56"/>
      <c r="AD20" s="56">
        <v>0</v>
      </c>
      <c r="AE20" s="56"/>
      <c r="AF20" s="56">
        <f t="shared" si="2"/>
        <v>76927</v>
      </c>
      <c r="AG20" s="56">
        <v>0</v>
      </c>
      <c r="AH20" s="56">
        <v>1250</v>
      </c>
      <c r="AI20" s="56"/>
      <c r="AJ20" s="56">
        <f t="shared" si="3"/>
        <v>78177</v>
      </c>
      <c r="AK20" s="85"/>
      <c r="AL20" s="56">
        <v>0</v>
      </c>
      <c r="AM20" s="56"/>
      <c r="AN20" s="88">
        <f t="shared" si="4"/>
        <v>78177</v>
      </c>
      <c r="AO20" s="88">
        <v>0</v>
      </c>
      <c r="AP20" s="88">
        <v>76926.960000000006</v>
      </c>
      <c r="AQ20" s="56"/>
      <c r="AR20" s="56">
        <v>0</v>
      </c>
      <c r="AS20" s="56"/>
      <c r="AT20" s="56">
        <v>0</v>
      </c>
      <c r="AU20" s="56"/>
      <c r="AV20" s="56">
        <f t="shared" si="0"/>
        <v>76926.960000000006</v>
      </c>
      <c r="AW20" s="56"/>
      <c r="AX20" s="56">
        <v>0</v>
      </c>
      <c r="AY20" s="56"/>
      <c r="AZ20" s="88">
        <v>76927</v>
      </c>
      <c r="BA20" s="56">
        <v>76927</v>
      </c>
      <c r="BB20" s="214"/>
      <c r="BC20" s="56"/>
      <c r="BD20" s="84">
        <f t="shared" si="5"/>
        <v>-1250.0399999999936</v>
      </c>
      <c r="BE20" s="56"/>
      <c r="BF20" s="56"/>
      <c r="BG20" s="56"/>
      <c r="BH20" s="72">
        <v>1</v>
      </c>
      <c r="BJ20">
        <v>1</v>
      </c>
    </row>
    <row r="21" spans="1:62" ht="20.100000000000001" customHeight="1" outlineLevel="1">
      <c r="A21" s="77" t="s">
        <v>43</v>
      </c>
      <c r="B21" s="77" t="s">
        <v>218</v>
      </c>
      <c r="C21" s="77" t="s">
        <v>1095</v>
      </c>
      <c r="D21" s="78" t="s">
        <v>46</v>
      </c>
      <c r="E21" s="78" t="str">
        <f t="shared" si="1"/>
        <v>000</v>
      </c>
      <c r="F21" s="3">
        <v>632013</v>
      </c>
      <c r="G21" s="102" t="s">
        <v>687</v>
      </c>
      <c r="H21" s="87"/>
      <c r="I21" s="13">
        <v>0</v>
      </c>
      <c r="J21" s="13">
        <v>0</v>
      </c>
      <c r="L21" s="56">
        <v>0</v>
      </c>
      <c r="M21" s="56"/>
      <c r="N21" s="56">
        <v>1500</v>
      </c>
      <c r="O21" s="56"/>
      <c r="P21" s="56">
        <v>1500</v>
      </c>
      <c r="Q21" s="56"/>
      <c r="R21" s="56">
        <v>1500</v>
      </c>
      <c r="S21" s="56"/>
      <c r="T21" s="56">
        <v>0</v>
      </c>
      <c r="U21" s="56"/>
      <c r="V21" s="56">
        <v>1500</v>
      </c>
      <c r="W21" s="56"/>
      <c r="X21" s="56">
        <v>0</v>
      </c>
      <c r="Y21" s="56"/>
      <c r="Z21" s="56">
        <v>609</v>
      </c>
      <c r="AA21" s="56"/>
      <c r="AB21" s="56">
        <v>0</v>
      </c>
      <c r="AC21" s="56"/>
      <c r="AD21" s="56">
        <v>0</v>
      </c>
      <c r="AE21" s="56"/>
      <c r="AF21" s="56">
        <f t="shared" si="2"/>
        <v>609</v>
      </c>
      <c r="AG21" s="89">
        <v>15000</v>
      </c>
      <c r="AH21" s="56">
        <v>0</v>
      </c>
      <c r="AI21" s="56"/>
      <c r="AJ21" s="56">
        <f t="shared" si="3"/>
        <v>15609</v>
      </c>
      <c r="AK21" s="85"/>
      <c r="AL21" s="56">
        <v>0</v>
      </c>
      <c r="AM21" s="56"/>
      <c r="AN21" s="88">
        <f t="shared" si="4"/>
        <v>15609</v>
      </c>
      <c r="AO21" s="88">
        <v>0</v>
      </c>
      <c r="AP21" s="88">
        <v>0</v>
      </c>
      <c r="AQ21" s="56"/>
      <c r="AR21" s="56">
        <v>0</v>
      </c>
      <c r="AS21" s="56"/>
      <c r="AT21" s="56">
        <v>0</v>
      </c>
      <c r="AU21" s="56"/>
      <c r="AV21" s="56">
        <f t="shared" si="0"/>
        <v>0</v>
      </c>
      <c r="AW21" s="56"/>
      <c r="AX21" s="56">
        <v>0</v>
      </c>
      <c r="AY21" s="56"/>
      <c r="AZ21" s="88">
        <v>640</v>
      </c>
      <c r="BA21" s="56">
        <v>640</v>
      </c>
      <c r="BB21" s="214"/>
      <c r="BC21" s="56"/>
      <c r="BD21" s="84">
        <f t="shared" si="5"/>
        <v>-15609</v>
      </c>
      <c r="BE21" s="56"/>
      <c r="BF21" s="56"/>
      <c r="BG21" s="56"/>
      <c r="BH21" s="72"/>
    </row>
    <row r="22" spans="1:62" ht="20.100000000000001" customHeight="1" outlineLevel="1">
      <c r="A22" s="77" t="s">
        <v>43</v>
      </c>
      <c r="B22" s="77" t="s">
        <v>613</v>
      </c>
      <c r="C22" s="77" t="s">
        <v>1095</v>
      </c>
      <c r="D22" s="78" t="s">
        <v>46</v>
      </c>
      <c r="E22" s="78" t="str">
        <f t="shared" si="1"/>
        <v>000</v>
      </c>
      <c r="F22" s="3">
        <v>633945</v>
      </c>
      <c r="G22" s="102" t="s">
        <v>688</v>
      </c>
      <c r="H22" s="87"/>
      <c r="I22" s="13">
        <v>0</v>
      </c>
      <c r="J22" s="13">
        <v>0</v>
      </c>
      <c r="L22" s="56">
        <v>0</v>
      </c>
      <c r="M22" s="56"/>
      <c r="N22" s="56">
        <v>0</v>
      </c>
      <c r="O22" s="56"/>
      <c r="P22" s="56"/>
      <c r="Q22" s="56"/>
      <c r="R22" s="56"/>
      <c r="S22" s="56"/>
      <c r="T22" s="56"/>
      <c r="U22" s="56"/>
      <c r="V22" s="56">
        <v>0</v>
      </c>
      <c r="W22" s="56"/>
      <c r="X22" s="56">
        <v>19918.490000000002</v>
      </c>
      <c r="Y22" s="56"/>
      <c r="Z22" s="56">
        <v>0</v>
      </c>
      <c r="AA22" s="56"/>
      <c r="AB22" s="56">
        <v>0</v>
      </c>
      <c r="AC22" s="56"/>
      <c r="AD22" s="56">
        <v>0</v>
      </c>
      <c r="AE22" s="56"/>
      <c r="AF22" s="56">
        <f t="shared" si="2"/>
        <v>0</v>
      </c>
      <c r="AG22" s="56">
        <v>0</v>
      </c>
      <c r="AH22" s="56">
        <v>0</v>
      </c>
      <c r="AI22" s="56"/>
      <c r="AJ22" s="56">
        <f t="shared" si="3"/>
        <v>0</v>
      </c>
      <c r="AK22" s="85"/>
      <c r="AL22" s="89">
        <v>8200</v>
      </c>
      <c r="AM22" s="56"/>
      <c r="AN22" s="88">
        <f t="shared" si="4"/>
        <v>8200</v>
      </c>
      <c r="AO22" s="88">
        <v>0</v>
      </c>
      <c r="AP22" s="88">
        <v>0</v>
      </c>
      <c r="AQ22" s="56"/>
      <c r="AR22" s="56">
        <v>0</v>
      </c>
      <c r="AS22" s="56"/>
      <c r="AT22" s="56">
        <v>0</v>
      </c>
      <c r="AU22" s="56"/>
      <c r="AV22" s="56">
        <f t="shared" si="0"/>
        <v>0</v>
      </c>
      <c r="AW22" s="56"/>
      <c r="AX22" s="56">
        <v>0</v>
      </c>
      <c r="AY22" s="56"/>
      <c r="AZ22" s="88">
        <v>0</v>
      </c>
      <c r="BA22" s="56">
        <v>0</v>
      </c>
      <c r="BB22" s="214"/>
      <c r="BC22" s="56"/>
      <c r="BD22" s="84">
        <f t="shared" si="5"/>
        <v>-8200</v>
      </c>
      <c r="BE22" s="56"/>
      <c r="BF22" s="56"/>
      <c r="BG22" s="56"/>
      <c r="BH22" s="72"/>
    </row>
    <row r="23" spans="1:62" ht="20.100000000000001" customHeight="1" outlineLevel="1">
      <c r="A23" s="77" t="s">
        <v>43</v>
      </c>
      <c r="B23" s="77" t="s">
        <v>218</v>
      </c>
      <c r="C23" s="77" t="s">
        <v>1095</v>
      </c>
      <c r="D23" s="78" t="s">
        <v>46</v>
      </c>
      <c r="E23" s="78" t="str">
        <f t="shared" si="1"/>
        <v>000</v>
      </c>
      <c r="F23" s="3">
        <v>658211</v>
      </c>
      <c r="G23" s="102" t="s">
        <v>689</v>
      </c>
      <c r="H23" s="87"/>
      <c r="I23" s="13">
        <v>889</v>
      </c>
      <c r="J23" s="13">
        <v>769</v>
      </c>
      <c r="L23" s="56">
        <v>728</v>
      </c>
      <c r="M23" s="56"/>
      <c r="N23" s="56">
        <v>1100</v>
      </c>
      <c r="O23" s="56"/>
      <c r="P23" s="56">
        <v>21100</v>
      </c>
      <c r="Q23" s="56"/>
      <c r="R23" s="56">
        <v>21100</v>
      </c>
      <c r="S23" s="56"/>
      <c r="T23" s="56">
        <v>0</v>
      </c>
      <c r="U23" s="56"/>
      <c r="V23" s="56">
        <v>21100</v>
      </c>
      <c r="W23" s="56"/>
      <c r="X23" s="56">
        <v>0</v>
      </c>
      <c r="Y23" s="56"/>
      <c r="Z23" s="56">
        <v>1100</v>
      </c>
      <c r="AA23" s="56"/>
      <c r="AB23" s="56">
        <v>0</v>
      </c>
      <c r="AC23" s="56"/>
      <c r="AD23" s="56">
        <v>0</v>
      </c>
      <c r="AE23" s="56"/>
      <c r="AF23" s="56">
        <f t="shared" si="2"/>
        <v>1100</v>
      </c>
      <c r="AG23" s="56">
        <v>0</v>
      </c>
      <c r="AH23" s="56">
        <v>0</v>
      </c>
      <c r="AI23" s="56"/>
      <c r="AJ23" s="56">
        <f t="shared" si="3"/>
        <v>1100</v>
      </c>
      <c r="AK23" s="85"/>
      <c r="AL23" s="56">
        <v>0</v>
      </c>
      <c r="AM23" s="56"/>
      <c r="AN23" s="88">
        <f t="shared" si="4"/>
        <v>1100</v>
      </c>
      <c r="AO23" s="88">
        <v>0</v>
      </c>
      <c r="AP23" s="88">
        <v>1327.66</v>
      </c>
      <c r="AQ23" s="56"/>
      <c r="AR23" s="56">
        <v>0</v>
      </c>
      <c r="AS23" s="56"/>
      <c r="AT23" s="56">
        <v>0</v>
      </c>
      <c r="AU23" s="56"/>
      <c r="AV23" s="56">
        <f t="shared" si="0"/>
        <v>1327.66</v>
      </c>
      <c r="AW23" s="56"/>
      <c r="AX23" s="56">
        <v>0</v>
      </c>
      <c r="AY23" s="56"/>
      <c r="AZ23" s="88">
        <v>1100</v>
      </c>
      <c r="BA23" s="56">
        <v>1100</v>
      </c>
      <c r="BB23" s="214"/>
      <c r="BC23" s="56"/>
      <c r="BD23" s="84">
        <f t="shared" si="5"/>
        <v>227.66000000000008</v>
      </c>
      <c r="BE23" s="56"/>
      <c r="BF23" s="56"/>
      <c r="BG23" s="56"/>
      <c r="BH23" s="72"/>
    </row>
    <row r="24" spans="1:62" ht="20.100000000000001" customHeight="1" outlineLevel="1">
      <c r="A24" s="77" t="s">
        <v>43</v>
      </c>
      <c r="B24" s="77" t="s">
        <v>218</v>
      </c>
      <c r="C24" s="77" t="s">
        <v>1095</v>
      </c>
      <c r="D24" s="78" t="s">
        <v>46</v>
      </c>
      <c r="E24" s="78" t="str">
        <f t="shared" si="1"/>
        <v>000</v>
      </c>
      <c r="F24" s="3">
        <v>653051</v>
      </c>
      <c r="G24" s="102" t="s">
        <v>690</v>
      </c>
      <c r="H24" s="87"/>
      <c r="I24" s="13">
        <v>282</v>
      </c>
      <c r="J24" s="13">
        <v>84</v>
      </c>
      <c r="L24" s="56">
        <v>226</v>
      </c>
      <c r="M24" s="56"/>
      <c r="N24" s="56">
        <v>300</v>
      </c>
      <c r="O24" s="56"/>
      <c r="P24" s="56">
        <v>300</v>
      </c>
      <c r="Q24" s="56"/>
      <c r="R24" s="56">
        <v>300</v>
      </c>
      <c r="S24" s="56"/>
      <c r="T24" s="56">
        <v>0</v>
      </c>
      <c r="U24" s="56"/>
      <c r="V24" s="56">
        <v>300</v>
      </c>
      <c r="W24" s="56"/>
      <c r="X24" s="56">
        <v>140.94999999999999</v>
      </c>
      <c r="Y24" s="56"/>
      <c r="Z24" s="56">
        <v>300</v>
      </c>
      <c r="AA24" s="56"/>
      <c r="AB24" s="56">
        <v>0</v>
      </c>
      <c r="AC24" s="56"/>
      <c r="AD24" s="56">
        <v>0</v>
      </c>
      <c r="AE24" s="56"/>
      <c r="AF24" s="56">
        <f t="shared" si="2"/>
        <v>300</v>
      </c>
      <c r="AG24" s="56">
        <v>0</v>
      </c>
      <c r="AH24" s="56">
        <v>0</v>
      </c>
      <c r="AI24" s="56"/>
      <c r="AJ24" s="56">
        <f t="shared" si="3"/>
        <v>300</v>
      </c>
      <c r="AK24" s="85"/>
      <c r="AL24" s="56">
        <v>0</v>
      </c>
      <c r="AM24" s="56"/>
      <c r="AN24" s="88">
        <f t="shared" si="4"/>
        <v>300</v>
      </c>
      <c r="AO24" s="88">
        <v>0</v>
      </c>
      <c r="AP24" s="88">
        <v>232.9</v>
      </c>
      <c r="AQ24" s="56"/>
      <c r="AR24" s="56">
        <v>0</v>
      </c>
      <c r="AS24" s="56"/>
      <c r="AT24" s="56">
        <v>0</v>
      </c>
      <c r="AU24" s="56"/>
      <c r="AV24" s="56">
        <f t="shared" si="0"/>
        <v>232.9</v>
      </c>
      <c r="AW24" s="56"/>
      <c r="AX24" s="56">
        <v>0</v>
      </c>
      <c r="AY24" s="56"/>
      <c r="AZ24" s="88">
        <v>300</v>
      </c>
      <c r="BA24" s="56">
        <v>300</v>
      </c>
      <c r="BB24" s="214"/>
      <c r="BC24" s="56"/>
      <c r="BD24" s="84">
        <f t="shared" si="5"/>
        <v>-67.099999999999994</v>
      </c>
      <c r="BE24" s="56"/>
      <c r="BF24" s="56"/>
      <c r="BG24" s="56"/>
      <c r="BH24" s="72"/>
    </row>
    <row r="25" spans="1:62" ht="20.100000000000001" customHeight="1" outlineLevel="1">
      <c r="A25" s="77" t="s">
        <v>43</v>
      </c>
      <c r="B25" s="77" t="s">
        <v>218</v>
      </c>
      <c r="C25" s="77" t="s">
        <v>1095</v>
      </c>
      <c r="D25" s="78" t="s">
        <v>46</v>
      </c>
      <c r="E25" s="78" t="str">
        <f t="shared" si="1"/>
        <v>000</v>
      </c>
      <c r="F25" s="3">
        <v>658212</v>
      </c>
      <c r="G25" s="102" t="s">
        <v>691</v>
      </c>
      <c r="H25" s="87"/>
      <c r="I25" s="13">
        <v>0</v>
      </c>
      <c r="J25" s="13">
        <v>0</v>
      </c>
      <c r="L25" s="56">
        <v>0</v>
      </c>
      <c r="M25" s="56"/>
      <c r="N25" s="56">
        <v>0</v>
      </c>
      <c r="O25" s="56"/>
      <c r="P25" s="56">
        <v>0</v>
      </c>
      <c r="Q25" s="56"/>
      <c r="R25" s="56">
        <v>0</v>
      </c>
      <c r="S25" s="56"/>
      <c r="T25" s="56">
        <v>0</v>
      </c>
      <c r="U25" s="56"/>
      <c r="V25" s="56">
        <v>0</v>
      </c>
      <c r="W25" s="56"/>
      <c r="X25" s="56">
        <v>1006.51</v>
      </c>
      <c r="Y25" s="56"/>
      <c r="Z25" s="56">
        <v>0</v>
      </c>
      <c r="AA25" s="56"/>
      <c r="AB25" s="56">
        <v>0</v>
      </c>
      <c r="AC25" s="56"/>
      <c r="AD25" s="56"/>
      <c r="AE25" s="56"/>
      <c r="AF25" s="56">
        <f t="shared" si="2"/>
        <v>0</v>
      </c>
      <c r="AG25" s="56">
        <v>0</v>
      </c>
      <c r="AH25" s="56">
        <v>0</v>
      </c>
      <c r="AI25" s="56"/>
      <c r="AJ25" s="56">
        <f t="shared" si="3"/>
        <v>0</v>
      </c>
      <c r="AK25" s="85"/>
      <c r="AL25" s="56">
        <v>0</v>
      </c>
      <c r="AM25" s="56"/>
      <c r="AN25" s="88">
        <f t="shared" si="4"/>
        <v>0</v>
      </c>
      <c r="AO25" s="88">
        <v>0</v>
      </c>
      <c r="AP25" s="88">
        <v>0</v>
      </c>
      <c r="AQ25" s="56"/>
      <c r="AR25" s="56">
        <v>0</v>
      </c>
      <c r="AS25" s="56"/>
      <c r="AT25" s="56"/>
      <c r="AU25" s="56"/>
      <c r="AV25" s="56">
        <f t="shared" si="0"/>
        <v>0</v>
      </c>
      <c r="AW25" s="56"/>
      <c r="AX25" s="56">
        <v>0</v>
      </c>
      <c r="AY25" s="56"/>
      <c r="AZ25" s="88">
        <v>0</v>
      </c>
      <c r="BA25" s="56">
        <v>0</v>
      </c>
      <c r="BB25" s="214"/>
      <c r="BC25" s="56"/>
      <c r="BD25" s="84">
        <f t="shared" si="5"/>
        <v>0</v>
      </c>
      <c r="BE25" s="56"/>
      <c r="BF25" s="56"/>
      <c r="BG25" s="56"/>
      <c r="BH25" s="72"/>
    </row>
    <row r="26" spans="1:62" ht="20.100000000000001" customHeight="1">
      <c r="B26" s="77"/>
      <c r="C26" s="77"/>
      <c r="D26" s="90"/>
      <c r="E26" s="90"/>
      <c r="F26" s="3"/>
      <c r="G26" s="110" t="s">
        <v>692</v>
      </c>
      <c r="H26" s="81"/>
      <c r="I26" s="92">
        <v>1743573</v>
      </c>
      <c r="J26" s="93">
        <v>1847266</v>
      </c>
      <c r="L26" s="125">
        <v>2145539</v>
      </c>
      <c r="M26" s="126"/>
      <c r="N26" s="125">
        <v>2237451</v>
      </c>
      <c r="O26" s="126"/>
      <c r="P26" s="125">
        <v>2258702</v>
      </c>
      <c r="Q26" s="126"/>
      <c r="R26" s="125">
        <v>2185563</v>
      </c>
      <c r="S26" s="95"/>
      <c r="T26" s="94">
        <v>0</v>
      </c>
      <c r="U26" s="126"/>
      <c r="V26" s="125">
        <v>2185563</v>
      </c>
      <c r="W26" s="126"/>
      <c r="X26" s="125">
        <f>SUBTOTAL(9,X11:X25)</f>
        <v>2092373.03</v>
      </c>
      <c r="Y26" s="126"/>
      <c r="Z26" s="125">
        <f>SUBTOTAL(9,Z11:Z25)</f>
        <v>2142553</v>
      </c>
      <c r="AA26" s="126"/>
      <c r="AB26" s="125">
        <f>SUBTOTAL(9,AB11:AB25)</f>
        <v>20000</v>
      </c>
      <c r="AC26" s="126"/>
      <c r="AD26" s="125">
        <f>SUBTOTAL(9,AD11:AD25)</f>
        <v>16807</v>
      </c>
      <c r="AE26" s="126"/>
      <c r="AF26" s="125">
        <f>SUBTOTAL(9,AF11:AF25)</f>
        <v>2179360</v>
      </c>
      <c r="AG26" s="125">
        <f>SUBTOTAL(9,AG11:AG25)</f>
        <v>41000</v>
      </c>
      <c r="AH26" s="125">
        <f>SUBTOTAL(9,AH11:AH25)</f>
        <v>65625</v>
      </c>
      <c r="AI26" s="126"/>
      <c r="AJ26" s="125">
        <f>SUBTOTAL(9,AJ11:AJ25)</f>
        <v>2285985</v>
      </c>
      <c r="AK26" s="96"/>
      <c r="AL26" s="125">
        <f>SUBTOTAL(9,AL11:AL25)</f>
        <v>12200</v>
      </c>
      <c r="AM26" s="126"/>
      <c r="AN26" s="127">
        <f>SUBTOTAL(9,AN11:AN25)</f>
        <v>2298185</v>
      </c>
      <c r="AO26" s="127">
        <f>SUBTOTAL(9,AO11:AO25)</f>
        <v>0</v>
      </c>
      <c r="AP26" s="127">
        <f>SUBTOTAL(9,AP11:AP25)</f>
        <v>2418319.0100000002</v>
      </c>
      <c r="AQ26" s="126"/>
      <c r="AR26" s="125">
        <f>SUBTOTAL(9,AR11:AR25)</f>
        <v>0</v>
      </c>
      <c r="AS26" s="126"/>
      <c r="AT26" s="125">
        <f>SUBTOTAL(9,AT11:AT25)</f>
        <v>0</v>
      </c>
      <c r="AU26" s="126"/>
      <c r="AV26" s="125">
        <f>SUBTOTAL(9,AV11:AV25)</f>
        <v>2418319.0100000002</v>
      </c>
      <c r="AW26" s="126"/>
      <c r="AX26" s="125">
        <f>SUBTOTAL(9,AX11:AX25)</f>
        <v>346611</v>
      </c>
      <c r="AY26" s="126"/>
      <c r="AZ26" s="127">
        <f>SUBTOTAL(9,AZ11:AZ25)</f>
        <v>2449664</v>
      </c>
      <c r="BA26" s="125">
        <f>SUBTOTAL(9,BA11:BA25)</f>
        <v>2597374</v>
      </c>
      <c r="BB26" s="214"/>
      <c r="BC26" s="56"/>
      <c r="BD26" s="98">
        <f t="shared" si="5"/>
        <v>120134.01000000024</v>
      </c>
      <c r="BE26" s="126"/>
      <c r="BF26" s="126"/>
      <c r="BG26" s="126"/>
    </row>
    <row r="41" spans="18:63">
      <c r="R41" s="7">
        <v>420044982</v>
      </c>
      <c r="BI41" s="211"/>
      <c r="BJ41" s="7"/>
      <c r="BK41" s="7"/>
    </row>
    <row r="42" spans="18:63">
      <c r="BI42" s="211"/>
      <c r="BJ42" s="7"/>
    </row>
  </sheetData>
  <autoFilter ref="A9:BH26"/>
  <mergeCells count="8">
    <mergeCell ref="A8:E8"/>
    <mergeCell ref="AG2:AH2"/>
    <mergeCell ref="AG3:AH3"/>
    <mergeCell ref="AG4:AH4"/>
    <mergeCell ref="AB4:AD4"/>
    <mergeCell ref="A6:F6"/>
    <mergeCell ref="A7:F7"/>
    <mergeCell ref="AB5:AD5"/>
  </mergeCells>
  <phoneticPr fontId="3" type="noConversion"/>
  <conditionalFormatting sqref="F1:F1048576">
    <cfRule type="cellIs" dxfId="23" priority="1" stopIfTrue="1" operator="between">
      <formula>610000</formula>
      <formula>619999</formula>
    </cfRule>
  </conditionalFormatting>
  <pageMargins left="0.54" right="0.25" top="0.24" bottom="0.49" header="0.25" footer="0"/>
  <pageSetup scale="77" fitToHeight="0" orientation="landscape" r:id="rId1"/>
  <headerFooter alignWithMargins="0">
    <oddFooter>&amp;C&amp;8Detail of Expenditures Budget By Department, Page &amp;P of &amp;N</oddFooter>
  </headerFooter>
  <legacyDrawing r:id="rId2"/>
</worksheet>
</file>

<file path=xl/worksheets/sheet15.xml><?xml version="1.0" encoding="utf-8"?>
<worksheet xmlns="http://schemas.openxmlformats.org/spreadsheetml/2006/main" xmlns:r="http://schemas.openxmlformats.org/officeDocument/2006/relationships">
  <sheetPr codeName="Sheet14" enableFormatConditionsCalculation="0">
    <tabColor indexed="17"/>
    <pageSetUpPr fitToPage="1"/>
  </sheetPr>
  <dimension ref="A1:BK55"/>
  <sheetViews>
    <sheetView zoomScale="87" zoomScaleNormal="90" workbookViewId="0">
      <pane xSplit="8" ySplit="9" topLeftCell="O10" activePane="bottomRight" state="frozen"/>
      <selection activeCell="A28" sqref="A28"/>
      <selection pane="topRight" activeCell="A28" sqref="A28"/>
      <selection pane="bottomLeft" activeCell="A28" sqref="A28"/>
      <selection pane="bottomRight"/>
    </sheetView>
  </sheetViews>
  <sheetFormatPr defaultRowHeight="12.75" outlineLevelRow="1" outlineLevelCol="1"/>
  <cols>
    <col min="1" max="1" width="7" style="39" customWidth="1" outlineLevel="1"/>
    <col min="2" max="2" width="6.140625" style="39" customWidth="1" outlineLevel="1"/>
    <col min="3" max="3" width="3.7109375" style="39" customWidth="1" outlineLevel="1"/>
    <col min="4" max="5" width="4.85546875" style="168" customWidth="1" outlineLevel="1"/>
    <col min="6" max="6" width="8.7109375" style="40" customWidth="1" outlineLevel="1"/>
    <col min="7" max="7" width="28.5703125" style="4" customWidth="1"/>
    <col min="8" max="8" width="16.5703125" style="4" hidden="1" customWidth="1"/>
    <col min="9" max="10" width="15.140625" style="4" hidden="1" customWidth="1" collapsed="1"/>
    <col min="11" max="11" width="39.5703125" style="4" hidden="1" customWidth="1"/>
    <col min="12" max="12" width="15.140625" style="7" bestFit="1" customWidth="1" collapsed="1"/>
    <col min="13" max="13" width="31.7109375" style="7" hidden="1" customWidth="1"/>
    <col min="14" max="14" width="35.5703125" style="7" hidden="1" customWidth="1" collapsed="1"/>
    <col min="15" max="15" width="0.140625" style="7" customWidth="1"/>
    <col min="16" max="16" width="25.28515625" style="7" hidden="1" customWidth="1" outlineLevel="1" collapsed="1"/>
    <col min="17" max="17" width="23.42578125" style="7" hidden="1" customWidth="1" outlineLevel="1"/>
    <col min="18" max="18" width="20.5703125" style="7" hidden="1" customWidth="1" outlineLevel="1" collapsed="1"/>
    <col min="19" max="19" width="18" style="7" hidden="1" customWidth="1" outlineLevel="1"/>
    <col min="20" max="20" width="19.5703125" style="7" hidden="1" customWidth="1" outlineLevel="1"/>
    <col min="21" max="21" width="18.42578125" style="7" hidden="1" customWidth="1" outlineLevel="1"/>
    <col min="22" max="22" width="13.140625" style="7" hidden="1" customWidth="1"/>
    <col min="23" max="23" width="14.140625" style="7" hidden="1" customWidth="1"/>
    <col min="24" max="24" width="14.5703125" style="7" customWidth="1" collapsed="1"/>
    <col min="25" max="25" width="0.85546875" style="7" hidden="1" customWidth="1"/>
    <col min="26" max="26" width="16.140625" style="7" hidden="1" customWidth="1"/>
    <col min="27" max="27" width="0.140625" style="7" hidden="1" customWidth="1"/>
    <col min="28" max="28" width="16.140625" style="7" hidden="1" customWidth="1" outlineLevel="1"/>
    <col min="29" max="29" width="0.42578125" style="7" hidden="1" customWidth="1" outlineLevel="1"/>
    <col min="30" max="30" width="17.85546875" style="7" hidden="1" customWidth="1" outlineLevel="1"/>
    <col min="31" max="31" width="0.42578125" style="7" hidden="1" customWidth="1" outlineLevel="1"/>
    <col min="32" max="32" width="16.140625" style="7" hidden="1" customWidth="1" collapsed="1"/>
    <col min="33" max="33" width="16" style="7" hidden="1" customWidth="1" outlineLevel="1"/>
    <col min="34" max="34" width="17" style="7" hidden="1" customWidth="1" outlineLevel="1"/>
    <col min="35" max="35" width="10.5703125" style="7" hidden="1" customWidth="1" outlineLevel="1"/>
    <col min="36" max="36" width="16.140625" style="7" hidden="1" customWidth="1" collapsed="1"/>
    <col min="37" max="37" width="0.7109375" style="7" hidden="1" customWidth="1"/>
    <col min="38" max="38" width="16.140625" style="7" hidden="1" customWidth="1" outlineLevel="1"/>
    <col min="39" max="39" width="4.140625" style="7" hidden="1" customWidth="1" outlineLevel="1"/>
    <col min="40" max="40" width="16.140625" style="17" customWidth="1" collapsed="1"/>
    <col min="41" max="41" width="16.140625" style="17" hidden="1" customWidth="1" collapsed="1"/>
    <col min="42" max="42" width="16.140625" style="17" customWidth="1" collapsed="1"/>
    <col min="43" max="43" width="0.7109375" style="7" hidden="1" customWidth="1" outlineLevel="1"/>
    <col min="44" max="44" width="22.140625" style="7" hidden="1" customWidth="1" outlineLevel="1"/>
    <col min="45" max="45" width="0.42578125" style="7" hidden="1" customWidth="1" outlineLevel="1"/>
    <col min="46" max="46" width="17.85546875" style="7" hidden="1" customWidth="1" outlineLevel="1"/>
    <col min="47" max="47" width="0.42578125" style="7" hidden="1" customWidth="1" outlineLevel="1"/>
    <col min="48" max="48" width="18" style="7" hidden="1" customWidth="1" collapsed="1"/>
    <col min="49" max="49" width="0.5703125" style="7" hidden="1" customWidth="1"/>
    <col min="50" max="50" width="18" style="7" hidden="1" customWidth="1"/>
    <col min="51" max="51" width="0.5703125" style="7" customWidth="1"/>
    <col min="52" max="52" width="15.140625" style="7" customWidth="1"/>
    <col min="53" max="53" width="15.7109375" style="7" bestFit="1" customWidth="1"/>
    <col min="54" max="54" width="15.140625" style="7" customWidth="1"/>
    <col min="55" max="55" width="23.140625" style="7" customWidth="1"/>
    <col min="56" max="56" width="19.85546875" style="7" bestFit="1" customWidth="1"/>
    <col min="57" max="59" width="12.42578125" style="7" customWidth="1"/>
    <col min="60" max="60" width="3.85546875" style="76" customWidth="1"/>
    <col min="61" max="61" width="14.5703125" style="12" bestFit="1" customWidth="1"/>
  </cols>
  <sheetData>
    <row r="1" spans="1:62" ht="15">
      <c r="A1" s="1" t="s">
        <v>0</v>
      </c>
      <c r="B1" s="2"/>
      <c r="C1" s="2"/>
      <c r="D1" s="1"/>
      <c r="E1" s="1"/>
      <c r="F1" s="3"/>
      <c r="H1" s="5"/>
      <c r="I1" s="6"/>
      <c r="T1" s="8"/>
      <c r="Z1" s="9"/>
      <c r="AB1" s="9"/>
      <c r="AD1" s="9"/>
      <c r="AF1" s="9"/>
      <c r="AH1" s="10" t="e">
        <f>+#REF!</f>
        <v>#REF!</v>
      </c>
      <c r="AJ1" s="9"/>
      <c r="AK1" s="9"/>
      <c r="AN1" s="9"/>
      <c r="AO1" s="9"/>
      <c r="AP1" s="9"/>
      <c r="AR1" s="9"/>
      <c r="AT1" s="9"/>
      <c r="AV1" s="9"/>
      <c r="AW1" s="9"/>
      <c r="AX1" s="9"/>
      <c r="AY1" s="9"/>
      <c r="AZ1" s="9"/>
      <c r="BA1" s="9"/>
      <c r="BB1" s="9"/>
      <c r="BC1" s="9"/>
      <c r="BD1" s="9"/>
      <c r="BE1" s="9"/>
      <c r="BF1" s="9"/>
      <c r="BG1" s="9"/>
      <c r="BH1" s="11"/>
    </row>
    <row r="2" spans="1:62" ht="15">
      <c r="A2" s="1" t="s">
        <v>1053</v>
      </c>
      <c r="B2" s="2"/>
      <c r="C2" s="2"/>
      <c r="D2" s="1"/>
      <c r="E2" s="1"/>
      <c r="F2" s="3"/>
      <c r="H2" s="5"/>
      <c r="I2" s="13"/>
      <c r="J2" s="14"/>
      <c r="K2" s="14"/>
      <c r="L2" s="15"/>
      <c r="M2" s="15"/>
      <c r="N2" s="15"/>
      <c r="O2" s="15"/>
      <c r="P2" s="15"/>
      <c r="R2" s="15"/>
      <c r="T2" s="8"/>
      <c r="V2" s="15"/>
      <c r="X2" s="15"/>
      <c r="Z2" s="15"/>
      <c r="AB2" s="15"/>
      <c r="AD2" s="15"/>
      <c r="AF2" s="15"/>
      <c r="AG2" s="238" t="s">
        <v>1</v>
      </c>
      <c r="AH2" s="238"/>
      <c r="AI2" s="17"/>
      <c r="AJ2" s="18"/>
      <c r="AK2" s="15"/>
      <c r="AL2" s="10" t="e">
        <f>+#REF!</f>
        <v>#REF!</v>
      </c>
      <c r="AN2" s="18"/>
      <c r="AO2" s="18"/>
      <c r="AP2" s="18"/>
      <c r="AR2" s="15"/>
      <c r="AT2" s="15"/>
      <c r="AV2" s="15"/>
      <c r="AW2" s="15"/>
      <c r="AX2" s="15"/>
      <c r="AY2" s="15"/>
      <c r="AZ2" s="15"/>
      <c r="BA2" s="15"/>
      <c r="BB2" s="15"/>
      <c r="BC2" s="15"/>
      <c r="BD2" s="15"/>
      <c r="BE2" s="15"/>
      <c r="BF2" s="15"/>
      <c r="BG2" s="15"/>
      <c r="BH2" s="19"/>
    </row>
    <row r="3" spans="1:62">
      <c r="A3" s="20" t="str">
        <f>IF(G7=1,"DETAIL OF EXPENDITURES BUDGET BY DEPARTMENT WITH COMPARATIVE AMOUNTS", "SUMMARY OF EXPENDITURES BUDGET BY DEPARTMENT WITH COMPARATIVE AMOUNTS")</f>
        <v>DETAIL OF EXPENDITURES BUDGET BY DEPARTMENT WITH COMPARATIVE AMOUNTS</v>
      </c>
      <c r="B3" s="21"/>
      <c r="C3" s="21"/>
      <c r="D3" s="22"/>
      <c r="E3" s="22"/>
      <c r="F3" s="3"/>
      <c r="H3" s="5"/>
      <c r="I3" s="23"/>
      <c r="J3" s="15"/>
      <c r="L3" s="15"/>
      <c r="M3" s="10"/>
      <c r="N3" s="10"/>
      <c r="O3" s="10"/>
      <c r="P3" s="24"/>
      <c r="R3" s="24"/>
      <c r="V3" s="24"/>
      <c r="W3" s="24"/>
      <c r="X3" s="15"/>
      <c r="Y3" s="24"/>
      <c r="AA3" s="24"/>
      <c r="AB3" s="24" t="e">
        <f>+#REF!</f>
        <v>#REF!</v>
      </c>
      <c r="AC3" s="24"/>
      <c r="AD3" s="24" t="e">
        <f>+#REF!</f>
        <v>#REF!</v>
      </c>
      <c r="AE3" s="24"/>
      <c r="AF3" s="10" t="e">
        <f>+#REF!</f>
        <v>#REF!</v>
      </c>
      <c r="AG3" s="239" t="s">
        <v>2</v>
      </c>
      <c r="AH3" s="239"/>
      <c r="AI3" s="25"/>
      <c r="AJ3" s="25" t="e">
        <f>+#REF!</f>
        <v>#REF!</v>
      </c>
      <c r="AK3" s="24"/>
      <c r="AL3" s="16" t="s">
        <v>1</v>
      </c>
      <c r="AM3" s="25"/>
      <c r="AN3" s="25"/>
      <c r="AO3" s="25"/>
      <c r="AP3" s="25"/>
      <c r="AQ3" s="24"/>
      <c r="AR3" s="24" t="e">
        <f>+#REF!</f>
        <v>#REF!</v>
      </c>
      <c r="AS3" s="24"/>
      <c r="AT3" s="24" t="e">
        <f>+#REF!</f>
        <v>#REF!</v>
      </c>
      <c r="AU3" s="24"/>
      <c r="AV3" s="24" t="e">
        <f>+#REF!</f>
        <v>#REF!</v>
      </c>
      <c r="AW3" s="24"/>
      <c r="AX3" s="24" t="e">
        <f>+#REF!</f>
        <v>#REF!</v>
      </c>
      <c r="AY3" s="24"/>
      <c r="AZ3" s="24"/>
      <c r="BA3" s="24"/>
      <c r="BB3" s="24"/>
      <c r="BC3" s="24"/>
      <c r="BD3" s="26"/>
      <c r="BE3" s="26"/>
      <c r="BF3" s="26"/>
      <c r="BG3" s="26"/>
      <c r="BH3" s="27"/>
    </row>
    <row r="4" spans="1:62" ht="15">
      <c r="A4" s="28" t="s">
        <v>1070</v>
      </c>
      <c r="B4" s="29"/>
      <c r="C4" s="29"/>
      <c r="D4" s="28"/>
      <c r="E4" s="28"/>
      <c r="F4" s="3"/>
      <c r="H4" s="30"/>
      <c r="I4" s="31" t="e">
        <f>+#REF!</f>
        <v>#REF!</v>
      </c>
      <c r="J4" s="31" t="e">
        <f>+#REF!</f>
        <v>#REF!</v>
      </c>
      <c r="L4" s="31"/>
      <c r="M4" s="32"/>
      <c r="N4" s="33"/>
      <c r="O4" s="32"/>
      <c r="P4" s="33"/>
      <c r="R4" s="33"/>
      <c r="T4" s="33"/>
      <c r="X4" s="31"/>
      <c r="Z4" s="10"/>
      <c r="AB4" s="241"/>
      <c r="AC4" s="241"/>
      <c r="AD4" s="241"/>
      <c r="AE4" s="35"/>
      <c r="AF4" s="34"/>
      <c r="AG4" s="240"/>
      <c r="AH4" s="240"/>
      <c r="AI4" s="17"/>
      <c r="AJ4" s="16"/>
      <c r="AK4" s="24"/>
      <c r="AL4" s="16"/>
      <c r="AM4" s="17"/>
      <c r="AN4" s="31"/>
      <c r="AO4" s="31"/>
      <c r="AP4" s="31"/>
      <c r="AR4" s="34" t="s">
        <v>5</v>
      </c>
      <c r="AU4" s="35"/>
      <c r="AV4" s="34"/>
      <c r="AW4" s="34"/>
      <c r="AX4" s="34" t="s">
        <v>5</v>
      </c>
      <c r="AY4" s="34"/>
      <c r="AZ4" s="34"/>
      <c r="BA4" s="34"/>
      <c r="BB4" s="34"/>
      <c r="BC4" s="34"/>
      <c r="BD4" s="37"/>
      <c r="BE4" s="37"/>
      <c r="BF4" s="37"/>
      <c r="BG4" s="37"/>
      <c r="BH4" s="38"/>
    </row>
    <row r="5" spans="1:62" ht="15">
      <c r="B5" s="29"/>
      <c r="C5" s="29"/>
      <c r="D5" s="28"/>
      <c r="E5" s="28"/>
      <c r="G5" s="28"/>
      <c r="H5" s="5"/>
      <c r="I5" s="41" t="s">
        <v>6</v>
      </c>
      <c r="J5" s="42" t="s">
        <v>7</v>
      </c>
      <c r="L5" s="16" t="s">
        <v>8</v>
      </c>
      <c r="M5" s="16"/>
      <c r="N5" s="16" t="s">
        <v>9</v>
      </c>
      <c r="O5" s="16"/>
      <c r="P5" s="16" t="s">
        <v>9</v>
      </c>
      <c r="Q5" s="17"/>
      <c r="R5" s="43"/>
      <c r="S5" s="17"/>
      <c r="T5" s="16"/>
      <c r="U5" s="17"/>
      <c r="V5" s="16" t="s">
        <v>9</v>
      </c>
      <c r="X5" s="16" t="s">
        <v>9</v>
      </c>
      <c r="Z5" s="34" t="s">
        <v>1</v>
      </c>
      <c r="AB5" s="243" t="s">
        <v>10</v>
      </c>
      <c r="AC5" s="243"/>
      <c r="AD5" s="243"/>
      <c r="AE5" s="35"/>
      <c r="AF5" s="34" t="s">
        <v>1</v>
      </c>
      <c r="AG5" s="17"/>
      <c r="AH5" s="16" t="s">
        <v>11</v>
      </c>
      <c r="AI5" s="17"/>
      <c r="AJ5" s="16" t="s">
        <v>1</v>
      </c>
      <c r="AK5" s="24"/>
      <c r="AL5" s="43" t="s">
        <v>12</v>
      </c>
      <c r="AM5" s="17"/>
      <c r="AN5" s="16" t="s">
        <v>1</v>
      </c>
      <c r="AO5" s="45" t="s">
        <v>1</v>
      </c>
      <c r="AP5" s="46" t="s">
        <v>5</v>
      </c>
      <c r="AQ5" s="47"/>
      <c r="AR5" s="48" t="s">
        <v>10</v>
      </c>
      <c r="AS5" s="47"/>
      <c r="AT5" s="47"/>
      <c r="AU5" s="47"/>
      <c r="AV5" s="46" t="s">
        <v>5</v>
      </c>
      <c r="AW5" s="34"/>
      <c r="AX5" s="49" t="s">
        <v>3</v>
      </c>
      <c r="AY5" s="34"/>
      <c r="AZ5" s="16" t="s">
        <v>1054</v>
      </c>
      <c r="BA5" s="16" t="s">
        <v>1054</v>
      </c>
      <c r="BB5" s="34" t="s">
        <v>1069</v>
      </c>
      <c r="BC5" s="34"/>
      <c r="BD5" s="50" t="s">
        <v>13</v>
      </c>
      <c r="BE5" s="37"/>
      <c r="BF5" s="37"/>
      <c r="BG5" s="37"/>
      <c r="BH5" s="51"/>
    </row>
    <row r="6" spans="1:62">
      <c r="A6" s="242"/>
      <c r="B6" s="242"/>
      <c r="C6" s="242"/>
      <c r="D6" s="242"/>
      <c r="E6" s="242"/>
      <c r="F6" s="242"/>
      <c r="G6" s="22"/>
      <c r="H6" s="5"/>
      <c r="I6" s="52" t="s">
        <v>14</v>
      </c>
      <c r="J6" s="52" t="s">
        <v>14</v>
      </c>
      <c r="L6" s="43" t="s">
        <v>14</v>
      </c>
      <c r="M6" s="43"/>
      <c r="N6" s="43" t="s">
        <v>15</v>
      </c>
      <c r="O6" s="43"/>
      <c r="P6" s="43" t="s">
        <v>4</v>
      </c>
      <c r="Q6" s="17"/>
      <c r="R6" s="43" t="s">
        <v>4</v>
      </c>
      <c r="S6" s="43"/>
      <c r="T6" s="43" t="s">
        <v>16</v>
      </c>
      <c r="U6" s="43"/>
      <c r="V6" s="43" t="s">
        <v>4</v>
      </c>
      <c r="W6" s="43"/>
      <c r="X6" s="43" t="s">
        <v>14</v>
      </c>
      <c r="Y6" s="43"/>
      <c r="Z6" s="34" t="s">
        <v>17</v>
      </c>
      <c r="AA6" s="43"/>
      <c r="AB6" s="53" t="s">
        <v>16</v>
      </c>
      <c r="AC6" s="53"/>
      <c r="AD6" s="34"/>
      <c r="AE6" s="53"/>
      <c r="AF6" s="34" t="s">
        <v>17</v>
      </c>
      <c r="AG6" s="43" t="s">
        <v>16</v>
      </c>
      <c r="AH6" s="16" t="s">
        <v>18</v>
      </c>
      <c r="AI6" s="43"/>
      <c r="AJ6" s="16" t="s">
        <v>19</v>
      </c>
      <c r="AK6" s="24"/>
      <c r="AL6" s="43" t="s">
        <v>16</v>
      </c>
      <c r="AM6" s="43"/>
      <c r="AN6" s="43" t="s">
        <v>14</v>
      </c>
      <c r="AO6" s="45" t="s">
        <v>20</v>
      </c>
      <c r="AP6" s="43" t="s">
        <v>14</v>
      </c>
      <c r="AQ6" s="54"/>
      <c r="AR6" s="54" t="s">
        <v>16</v>
      </c>
      <c r="AS6" s="54"/>
      <c r="AT6" s="46"/>
      <c r="AU6" s="54"/>
      <c r="AV6" s="46" t="s">
        <v>19</v>
      </c>
      <c r="AW6" s="34"/>
      <c r="AX6" s="55" t="s">
        <v>16</v>
      </c>
      <c r="AY6" s="34"/>
      <c r="AZ6" s="16" t="s">
        <v>17</v>
      </c>
      <c r="BA6" s="16" t="s">
        <v>17</v>
      </c>
      <c r="BB6" s="34" t="s">
        <v>19</v>
      </c>
      <c r="BC6" s="56"/>
      <c r="BD6" s="50" t="s">
        <v>21</v>
      </c>
      <c r="BE6" s="37"/>
      <c r="BF6" s="37"/>
      <c r="BG6" s="37"/>
      <c r="BH6" s="57"/>
    </row>
    <row r="7" spans="1:62" ht="15">
      <c r="A7" s="237"/>
      <c r="B7" s="237"/>
      <c r="C7" s="237"/>
      <c r="D7" s="237"/>
      <c r="E7" s="237"/>
      <c r="F7" s="237"/>
      <c r="G7" s="59">
        <v>1</v>
      </c>
      <c r="H7" s="60"/>
      <c r="I7" s="52" t="s">
        <v>22</v>
      </c>
      <c r="J7" s="52" t="s">
        <v>22</v>
      </c>
      <c r="L7" s="43" t="s">
        <v>22</v>
      </c>
      <c r="M7" s="43"/>
      <c r="N7" s="43" t="s">
        <v>23</v>
      </c>
      <c r="O7" s="43"/>
      <c r="P7" s="43" t="s">
        <v>24</v>
      </c>
      <c r="Q7" s="43"/>
      <c r="R7" s="43" t="s">
        <v>24</v>
      </c>
      <c r="S7" s="43"/>
      <c r="T7" s="43" t="s">
        <v>25</v>
      </c>
      <c r="U7" s="43"/>
      <c r="V7" s="43" t="s">
        <v>24</v>
      </c>
      <c r="W7" s="43"/>
      <c r="X7" s="43" t="s">
        <v>22</v>
      </c>
      <c r="Y7" s="43"/>
      <c r="Z7" s="53" t="s">
        <v>15</v>
      </c>
      <c r="AA7" s="43"/>
      <c r="AB7" s="53" t="s">
        <v>26</v>
      </c>
      <c r="AC7" s="53"/>
      <c r="AD7" s="53"/>
      <c r="AE7" s="53"/>
      <c r="AF7" s="53" t="s">
        <v>4</v>
      </c>
      <c r="AG7" s="43" t="s">
        <v>26</v>
      </c>
      <c r="AH7" s="43" t="s">
        <v>27</v>
      </c>
      <c r="AI7" s="43"/>
      <c r="AJ7" s="43" t="s">
        <v>4</v>
      </c>
      <c r="AK7" s="24"/>
      <c r="AL7" s="43" t="s">
        <v>26</v>
      </c>
      <c r="AM7" s="43"/>
      <c r="AN7" s="43" t="s">
        <v>22</v>
      </c>
      <c r="AO7" s="61" t="s">
        <v>22</v>
      </c>
      <c r="AP7" s="43" t="s">
        <v>22</v>
      </c>
      <c r="AQ7" s="54"/>
      <c r="AR7" s="54" t="s">
        <v>26</v>
      </c>
      <c r="AS7" s="54"/>
      <c r="AT7" s="54"/>
      <c r="AU7" s="54"/>
      <c r="AV7" s="54" t="s">
        <v>4</v>
      </c>
      <c r="AW7" s="53"/>
      <c r="AX7" s="55" t="s">
        <v>26</v>
      </c>
      <c r="AY7" s="53"/>
      <c r="AZ7" s="16" t="s">
        <v>15</v>
      </c>
      <c r="BA7" s="43" t="s">
        <v>4</v>
      </c>
      <c r="BB7" s="34" t="s">
        <v>15</v>
      </c>
      <c r="BC7" s="56"/>
      <c r="BD7" s="50" t="s">
        <v>28</v>
      </c>
      <c r="BE7" s="62"/>
      <c r="BF7" s="62"/>
      <c r="BG7" s="62"/>
      <c r="BH7" s="57"/>
      <c r="BI7" s="63"/>
    </row>
    <row r="8" spans="1:62" ht="15">
      <c r="A8" s="237" t="s">
        <v>29</v>
      </c>
      <c r="B8" s="237"/>
      <c r="C8" s="237"/>
      <c r="D8" s="237"/>
      <c r="E8" s="58"/>
      <c r="F8" s="64" t="s">
        <v>30</v>
      </c>
      <c r="G8" s="64" t="s">
        <v>31</v>
      </c>
      <c r="H8" s="60"/>
      <c r="I8" s="65" t="s">
        <v>32</v>
      </c>
      <c r="J8" s="65" t="s">
        <v>32</v>
      </c>
      <c r="L8" s="66" t="s">
        <v>32</v>
      </c>
      <c r="M8" s="36"/>
      <c r="N8" s="36" t="s">
        <v>2</v>
      </c>
      <c r="O8" s="36"/>
      <c r="P8" s="36" t="s">
        <v>33</v>
      </c>
      <c r="Q8" s="36"/>
      <c r="R8" s="36" t="s">
        <v>34</v>
      </c>
      <c r="S8" s="36"/>
      <c r="T8" s="36" t="s">
        <v>35</v>
      </c>
      <c r="U8" s="36"/>
      <c r="V8" s="36" t="s">
        <v>36</v>
      </c>
      <c r="W8" s="36"/>
      <c r="X8" s="66" t="s">
        <v>32</v>
      </c>
      <c r="Y8" s="36"/>
      <c r="Z8" s="44" t="s">
        <v>24</v>
      </c>
      <c r="AA8" s="36"/>
      <c r="AB8" s="44" t="s">
        <v>35</v>
      </c>
      <c r="AC8" s="44"/>
      <c r="AD8" s="44" t="s">
        <v>37</v>
      </c>
      <c r="AE8" s="44"/>
      <c r="AF8" s="44" t="s">
        <v>38</v>
      </c>
      <c r="AG8" s="36" t="s">
        <v>35</v>
      </c>
      <c r="AH8" s="36" t="s">
        <v>39</v>
      </c>
      <c r="AI8" s="36"/>
      <c r="AJ8" s="36" t="s">
        <v>40</v>
      </c>
      <c r="AK8" s="24"/>
      <c r="AL8" s="36" t="s">
        <v>35</v>
      </c>
      <c r="AM8" s="36"/>
      <c r="AN8" s="36" t="s">
        <v>32</v>
      </c>
      <c r="AO8" s="67" t="s">
        <v>32</v>
      </c>
      <c r="AP8" s="36" t="s">
        <v>32</v>
      </c>
      <c r="AQ8" s="48"/>
      <c r="AR8" s="48" t="s">
        <v>35</v>
      </c>
      <c r="AS8" s="48"/>
      <c r="AT8" s="48" t="s">
        <v>37</v>
      </c>
      <c r="AU8" s="48"/>
      <c r="AV8" s="48" t="s">
        <v>38</v>
      </c>
      <c r="AW8" s="44"/>
      <c r="AX8" s="49" t="s">
        <v>35</v>
      </c>
      <c r="AY8" s="44"/>
      <c r="AZ8" s="36" t="s">
        <v>2</v>
      </c>
      <c r="BA8" s="36" t="s">
        <v>40</v>
      </c>
      <c r="BB8" s="44" t="s">
        <v>2</v>
      </c>
      <c r="BC8" s="56"/>
      <c r="BD8" s="50" t="s">
        <v>41</v>
      </c>
      <c r="BE8" s="68"/>
      <c r="BF8" s="68"/>
      <c r="BG8" s="68"/>
      <c r="BH8" s="69"/>
    </row>
    <row r="9" spans="1:62" ht="15">
      <c r="A9" s="58"/>
      <c r="B9" s="58"/>
      <c r="C9" s="58"/>
      <c r="D9" s="64"/>
      <c r="E9" s="64"/>
      <c r="F9" s="64"/>
      <c r="G9" s="70"/>
      <c r="H9" s="60"/>
      <c r="J9" s="71"/>
      <c r="AK9" s="24"/>
      <c r="AZ9" s="34"/>
      <c r="BB9" s="34"/>
      <c r="BC9" s="56"/>
      <c r="BH9" s="72">
        <v>2</v>
      </c>
    </row>
    <row r="10" spans="1:62" ht="20.100000000000001" customHeight="1" outlineLevel="1">
      <c r="A10" s="75" t="s">
        <v>554</v>
      </c>
      <c r="B10" s="77"/>
      <c r="C10" s="77"/>
      <c r="D10" s="90"/>
      <c r="E10" s="90"/>
      <c r="F10" s="3"/>
      <c r="H10" s="87"/>
      <c r="L10" s="44"/>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5"/>
      <c r="AL10" s="83"/>
      <c r="AM10" s="83"/>
      <c r="AN10" s="100"/>
      <c r="AO10" s="100"/>
      <c r="AP10" s="100"/>
      <c r="AQ10" s="83"/>
      <c r="AR10" s="83"/>
      <c r="AS10" s="83"/>
      <c r="AT10" s="83"/>
      <c r="AU10" s="83"/>
      <c r="AV10" s="83"/>
      <c r="AW10" s="83"/>
      <c r="AX10" s="83"/>
      <c r="AY10" s="83"/>
      <c r="AZ10" s="83"/>
      <c r="BA10" s="83"/>
      <c r="BB10" s="83"/>
      <c r="BC10" s="56"/>
      <c r="BD10" s="83"/>
      <c r="BE10" s="83"/>
      <c r="BF10" s="83"/>
      <c r="BG10" s="83"/>
      <c r="BH10" s="19"/>
    </row>
    <row r="11" spans="1:62" ht="20.100000000000001" customHeight="1" outlineLevel="1">
      <c r="A11" s="77" t="s">
        <v>43</v>
      </c>
      <c r="B11" s="77" t="s">
        <v>555</v>
      </c>
      <c r="C11" s="77" t="s">
        <v>1086</v>
      </c>
      <c r="D11" s="78" t="s">
        <v>46</v>
      </c>
      <c r="E11" s="78" t="str">
        <f>+D11</f>
        <v>000</v>
      </c>
      <c r="F11" s="79">
        <v>611116</v>
      </c>
      <c r="G11" s="102" t="s">
        <v>556</v>
      </c>
      <c r="H11" s="87"/>
      <c r="I11" s="82">
        <v>67078</v>
      </c>
      <c r="J11" s="82">
        <v>67220</v>
      </c>
      <c r="L11" s="83">
        <v>73097</v>
      </c>
      <c r="M11" s="83"/>
      <c r="N11" s="83">
        <v>81075</v>
      </c>
      <c r="O11" s="83"/>
      <c r="P11" s="83">
        <v>81075</v>
      </c>
      <c r="Q11" s="83"/>
      <c r="R11" s="83">
        <v>82775</v>
      </c>
      <c r="S11" s="83"/>
      <c r="T11" s="83">
        <v>0</v>
      </c>
      <c r="U11" s="83"/>
      <c r="V11" s="83">
        <v>82775</v>
      </c>
      <c r="W11" s="83"/>
      <c r="X11" s="83">
        <v>82775</v>
      </c>
      <c r="Y11" s="83"/>
      <c r="Z11" s="83">
        <v>82639</v>
      </c>
      <c r="AA11" s="83"/>
      <c r="AB11" s="83"/>
      <c r="AC11" s="83"/>
      <c r="AD11" s="83"/>
      <c r="AE11" s="83"/>
      <c r="AF11" s="84">
        <f t="shared" ref="AF11:AF22" si="0">SUM(Z11:AE11)</f>
        <v>82639</v>
      </c>
      <c r="AG11" s="83">
        <v>0</v>
      </c>
      <c r="AH11" s="83">
        <v>1250</v>
      </c>
      <c r="AI11" s="83"/>
      <c r="AJ11" s="84">
        <f t="shared" ref="AJ11:AJ22" si="1">SUM(AE11:AI11)</f>
        <v>83889</v>
      </c>
      <c r="AK11" s="85"/>
      <c r="AL11" s="83">
        <v>0</v>
      </c>
      <c r="AM11" s="83"/>
      <c r="AN11" s="86">
        <f>SUM(AI11:AM11)</f>
        <v>83889</v>
      </c>
      <c r="AO11" s="86">
        <v>0</v>
      </c>
      <c r="AP11" s="86">
        <v>82638.960000000006</v>
      </c>
      <c r="AQ11" s="83"/>
      <c r="AR11" s="83">
        <v>0</v>
      </c>
      <c r="AS11" s="83"/>
      <c r="AT11" s="83">
        <v>0</v>
      </c>
      <c r="AU11" s="83"/>
      <c r="AV11" s="84">
        <f t="shared" ref="AV11:AV22" si="2">SUM(AP11:AU11)</f>
        <v>82638.960000000006</v>
      </c>
      <c r="AW11" s="84"/>
      <c r="AX11" s="84">
        <v>0</v>
      </c>
      <c r="AY11" s="84"/>
      <c r="AZ11" s="86">
        <v>82639</v>
      </c>
      <c r="BA11" s="84">
        <v>82639</v>
      </c>
      <c r="BB11" s="214"/>
      <c r="BC11" s="56"/>
      <c r="BD11" s="84">
        <f t="shared" ref="BD11:BD23" si="3">+AP11-AN11</f>
        <v>-1250.0399999999936</v>
      </c>
      <c r="BE11" s="84"/>
      <c r="BF11" s="84"/>
      <c r="BG11" s="84"/>
      <c r="BH11" s="72">
        <v>1</v>
      </c>
      <c r="BJ11">
        <v>1</v>
      </c>
    </row>
    <row r="12" spans="1:62" ht="20.100000000000001" customHeight="1" outlineLevel="1">
      <c r="A12" s="77" t="s">
        <v>43</v>
      </c>
      <c r="B12" s="77" t="s">
        <v>555</v>
      </c>
      <c r="C12" s="77" t="s">
        <v>1086</v>
      </c>
      <c r="D12" s="78" t="s">
        <v>46</v>
      </c>
      <c r="E12" s="78" t="str">
        <f t="shared" ref="E12:E22" si="4">+D12</f>
        <v>000</v>
      </c>
      <c r="F12" s="3">
        <v>611117</v>
      </c>
      <c r="G12" s="102" t="s">
        <v>557</v>
      </c>
      <c r="H12" s="87"/>
      <c r="I12" s="13">
        <v>242183</v>
      </c>
      <c r="J12" s="13">
        <v>239042</v>
      </c>
      <c r="L12" s="56">
        <v>258815</v>
      </c>
      <c r="M12" s="56"/>
      <c r="N12" s="56">
        <v>289114</v>
      </c>
      <c r="O12" s="56"/>
      <c r="P12" s="56">
        <v>289114</v>
      </c>
      <c r="Q12" s="56"/>
      <c r="R12" s="56">
        <v>295914</v>
      </c>
      <c r="S12" s="56"/>
      <c r="T12" s="56">
        <v>0</v>
      </c>
      <c r="U12" s="56"/>
      <c r="V12" s="56">
        <v>295914</v>
      </c>
      <c r="W12" s="56"/>
      <c r="X12" s="56">
        <v>314510.95</v>
      </c>
      <c r="Y12" s="56"/>
      <c r="Z12" s="56">
        <v>368637</v>
      </c>
      <c r="AA12" s="56"/>
      <c r="AB12" s="56"/>
      <c r="AC12" s="56"/>
      <c r="AD12" s="56"/>
      <c r="AE12" s="56"/>
      <c r="AF12" s="56">
        <f t="shared" si="0"/>
        <v>368637</v>
      </c>
      <c r="AG12" s="104">
        <v>-6000</v>
      </c>
      <c r="AH12" s="56">
        <v>6250</v>
      </c>
      <c r="AI12" s="56"/>
      <c r="AJ12" s="56">
        <f t="shared" si="1"/>
        <v>368887</v>
      </c>
      <c r="AK12" s="85"/>
      <c r="AL12" s="56">
        <v>0</v>
      </c>
      <c r="AM12" s="56"/>
      <c r="AN12" s="88">
        <v>367875.97</v>
      </c>
      <c r="AO12" s="88">
        <v>0</v>
      </c>
      <c r="AP12" s="88">
        <v>365456.17</v>
      </c>
      <c r="AQ12" s="56"/>
      <c r="AR12" s="56">
        <v>0</v>
      </c>
      <c r="AS12" s="56"/>
      <c r="AT12" s="56">
        <v>0</v>
      </c>
      <c r="AU12" s="56"/>
      <c r="AV12" s="56">
        <f t="shared" si="2"/>
        <v>365456.17</v>
      </c>
      <c r="AW12" s="56"/>
      <c r="AX12" s="106">
        <v>1042</v>
      </c>
      <c r="AY12" s="56"/>
      <c r="AZ12" s="88">
        <v>365240</v>
      </c>
      <c r="BA12" s="56">
        <v>367945</v>
      </c>
      <c r="BB12" s="214"/>
      <c r="BC12" s="56"/>
      <c r="BD12" s="84">
        <f t="shared" si="3"/>
        <v>-2419.7999999999884</v>
      </c>
      <c r="BE12" s="56"/>
      <c r="BF12" s="56"/>
      <c r="BG12" s="56"/>
      <c r="BH12" s="72">
        <v>1</v>
      </c>
      <c r="BJ12">
        <v>1</v>
      </c>
    </row>
    <row r="13" spans="1:62" ht="20.100000000000001" customHeight="1" outlineLevel="1">
      <c r="A13" s="77" t="s">
        <v>43</v>
      </c>
      <c r="B13" s="77" t="s">
        <v>558</v>
      </c>
      <c r="C13" s="77" t="s">
        <v>1086</v>
      </c>
      <c r="D13" s="78" t="s">
        <v>46</v>
      </c>
      <c r="E13" s="78" t="str">
        <f t="shared" si="4"/>
        <v>000</v>
      </c>
      <c r="F13" s="3">
        <v>611411</v>
      </c>
      <c r="G13" s="102" t="s">
        <v>80</v>
      </c>
      <c r="H13" s="87"/>
      <c r="I13" s="13">
        <v>150349</v>
      </c>
      <c r="J13" s="13">
        <v>152682</v>
      </c>
      <c r="L13" s="56">
        <v>181350</v>
      </c>
      <c r="M13" s="56"/>
      <c r="N13" s="56">
        <v>174500</v>
      </c>
      <c r="O13" s="56"/>
      <c r="P13" s="56">
        <v>174500</v>
      </c>
      <c r="Q13" s="56"/>
      <c r="R13" s="56">
        <v>195711</v>
      </c>
      <c r="S13" s="56"/>
      <c r="T13" s="56">
        <v>0</v>
      </c>
      <c r="U13" s="56"/>
      <c r="V13" s="56">
        <v>195711</v>
      </c>
      <c r="W13" s="56"/>
      <c r="X13" s="56">
        <v>196075.15</v>
      </c>
      <c r="Y13" s="56"/>
      <c r="Z13" s="56">
        <v>173584</v>
      </c>
      <c r="AA13" s="56"/>
      <c r="AB13" s="56"/>
      <c r="AC13" s="56"/>
      <c r="AD13" s="56"/>
      <c r="AE13" s="56"/>
      <c r="AF13" s="56">
        <f t="shared" si="0"/>
        <v>173584</v>
      </c>
      <c r="AG13" s="104">
        <v>24893</v>
      </c>
      <c r="AH13" s="56">
        <v>20250</v>
      </c>
      <c r="AI13" s="56"/>
      <c r="AJ13" s="56">
        <f t="shared" si="1"/>
        <v>218727</v>
      </c>
      <c r="AK13" s="85"/>
      <c r="AL13" s="56">
        <v>0</v>
      </c>
      <c r="AM13" s="56"/>
      <c r="AN13" s="88">
        <v>218651.31</v>
      </c>
      <c r="AO13" s="88">
        <v>0</v>
      </c>
      <c r="AP13" s="88">
        <v>201604.89</v>
      </c>
      <c r="AQ13" s="56"/>
      <c r="AR13" s="56">
        <v>0</v>
      </c>
      <c r="AS13" s="56"/>
      <c r="AT13" s="56">
        <v>0</v>
      </c>
      <c r="AU13" s="56"/>
      <c r="AV13" s="56">
        <f t="shared" si="2"/>
        <v>201604.89</v>
      </c>
      <c r="AW13" s="56"/>
      <c r="AX13" s="56">
        <v>0</v>
      </c>
      <c r="AY13" s="56"/>
      <c r="AZ13" s="88">
        <v>182231</v>
      </c>
      <c r="BA13" s="56">
        <v>180000</v>
      </c>
      <c r="BB13" s="214"/>
      <c r="BC13" s="56"/>
      <c r="BD13" s="84">
        <f t="shared" si="3"/>
        <v>-17046.419999999984</v>
      </c>
      <c r="BE13" s="56"/>
      <c r="BF13" s="56"/>
      <c r="BG13" s="56"/>
      <c r="BH13" s="72">
        <v>1</v>
      </c>
      <c r="BJ13">
        <v>1</v>
      </c>
    </row>
    <row r="14" spans="1:62" ht="20.100000000000001" customHeight="1" outlineLevel="1">
      <c r="A14" s="77" t="s">
        <v>43</v>
      </c>
      <c r="B14" s="77" t="s">
        <v>497</v>
      </c>
      <c r="C14" s="77" t="s">
        <v>1086</v>
      </c>
      <c r="D14" s="78" t="s">
        <v>46</v>
      </c>
      <c r="E14" s="78" t="str">
        <f t="shared" si="4"/>
        <v>000</v>
      </c>
      <c r="F14" s="3">
        <v>611352</v>
      </c>
      <c r="G14" s="102" t="s">
        <v>559</v>
      </c>
      <c r="H14" s="87"/>
      <c r="I14" s="13">
        <v>2247</v>
      </c>
      <c r="J14" s="13">
        <v>38834</v>
      </c>
      <c r="L14" s="56">
        <v>40999</v>
      </c>
      <c r="M14" s="56"/>
      <c r="N14" s="56">
        <v>42248</v>
      </c>
      <c r="O14" s="56"/>
      <c r="P14" s="56">
        <v>42248</v>
      </c>
      <c r="Q14" s="56"/>
      <c r="R14" s="56">
        <v>43948</v>
      </c>
      <c r="S14" s="56"/>
      <c r="T14" s="56">
        <v>0</v>
      </c>
      <c r="U14" s="56"/>
      <c r="V14" s="56">
        <v>43948</v>
      </c>
      <c r="W14" s="56"/>
      <c r="X14" s="56">
        <v>45201.56</v>
      </c>
      <c r="Y14" s="56"/>
      <c r="Z14" s="56">
        <v>43659</v>
      </c>
      <c r="AA14" s="56"/>
      <c r="AB14" s="56"/>
      <c r="AC14" s="56"/>
      <c r="AD14" s="56"/>
      <c r="AE14" s="56"/>
      <c r="AF14" s="56">
        <f t="shared" si="0"/>
        <v>43659</v>
      </c>
      <c r="AG14" s="56">
        <v>0</v>
      </c>
      <c r="AH14" s="56">
        <v>1250</v>
      </c>
      <c r="AI14" s="56"/>
      <c r="AJ14" s="56">
        <f t="shared" si="1"/>
        <v>44909</v>
      </c>
      <c r="AK14" s="85"/>
      <c r="AL14" s="56">
        <v>0</v>
      </c>
      <c r="AM14" s="56"/>
      <c r="AN14" s="88">
        <v>47279.96</v>
      </c>
      <c r="AO14" s="88">
        <v>0</v>
      </c>
      <c r="AP14" s="88">
        <v>47873.66</v>
      </c>
      <c r="AQ14" s="56"/>
      <c r="AR14" s="56">
        <v>0</v>
      </c>
      <c r="AS14" s="56"/>
      <c r="AT14" s="56">
        <v>0</v>
      </c>
      <c r="AU14" s="56"/>
      <c r="AV14" s="56">
        <f t="shared" si="2"/>
        <v>47873.66</v>
      </c>
      <c r="AW14" s="56"/>
      <c r="AX14" s="56">
        <v>0</v>
      </c>
      <c r="AY14" s="56"/>
      <c r="AZ14" s="88">
        <v>46628</v>
      </c>
      <c r="BA14" s="56">
        <v>46628</v>
      </c>
      <c r="BB14" s="214"/>
      <c r="BC14" s="56"/>
      <c r="BD14" s="84">
        <f t="shared" si="3"/>
        <v>593.70000000000437</v>
      </c>
      <c r="BE14" s="56"/>
      <c r="BF14" s="56"/>
      <c r="BG14" s="56"/>
      <c r="BH14" s="72">
        <v>1</v>
      </c>
      <c r="BJ14">
        <v>1</v>
      </c>
    </row>
    <row r="15" spans="1:62" ht="20.100000000000001" customHeight="1" outlineLevel="1">
      <c r="A15" s="77" t="s">
        <v>43</v>
      </c>
      <c r="B15" s="77" t="s">
        <v>497</v>
      </c>
      <c r="C15" s="77" t="s">
        <v>1086</v>
      </c>
      <c r="D15" s="78" t="s">
        <v>46</v>
      </c>
      <c r="E15" s="78" t="str">
        <f t="shared" si="4"/>
        <v>000</v>
      </c>
      <c r="F15" s="3">
        <v>633924</v>
      </c>
      <c r="G15" s="102" t="s">
        <v>550</v>
      </c>
      <c r="H15" s="87"/>
      <c r="I15" s="13">
        <v>0</v>
      </c>
      <c r="J15" s="13">
        <v>0</v>
      </c>
      <c r="L15" s="56">
        <v>0</v>
      </c>
      <c r="M15" s="56"/>
      <c r="N15" s="56">
        <v>0</v>
      </c>
      <c r="O15" s="56"/>
      <c r="P15" s="56">
        <v>0</v>
      </c>
      <c r="Q15" s="56"/>
      <c r="R15" s="56">
        <v>0</v>
      </c>
      <c r="S15" s="56"/>
      <c r="T15" s="56">
        <v>0</v>
      </c>
      <c r="U15" s="56"/>
      <c r="V15" s="56">
        <v>0</v>
      </c>
      <c r="W15" s="56"/>
      <c r="X15" s="56">
        <v>0</v>
      </c>
      <c r="Y15" s="56"/>
      <c r="Z15" s="56"/>
      <c r="AA15" s="56"/>
      <c r="AB15" s="56"/>
      <c r="AC15" s="56"/>
      <c r="AD15" s="56"/>
      <c r="AE15" s="56"/>
      <c r="AF15" s="56">
        <f t="shared" si="0"/>
        <v>0</v>
      </c>
      <c r="AG15" s="56">
        <v>0</v>
      </c>
      <c r="AH15" s="56">
        <v>0</v>
      </c>
      <c r="AI15" s="56"/>
      <c r="AJ15" s="56">
        <f t="shared" si="1"/>
        <v>0</v>
      </c>
      <c r="AK15" s="85"/>
      <c r="AL15" s="56">
        <v>0</v>
      </c>
      <c r="AM15" s="56"/>
      <c r="AN15" s="88">
        <f>SUM(AI15:AM15)</f>
        <v>0</v>
      </c>
      <c r="AO15" s="88">
        <v>0</v>
      </c>
      <c r="AP15" s="88">
        <v>0</v>
      </c>
      <c r="AQ15" s="56"/>
      <c r="AR15" s="56">
        <v>0</v>
      </c>
      <c r="AS15" s="56"/>
      <c r="AT15" s="56">
        <v>0</v>
      </c>
      <c r="AU15" s="56"/>
      <c r="AV15" s="56">
        <f t="shared" si="2"/>
        <v>0</v>
      </c>
      <c r="AW15" s="56"/>
      <c r="AX15" s="56">
        <v>0</v>
      </c>
      <c r="AY15" s="56"/>
      <c r="AZ15" s="88">
        <v>0</v>
      </c>
      <c r="BA15" s="56">
        <v>0</v>
      </c>
      <c r="BB15" s="214"/>
      <c r="BC15" s="56"/>
      <c r="BD15" s="84">
        <f t="shared" si="3"/>
        <v>0</v>
      </c>
      <c r="BE15" s="56"/>
      <c r="BF15" s="56"/>
      <c r="BG15" s="56"/>
      <c r="BH15" s="72"/>
    </row>
    <row r="16" spans="1:62" ht="20.100000000000001" customHeight="1" outlineLevel="1">
      <c r="A16" s="77" t="s">
        <v>43</v>
      </c>
      <c r="B16" s="77" t="s">
        <v>558</v>
      </c>
      <c r="C16" s="77" t="s">
        <v>1086</v>
      </c>
      <c r="D16" s="78" t="s">
        <v>46</v>
      </c>
      <c r="E16" s="78" t="str">
        <f t="shared" si="4"/>
        <v>000</v>
      </c>
      <c r="F16" s="3">
        <v>643011</v>
      </c>
      <c r="G16" s="102" t="s">
        <v>258</v>
      </c>
      <c r="H16" s="87"/>
      <c r="I16" s="13">
        <v>2902</v>
      </c>
      <c r="J16" s="13">
        <v>2449</v>
      </c>
      <c r="L16" s="56">
        <v>470</v>
      </c>
      <c r="M16" s="56"/>
      <c r="N16" s="56">
        <v>5410</v>
      </c>
      <c r="O16" s="56"/>
      <c r="P16" s="56">
        <v>5410</v>
      </c>
      <c r="Q16" s="56"/>
      <c r="R16" s="56">
        <v>5410</v>
      </c>
      <c r="S16" s="56"/>
      <c r="T16" s="56">
        <v>0</v>
      </c>
      <c r="U16" s="56"/>
      <c r="V16" s="56">
        <v>5410</v>
      </c>
      <c r="W16" s="56"/>
      <c r="X16" s="56">
        <v>653.9</v>
      </c>
      <c r="Y16" s="56"/>
      <c r="Z16" s="56">
        <v>5525</v>
      </c>
      <c r="AA16" s="56"/>
      <c r="AB16" s="56"/>
      <c r="AC16" s="56"/>
      <c r="AD16" s="56"/>
      <c r="AE16" s="56"/>
      <c r="AF16" s="56">
        <f t="shared" si="0"/>
        <v>5525</v>
      </c>
      <c r="AG16" s="56">
        <v>0</v>
      </c>
      <c r="AH16" s="56">
        <v>0</v>
      </c>
      <c r="AI16" s="56"/>
      <c r="AJ16" s="56">
        <f t="shared" si="1"/>
        <v>5525</v>
      </c>
      <c r="AK16" s="85"/>
      <c r="AL16" s="56">
        <v>-5525</v>
      </c>
      <c r="AM16" s="56"/>
      <c r="AN16" s="88">
        <f>SUM(AI16:AM16)</f>
        <v>0</v>
      </c>
      <c r="AO16" s="88">
        <v>0</v>
      </c>
      <c r="AP16" s="88">
        <v>561.4</v>
      </c>
      <c r="AQ16" s="56"/>
      <c r="AR16" s="56">
        <v>0</v>
      </c>
      <c r="AS16" s="56"/>
      <c r="AT16" s="56">
        <v>0</v>
      </c>
      <c r="AU16" s="56"/>
      <c r="AV16" s="56">
        <f t="shared" si="2"/>
        <v>561.4</v>
      </c>
      <c r="AW16" s="56"/>
      <c r="AX16" s="56">
        <v>0</v>
      </c>
      <c r="AY16" s="56"/>
      <c r="AZ16" s="88">
        <v>5625</v>
      </c>
      <c r="BA16" s="56">
        <v>5625</v>
      </c>
      <c r="BB16" s="214"/>
      <c r="BC16" s="56"/>
      <c r="BD16" s="84">
        <f t="shared" si="3"/>
        <v>561.4</v>
      </c>
      <c r="BE16" s="56"/>
      <c r="BF16" s="56"/>
      <c r="BG16" s="56"/>
      <c r="BH16" s="72"/>
    </row>
    <row r="17" spans="1:60" ht="20.100000000000001" customHeight="1" outlineLevel="1">
      <c r="A17" s="77" t="s">
        <v>43</v>
      </c>
      <c r="B17" s="77" t="s">
        <v>558</v>
      </c>
      <c r="C17" s="77" t="s">
        <v>1086</v>
      </c>
      <c r="D17" s="78" t="s">
        <v>46</v>
      </c>
      <c r="E17" s="78" t="str">
        <f t="shared" si="4"/>
        <v>000</v>
      </c>
      <c r="F17" s="3">
        <v>644212</v>
      </c>
      <c r="G17" s="102" t="s">
        <v>1055</v>
      </c>
      <c r="H17" s="87"/>
      <c r="I17" s="13"/>
      <c r="J17" s="13"/>
      <c r="L17" s="56">
        <v>0</v>
      </c>
      <c r="M17" s="56"/>
      <c r="N17" s="56"/>
      <c r="O17" s="56"/>
      <c r="P17" s="56"/>
      <c r="Q17" s="56"/>
      <c r="R17" s="56"/>
      <c r="S17" s="56"/>
      <c r="T17" s="56"/>
      <c r="U17" s="56"/>
      <c r="V17" s="56"/>
      <c r="W17" s="56"/>
      <c r="X17" s="56">
        <v>0</v>
      </c>
      <c r="Y17" s="56"/>
      <c r="Z17" s="56"/>
      <c r="AA17" s="56"/>
      <c r="AB17" s="56"/>
      <c r="AC17" s="56"/>
      <c r="AD17" s="56"/>
      <c r="AE17" s="56"/>
      <c r="AF17" s="56"/>
      <c r="AG17" s="56"/>
      <c r="AH17" s="56"/>
      <c r="AI17" s="56"/>
      <c r="AJ17" s="56"/>
      <c r="AK17" s="85"/>
      <c r="AL17" s="56"/>
      <c r="AM17" s="56"/>
      <c r="AN17" s="88">
        <v>0</v>
      </c>
      <c r="AO17" s="88"/>
      <c r="AP17" s="88">
        <v>0</v>
      </c>
      <c r="AQ17" s="56"/>
      <c r="AR17" s="56"/>
      <c r="AS17" s="56"/>
      <c r="AT17" s="56"/>
      <c r="AU17" s="56"/>
      <c r="AV17" s="56"/>
      <c r="AW17" s="56"/>
      <c r="AX17" s="56"/>
      <c r="AY17" s="56"/>
      <c r="AZ17" s="88">
        <v>0</v>
      </c>
      <c r="BA17" s="56">
        <v>4851</v>
      </c>
      <c r="BB17" s="214"/>
      <c r="BC17" s="56"/>
      <c r="BD17" s="84"/>
      <c r="BE17" s="56"/>
      <c r="BF17" s="56"/>
      <c r="BG17" s="56"/>
      <c r="BH17" s="72"/>
    </row>
    <row r="18" spans="1:60" ht="20.100000000000001" customHeight="1" outlineLevel="1">
      <c r="A18" s="77" t="s">
        <v>43</v>
      </c>
      <c r="B18" s="77" t="s">
        <v>558</v>
      </c>
      <c r="C18" s="77" t="s">
        <v>1086</v>
      </c>
      <c r="D18" s="78" t="s">
        <v>46</v>
      </c>
      <c r="E18" s="78" t="str">
        <f t="shared" si="4"/>
        <v>000</v>
      </c>
      <c r="F18" s="3">
        <v>653051</v>
      </c>
      <c r="G18" s="102" t="s">
        <v>71</v>
      </c>
      <c r="H18" s="87"/>
      <c r="I18" s="13"/>
      <c r="J18" s="13"/>
      <c r="L18" s="56">
        <v>0</v>
      </c>
      <c r="M18" s="56"/>
      <c r="N18" s="56"/>
      <c r="O18" s="56"/>
      <c r="P18" s="56"/>
      <c r="Q18" s="56"/>
      <c r="R18" s="56"/>
      <c r="S18" s="56"/>
      <c r="T18" s="56"/>
      <c r="U18" s="56"/>
      <c r="V18" s="56"/>
      <c r="W18" s="56"/>
      <c r="X18" s="56">
        <v>0</v>
      </c>
      <c r="Y18" s="56"/>
      <c r="Z18" s="56"/>
      <c r="AA18" s="56"/>
      <c r="AB18" s="56"/>
      <c r="AC18" s="56"/>
      <c r="AD18" s="56"/>
      <c r="AE18" s="56"/>
      <c r="AF18" s="56"/>
      <c r="AG18" s="56"/>
      <c r="AH18" s="56"/>
      <c r="AI18" s="56"/>
      <c r="AJ18" s="56"/>
      <c r="AK18" s="85"/>
      <c r="AL18" s="56"/>
      <c r="AM18" s="56"/>
      <c r="AN18" s="88">
        <v>0</v>
      </c>
      <c r="AO18" s="88"/>
      <c r="AP18" s="88">
        <v>2430.0500000000002</v>
      </c>
      <c r="AQ18" s="56"/>
      <c r="AR18" s="56"/>
      <c r="AS18" s="56"/>
      <c r="AT18" s="56"/>
      <c r="AU18" s="56"/>
      <c r="AV18" s="56"/>
      <c r="AW18" s="56"/>
      <c r="AX18" s="56"/>
      <c r="AY18" s="56"/>
      <c r="AZ18" s="88">
        <v>0</v>
      </c>
      <c r="BA18" s="56">
        <v>2215</v>
      </c>
      <c r="BB18" s="214"/>
      <c r="BC18" s="56"/>
      <c r="BD18" s="84"/>
      <c r="BE18" s="56"/>
      <c r="BF18" s="56"/>
      <c r="BG18" s="56"/>
      <c r="BH18" s="72"/>
    </row>
    <row r="19" spans="1:60" ht="20.100000000000001" customHeight="1" outlineLevel="1">
      <c r="A19" s="77" t="s">
        <v>43</v>
      </c>
      <c r="B19" s="77" t="s">
        <v>558</v>
      </c>
      <c r="C19" s="77" t="s">
        <v>1086</v>
      </c>
      <c r="D19" s="78" t="s">
        <v>46</v>
      </c>
      <c r="E19" s="78" t="str">
        <f t="shared" si="4"/>
        <v>000</v>
      </c>
      <c r="F19" s="3">
        <v>655011</v>
      </c>
      <c r="G19" s="102" t="s">
        <v>54</v>
      </c>
      <c r="H19" s="87"/>
      <c r="I19" s="13">
        <v>1804</v>
      </c>
      <c r="J19" s="13">
        <v>3324</v>
      </c>
      <c r="L19" s="56">
        <v>3268</v>
      </c>
      <c r="M19" s="56"/>
      <c r="N19" s="56">
        <v>9300</v>
      </c>
      <c r="O19" s="56"/>
      <c r="P19" s="56">
        <v>9300</v>
      </c>
      <c r="Q19" s="56"/>
      <c r="R19" s="56">
        <v>9300</v>
      </c>
      <c r="S19" s="56"/>
      <c r="T19" s="56">
        <v>0</v>
      </c>
      <c r="U19" s="56"/>
      <c r="V19" s="56">
        <v>9300</v>
      </c>
      <c r="W19" s="56"/>
      <c r="X19" s="56">
        <v>3763.88</v>
      </c>
      <c r="Y19" s="56"/>
      <c r="Z19" s="56">
        <v>9540</v>
      </c>
      <c r="AA19" s="56"/>
      <c r="AB19" s="56"/>
      <c r="AC19" s="56"/>
      <c r="AD19" s="56"/>
      <c r="AE19" s="56"/>
      <c r="AF19" s="56">
        <f t="shared" si="0"/>
        <v>9540</v>
      </c>
      <c r="AG19" s="56">
        <v>0</v>
      </c>
      <c r="AH19" s="56">
        <v>0</v>
      </c>
      <c r="AI19" s="56"/>
      <c r="AJ19" s="56">
        <f t="shared" si="1"/>
        <v>9540</v>
      </c>
      <c r="AK19" s="85"/>
      <c r="AL19" s="56">
        <v>0</v>
      </c>
      <c r="AM19" s="56"/>
      <c r="AN19" s="88">
        <v>3484.54</v>
      </c>
      <c r="AO19" s="88">
        <v>0</v>
      </c>
      <c r="AP19" s="88">
        <v>3524.35</v>
      </c>
      <c r="AQ19" s="56"/>
      <c r="AR19" s="56">
        <v>0</v>
      </c>
      <c r="AS19" s="56"/>
      <c r="AT19" s="56">
        <v>0</v>
      </c>
      <c r="AU19" s="56"/>
      <c r="AV19" s="56">
        <f t="shared" si="2"/>
        <v>3524.35</v>
      </c>
      <c r="AW19" s="56"/>
      <c r="AX19" s="56">
        <v>0</v>
      </c>
      <c r="AY19" s="56"/>
      <c r="AZ19" s="88">
        <v>9775</v>
      </c>
      <c r="BA19" s="56">
        <v>9775</v>
      </c>
      <c r="BB19" s="214"/>
      <c r="BC19" s="56"/>
      <c r="BD19" s="84">
        <f t="shared" si="3"/>
        <v>39.809999999999945</v>
      </c>
      <c r="BE19" s="56"/>
      <c r="BF19" s="56"/>
      <c r="BG19" s="56"/>
      <c r="BH19" s="72"/>
    </row>
    <row r="20" spans="1:60" ht="20.100000000000001" customHeight="1" outlineLevel="1">
      <c r="A20" s="77" t="s">
        <v>43</v>
      </c>
      <c r="B20" s="77" t="s">
        <v>558</v>
      </c>
      <c r="C20" s="77" t="s">
        <v>1086</v>
      </c>
      <c r="D20" s="78" t="s">
        <v>46</v>
      </c>
      <c r="E20" s="78" t="str">
        <f t="shared" si="4"/>
        <v>000</v>
      </c>
      <c r="F20" s="3">
        <v>658211</v>
      </c>
      <c r="G20" s="102" t="s">
        <v>72</v>
      </c>
      <c r="H20" s="87"/>
      <c r="I20" s="13">
        <v>16337</v>
      </c>
      <c r="J20" s="13">
        <v>14993</v>
      </c>
      <c r="L20" s="56">
        <v>13188</v>
      </c>
      <c r="M20" s="56"/>
      <c r="N20" s="56">
        <v>23873</v>
      </c>
      <c r="O20" s="56"/>
      <c r="P20" s="56">
        <v>23873</v>
      </c>
      <c r="Q20" s="56"/>
      <c r="R20" s="56">
        <v>23873</v>
      </c>
      <c r="S20" s="56"/>
      <c r="T20" s="56">
        <v>0</v>
      </c>
      <c r="U20" s="56"/>
      <c r="V20" s="56">
        <v>23873</v>
      </c>
      <c r="W20" s="56"/>
      <c r="X20" s="56">
        <v>21368.12</v>
      </c>
      <c r="Y20" s="56"/>
      <c r="Z20" s="56">
        <v>31017</v>
      </c>
      <c r="AA20" s="56"/>
      <c r="AB20" s="56"/>
      <c r="AC20" s="56"/>
      <c r="AD20" s="56"/>
      <c r="AE20" s="56"/>
      <c r="AF20" s="56">
        <f t="shared" si="0"/>
        <v>31017</v>
      </c>
      <c r="AG20" s="56">
        <v>0</v>
      </c>
      <c r="AH20" s="56">
        <v>0</v>
      </c>
      <c r="AI20" s="56"/>
      <c r="AJ20" s="56">
        <f t="shared" si="1"/>
        <v>31017</v>
      </c>
      <c r="AK20" s="85"/>
      <c r="AL20" s="56">
        <v>0</v>
      </c>
      <c r="AM20" s="56"/>
      <c r="AN20" s="88">
        <v>19227.41</v>
      </c>
      <c r="AO20" s="88">
        <v>0</v>
      </c>
      <c r="AP20" s="88">
        <v>16190.81</v>
      </c>
      <c r="AQ20" s="56"/>
      <c r="AR20" s="56">
        <v>0</v>
      </c>
      <c r="AS20" s="56"/>
      <c r="AT20" s="56">
        <v>0</v>
      </c>
      <c r="AU20" s="56"/>
      <c r="AV20" s="56">
        <f t="shared" si="2"/>
        <v>16190.81</v>
      </c>
      <c r="AW20" s="56"/>
      <c r="AX20" s="56">
        <v>0</v>
      </c>
      <c r="AY20" s="56"/>
      <c r="AZ20" s="88">
        <v>27910</v>
      </c>
      <c r="BA20" s="56">
        <v>27910</v>
      </c>
      <c r="BB20" s="214"/>
      <c r="BC20" s="56"/>
      <c r="BD20" s="84">
        <f t="shared" si="3"/>
        <v>-3036.6000000000004</v>
      </c>
      <c r="BE20" s="56"/>
      <c r="BF20" s="56"/>
      <c r="BG20" s="56"/>
      <c r="BH20" s="72"/>
    </row>
    <row r="21" spans="1:60" ht="20.100000000000001" customHeight="1" outlineLevel="1">
      <c r="A21" s="77" t="s">
        <v>43</v>
      </c>
      <c r="B21" s="77" t="s">
        <v>558</v>
      </c>
      <c r="C21" s="77" t="s">
        <v>1086</v>
      </c>
      <c r="D21" s="78" t="s">
        <v>46</v>
      </c>
      <c r="E21" s="78" t="str">
        <f t="shared" si="4"/>
        <v>000</v>
      </c>
      <c r="F21" s="3">
        <v>661001</v>
      </c>
      <c r="G21" s="102" t="s">
        <v>73</v>
      </c>
      <c r="H21" s="87"/>
      <c r="I21" s="13">
        <v>10018</v>
      </c>
      <c r="J21" s="13">
        <v>8301</v>
      </c>
      <c r="L21" s="56">
        <v>14924</v>
      </c>
      <c r="M21" s="56"/>
      <c r="N21" s="56">
        <v>17100</v>
      </c>
      <c r="O21" s="56"/>
      <c r="P21" s="56">
        <v>19038</v>
      </c>
      <c r="Q21" s="56"/>
      <c r="R21" s="56">
        <v>19038</v>
      </c>
      <c r="S21" s="56"/>
      <c r="T21" s="56">
        <v>0</v>
      </c>
      <c r="U21" s="56"/>
      <c r="V21" s="56">
        <v>19038</v>
      </c>
      <c r="W21" s="56"/>
      <c r="X21" s="56">
        <v>21986.02</v>
      </c>
      <c r="Y21" s="56"/>
      <c r="Z21" s="56">
        <v>20428</v>
      </c>
      <c r="AA21" s="56"/>
      <c r="AB21" s="56"/>
      <c r="AC21" s="56"/>
      <c r="AD21" s="56"/>
      <c r="AE21" s="56"/>
      <c r="AF21" s="56">
        <f t="shared" si="0"/>
        <v>20428</v>
      </c>
      <c r="AG21" s="56">
        <v>0</v>
      </c>
      <c r="AH21" s="56">
        <v>0</v>
      </c>
      <c r="AI21" s="56"/>
      <c r="AJ21" s="56">
        <f t="shared" si="1"/>
        <v>20428</v>
      </c>
      <c r="AK21" s="85"/>
      <c r="AL21" s="56">
        <f>6700+5525</f>
        <v>12225</v>
      </c>
      <c r="AM21" s="56"/>
      <c r="AN21" s="88">
        <v>26121.33</v>
      </c>
      <c r="AO21" s="88">
        <v>0</v>
      </c>
      <c r="AP21" s="88">
        <v>24943.33</v>
      </c>
      <c r="AQ21" s="56"/>
      <c r="AR21" s="56">
        <v>0</v>
      </c>
      <c r="AS21" s="56"/>
      <c r="AT21" s="56">
        <v>650</v>
      </c>
      <c r="AU21" s="56"/>
      <c r="AV21" s="56">
        <f t="shared" si="2"/>
        <v>25593.33</v>
      </c>
      <c r="AW21" s="56"/>
      <c r="AX21" s="56">
        <v>0</v>
      </c>
      <c r="AY21" s="56"/>
      <c r="AZ21" s="88">
        <v>28051</v>
      </c>
      <c r="BA21" s="56">
        <v>23200</v>
      </c>
      <c r="BB21" s="214"/>
      <c r="BC21" s="56"/>
      <c r="BD21" s="84">
        <f t="shared" si="3"/>
        <v>-1178</v>
      </c>
      <c r="BE21" s="56"/>
      <c r="BF21" s="56"/>
      <c r="BG21" s="56"/>
      <c r="BH21" s="72"/>
    </row>
    <row r="22" spans="1:60" ht="20.100000000000001" customHeight="1" outlineLevel="1">
      <c r="A22" s="77" t="s">
        <v>43</v>
      </c>
      <c r="B22" s="77" t="s">
        <v>558</v>
      </c>
      <c r="C22" s="77" t="s">
        <v>1086</v>
      </c>
      <c r="D22" s="78" t="s">
        <v>46</v>
      </c>
      <c r="E22" s="78" t="str">
        <f t="shared" si="4"/>
        <v>000</v>
      </c>
      <c r="F22" s="3">
        <v>673001</v>
      </c>
      <c r="G22" s="102" t="s">
        <v>57</v>
      </c>
      <c r="H22" s="87"/>
      <c r="I22" s="13">
        <v>0</v>
      </c>
      <c r="J22" s="13">
        <v>1399</v>
      </c>
      <c r="L22" s="56">
        <v>0</v>
      </c>
      <c r="M22" s="56"/>
      <c r="N22" s="56">
        <v>6600</v>
      </c>
      <c r="O22" s="56"/>
      <c r="P22" s="56">
        <v>6600</v>
      </c>
      <c r="Q22" s="56"/>
      <c r="R22" s="56">
        <v>6600</v>
      </c>
      <c r="S22" s="56"/>
      <c r="T22" s="56">
        <v>0</v>
      </c>
      <c r="U22" s="56"/>
      <c r="V22" s="56">
        <v>6600</v>
      </c>
      <c r="W22" s="56"/>
      <c r="X22" s="56">
        <v>0</v>
      </c>
      <c r="Y22" s="56"/>
      <c r="Z22" s="56">
        <v>6700</v>
      </c>
      <c r="AA22" s="56"/>
      <c r="AB22" s="56"/>
      <c r="AC22" s="56"/>
      <c r="AD22" s="56"/>
      <c r="AE22" s="56"/>
      <c r="AF22" s="56">
        <f t="shared" si="0"/>
        <v>6700</v>
      </c>
      <c r="AG22" s="56">
        <v>0</v>
      </c>
      <c r="AH22" s="56">
        <v>0</v>
      </c>
      <c r="AI22" s="56"/>
      <c r="AJ22" s="56">
        <f t="shared" si="1"/>
        <v>6700</v>
      </c>
      <c r="AK22" s="85"/>
      <c r="AL22" s="56">
        <v>-6700</v>
      </c>
      <c r="AM22" s="56"/>
      <c r="AN22" s="88">
        <f>SUM(AI22:AM22)</f>
        <v>0</v>
      </c>
      <c r="AO22" s="88">
        <v>0</v>
      </c>
      <c r="AP22" s="88">
        <v>0</v>
      </c>
      <c r="AQ22" s="56"/>
      <c r="AR22" s="56">
        <v>0</v>
      </c>
      <c r="AS22" s="56"/>
      <c r="AT22" s="56">
        <v>0</v>
      </c>
      <c r="AU22" s="56"/>
      <c r="AV22" s="56">
        <f t="shared" si="2"/>
        <v>0</v>
      </c>
      <c r="AW22" s="56"/>
      <c r="AX22" s="56">
        <v>0</v>
      </c>
      <c r="AY22" s="56"/>
      <c r="AZ22" s="88">
        <v>0</v>
      </c>
      <c r="BA22" s="56">
        <v>0</v>
      </c>
      <c r="BB22" s="214"/>
      <c r="BC22" s="56"/>
      <c r="BD22" s="84">
        <f t="shared" si="3"/>
        <v>0</v>
      </c>
      <c r="BE22" s="56"/>
      <c r="BF22" s="56"/>
      <c r="BG22" s="56"/>
      <c r="BH22" s="72"/>
    </row>
    <row r="23" spans="1:60" ht="20.100000000000001" customHeight="1">
      <c r="B23" s="77"/>
      <c r="C23" s="77"/>
      <c r="D23" s="90"/>
      <c r="E23" s="90"/>
      <c r="F23" s="3"/>
      <c r="G23" s="110" t="s">
        <v>560</v>
      </c>
      <c r="H23" s="87"/>
      <c r="I23" s="92">
        <v>492918</v>
      </c>
      <c r="J23" s="93">
        <v>528244</v>
      </c>
      <c r="L23" s="125">
        <v>586111</v>
      </c>
      <c r="M23" s="126"/>
      <c r="N23" s="125">
        <v>649220</v>
      </c>
      <c r="O23" s="126"/>
      <c r="P23" s="125">
        <v>651158</v>
      </c>
      <c r="Q23" s="126"/>
      <c r="R23" s="125">
        <v>682569</v>
      </c>
      <c r="S23" s="95"/>
      <c r="T23" s="94">
        <v>0</v>
      </c>
      <c r="U23" s="126"/>
      <c r="V23" s="125">
        <v>682569</v>
      </c>
      <c r="W23" s="126"/>
      <c r="X23" s="125">
        <f>SUBTOTAL(9,X11:X22)</f>
        <v>686334.58</v>
      </c>
      <c r="Y23" s="126"/>
      <c r="Z23" s="125">
        <f>SUBTOTAL(9,Z11:Z22)</f>
        <v>741729</v>
      </c>
      <c r="AA23" s="126"/>
      <c r="AB23" s="125">
        <f>SUBTOTAL(9,AB11:AB22)</f>
        <v>0</v>
      </c>
      <c r="AC23" s="126"/>
      <c r="AD23" s="125">
        <f>SUBTOTAL(9,AD11:AD22)</f>
        <v>0</v>
      </c>
      <c r="AE23" s="126"/>
      <c r="AF23" s="125">
        <f>SUBTOTAL(9,AF11:AF22)</f>
        <v>741729</v>
      </c>
      <c r="AG23" s="125">
        <f>SUBTOTAL(9,AG11:AG22)</f>
        <v>18893</v>
      </c>
      <c r="AH23" s="125">
        <f>SUBTOTAL(9,AH11:AH22)</f>
        <v>29000</v>
      </c>
      <c r="AI23" s="126"/>
      <c r="AJ23" s="125">
        <f>SUBTOTAL(9,AJ11:AJ22)</f>
        <v>789622</v>
      </c>
      <c r="AK23" s="96"/>
      <c r="AL23" s="125">
        <f>SUBTOTAL(9,AL11:AL22)</f>
        <v>0</v>
      </c>
      <c r="AM23" s="126"/>
      <c r="AN23" s="127">
        <f>SUBTOTAL(9,AN11:AN22)</f>
        <v>766529.52</v>
      </c>
      <c r="AO23" s="127">
        <f>SUBTOTAL(9,AO11:AO22)</f>
        <v>0</v>
      </c>
      <c r="AP23" s="127">
        <f>SUBTOTAL(9,AP11:AP22)</f>
        <v>745223.62000000011</v>
      </c>
      <c r="AQ23" s="126"/>
      <c r="AR23" s="125">
        <f>SUBTOTAL(9,AR11:AR22)</f>
        <v>0</v>
      </c>
      <c r="AS23" s="126"/>
      <c r="AT23" s="125">
        <f>SUBTOTAL(9,AT11:AT22)</f>
        <v>650</v>
      </c>
      <c r="AU23" s="126"/>
      <c r="AV23" s="125">
        <f>SUBTOTAL(9,AV11:AV22)</f>
        <v>743443.57000000007</v>
      </c>
      <c r="AW23" s="126"/>
      <c r="AX23" s="125">
        <f>SUBTOTAL(9,AX11:AX22)</f>
        <v>1042</v>
      </c>
      <c r="AY23" s="126"/>
      <c r="AZ23" s="127">
        <f>SUBTOTAL(9,AZ11:AZ22)</f>
        <v>748099</v>
      </c>
      <c r="BA23" s="125">
        <f>SUBTOTAL(9,BA11:BA22)</f>
        <v>750788</v>
      </c>
      <c r="BB23" s="214"/>
      <c r="BC23" s="56"/>
      <c r="BD23" s="98">
        <f t="shared" si="3"/>
        <v>-21305.899999999907</v>
      </c>
      <c r="BE23" s="126"/>
      <c r="BF23" s="126"/>
      <c r="BG23" s="126"/>
    </row>
    <row r="54" spans="18:63">
      <c r="R54" s="7">
        <v>420044982</v>
      </c>
      <c r="BI54" s="211"/>
      <c r="BJ54" s="7"/>
      <c r="BK54" s="7"/>
    </row>
    <row r="55" spans="18:63">
      <c r="BI55" s="211"/>
      <c r="BJ55" s="7"/>
    </row>
  </sheetData>
  <autoFilter ref="A9:BH23"/>
  <mergeCells count="8">
    <mergeCell ref="A6:F6"/>
    <mergeCell ref="A7:F7"/>
    <mergeCell ref="A8:D8"/>
    <mergeCell ref="AB5:AD5"/>
    <mergeCell ref="AG2:AH2"/>
    <mergeCell ref="AG3:AH3"/>
    <mergeCell ref="AG4:AH4"/>
    <mergeCell ref="AB4:AD4"/>
  </mergeCells>
  <phoneticPr fontId="3" type="noConversion"/>
  <conditionalFormatting sqref="F1:F1048576">
    <cfRule type="cellIs" dxfId="22" priority="1" stopIfTrue="1" operator="between">
      <formula>610000</formula>
      <formula>619999</formula>
    </cfRule>
  </conditionalFormatting>
  <pageMargins left="0.54" right="0.25" top="0.24" bottom="0.49" header="0.25" footer="0"/>
  <pageSetup scale="77" fitToHeight="0" orientation="landscape" r:id="rId1"/>
  <headerFooter alignWithMargins="0">
    <oddFooter>&amp;C&amp;8Detail of Expenditures Budget By Department, Page &amp;P of &amp;N</oddFooter>
  </headerFooter>
  <legacyDrawing r:id="rId2"/>
</worksheet>
</file>

<file path=xl/worksheets/sheet16.xml><?xml version="1.0" encoding="utf-8"?>
<worksheet xmlns="http://schemas.openxmlformats.org/spreadsheetml/2006/main" xmlns:r="http://schemas.openxmlformats.org/officeDocument/2006/relationships">
  <sheetPr codeName="Sheet20" enableFormatConditionsCalculation="0">
    <tabColor indexed="17"/>
    <pageSetUpPr fitToPage="1"/>
  </sheetPr>
  <dimension ref="A1:BK27"/>
  <sheetViews>
    <sheetView zoomScale="87" zoomScaleNormal="90" workbookViewId="0">
      <pane xSplit="8" ySplit="9" topLeftCell="AN10" activePane="bottomRight" state="frozen"/>
      <selection activeCell="A28" sqref="A28"/>
      <selection pane="topRight" activeCell="A28" sqref="A28"/>
      <selection pane="bottomLeft" activeCell="A28" sqref="A28"/>
      <selection pane="bottomRight"/>
    </sheetView>
  </sheetViews>
  <sheetFormatPr defaultRowHeight="12.75" outlineLevelRow="1" outlineLevelCol="1"/>
  <cols>
    <col min="1" max="1" width="7" style="39" customWidth="1" outlineLevel="1"/>
    <col min="2" max="2" width="6.140625" style="39" customWidth="1" outlineLevel="1"/>
    <col min="3" max="3" width="3.7109375" style="39" customWidth="1" outlineLevel="1"/>
    <col min="4" max="5" width="4.85546875" style="168" customWidth="1" outlineLevel="1"/>
    <col min="6" max="6" width="8.7109375" style="40" customWidth="1" outlineLevel="1"/>
    <col min="7" max="7" width="28.5703125" style="4" customWidth="1"/>
    <col min="8" max="8" width="16.5703125" style="4" hidden="1" customWidth="1"/>
    <col min="9" max="10" width="15.140625" style="4" hidden="1" customWidth="1" collapsed="1"/>
    <col min="11" max="11" width="39.5703125" style="4" hidden="1" customWidth="1"/>
    <col min="12" max="12" width="15.140625" style="7" bestFit="1" customWidth="1" collapsed="1"/>
    <col min="13" max="13" width="31.7109375" style="7" hidden="1" customWidth="1"/>
    <col min="14" max="14" width="35.5703125" style="7" hidden="1" customWidth="1" collapsed="1"/>
    <col min="15" max="15" width="0.140625" style="7" customWidth="1"/>
    <col min="16" max="16" width="25.28515625" style="7" hidden="1" customWidth="1" outlineLevel="1" collapsed="1"/>
    <col min="17" max="17" width="23.42578125" style="7" hidden="1" customWidth="1" outlineLevel="1"/>
    <col min="18" max="18" width="20.5703125" style="7" hidden="1" customWidth="1" outlineLevel="1" collapsed="1"/>
    <col min="19" max="19" width="18" style="7" hidden="1" customWidth="1" outlineLevel="1"/>
    <col min="20" max="20" width="19.5703125" style="7" hidden="1" customWidth="1" outlineLevel="1"/>
    <col min="21" max="21" width="18.42578125" style="7" hidden="1" customWidth="1" outlineLevel="1"/>
    <col min="22" max="22" width="13.140625" style="7" hidden="1" customWidth="1"/>
    <col min="23" max="23" width="14.140625" style="7" hidden="1" customWidth="1"/>
    <col min="24" max="24" width="14.5703125" style="7" customWidth="1" collapsed="1"/>
    <col min="25" max="25" width="0.85546875" style="7" hidden="1" customWidth="1"/>
    <col min="26" max="26" width="16.140625" style="7" hidden="1" customWidth="1"/>
    <col min="27" max="27" width="0.140625" style="7" hidden="1" customWidth="1"/>
    <col min="28" max="28" width="16.140625" style="7" hidden="1" customWidth="1" outlineLevel="1"/>
    <col min="29" max="29" width="0.42578125" style="7" hidden="1" customWidth="1" outlineLevel="1"/>
    <col min="30" max="30" width="17.85546875" style="7" hidden="1" customWidth="1" outlineLevel="1"/>
    <col min="31" max="31" width="0.42578125" style="7" hidden="1" customWidth="1" outlineLevel="1"/>
    <col min="32" max="32" width="16.140625" style="7" hidden="1" customWidth="1" collapsed="1"/>
    <col min="33" max="33" width="16" style="7" hidden="1" customWidth="1" outlineLevel="1"/>
    <col min="34" max="34" width="17" style="7" hidden="1" customWidth="1" outlineLevel="1"/>
    <col min="35" max="35" width="10.5703125" style="7" hidden="1" customWidth="1" outlineLevel="1"/>
    <col min="36" max="36" width="16.140625" style="7" hidden="1" customWidth="1" collapsed="1"/>
    <col min="37" max="37" width="0.7109375" style="7" hidden="1" customWidth="1"/>
    <col min="38" max="38" width="16.140625" style="7" hidden="1" customWidth="1" outlineLevel="1"/>
    <col min="39" max="39" width="4.140625" style="7" hidden="1" customWidth="1" outlineLevel="1"/>
    <col min="40" max="40" width="16.140625" style="17" customWidth="1" collapsed="1"/>
    <col min="41" max="41" width="16.140625" style="17" hidden="1" customWidth="1" collapsed="1"/>
    <col min="42" max="42" width="16.140625" style="17" customWidth="1" collapsed="1"/>
    <col min="43" max="43" width="0.7109375" style="7" hidden="1" customWidth="1" outlineLevel="1"/>
    <col min="44" max="44" width="22.140625" style="7" hidden="1" customWidth="1" outlineLevel="1"/>
    <col min="45" max="45" width="0.42578125" style="7" hidden="1" customWidth="1" outlineLevel="1"/>
    <col min="46" max="46" width="17.85546875" style="7" hidden="1" customWidth="1" outlineLevel="1"/>
    <col min="47" max="47" width="0.42578125" style="7" hidden="1" customWidth="1" outlineLevel="1"/>
    <col min="48" max="48" width="18" style="7" hidden="1" customWidth="1" collapsed="1"/>
    <col min="49" max="49" width="0.5703125" style="7" hidden="1" customWidth="1"/>
    <col min="50" max="50" width="18" style="7" hidden="1" customWidth="1"/>
    <col min="51" max="51" width="0.5703125" style="7" customWidth="1"/>
    <col min="52" max="52" width="15.140625" style="7" customWidth="1"/>
    <col min="53" max="53" width="15.7109375" style="7" bestFit="1" customWidth="1"/>
    <col min="54" max="54" width="15.140625" style="7" customWidth="1"/>
    <col min="55" max="55" width="23.140625" style="7" customWidth="1"/>
    <col min="56" max="56" width="19.85546875" style="7" bestFit="1" customWidth="1"/>
    <col min="57" max="59" width="12.42578125" style="7" customWidth="1"/>
    <col min="60" max="60" width="3.85546875" style="76" customWidth="1"/>
    <col min="61" max="61" width="14.5703125" style="12" bestFit="1" customWidth="1"/>
  </cols>
  <sheetData>
    <row r="1" spans="1:62" ht="15">
      <c r="A1" s="1" t="s">
        <v>0</v>
      </c>
      <c r="B1" s="2"/>
      <c r="C1" s="2"/>
      <c r="D1" s="1"/>
      <c r="E1" s="1"/>
      <c r="F1" s="3"/>
      <c r="H1" s="5"/>
      <c r="I1" s="6"/>
      <c r="T1" s="8"/>
      <c r="Z1" s="9"/>
      <c r="AB1" s="9"/>
      <c r="AD1" s="9"/>
      <c r="AF1" s="9"/>
      <c r="AH1" s="10" t="e">
        <f>+#REF!</f>
        <v>#REF!</v>
      </c>
      <c r="AJ1" s="9"/>
      <c r="AK1" s="9"/>
      <c r="AN1" s="9"/>
      <c r="AO1" s="9"/>
      <c r="AP1" s="9"/>
      <c r="AR1" s="9"/>
      <c r="AT1" s="9"/>
      <c r="AV1" s="9"/>
      <c r="AW1" s="9"/>
      <c r="AX1" s="9"/>
      <c r="AY1" s="9"/>
      <c r="AZ1" s="9"/>
      <c r="BA1" s="9"/>
      <c r="BB1" s="9"/>
      <c r="BC1" s="9"/>
      <c r="BD1" s="9"/>
      <c r="BE1" s="9"/>
      <c r="BF1" s="9"/>
      <c r="BG1" s="9"/>
      <c r="BH1" s="11"/>
    </row>
    <row r="2" spans="1:62" ht="15">
      <c r="A2" s="1" t="s">
        <v>1053</v>
      </c>
      <c r="B2" s="2"/>
      <c r="C2" s="2"/>
      <c r="D2" s="1"/>
      <c r="E2" s="1"/>
      <c r="F2" s="3"/>
      <c r="H2" s="5"/>
      <c r="I2" s="13"/>
      <c r="J2" s="14"/>
      <c r="K2" s="14"/>
      <c r="L2" s="15"/>
      <c r="M2" s="15"/>
      <c r="N2" s="15"/>
      <c r="O2" s="15"/>
      <c r="P2" s="15"/>
      <c r="R2" s="15"/>
      <c r="T2" s="8"/>
      <c r="V2" s="15"/>
      <c r="X2" s="15"/>
      <c r="Z2" s="15"/>
      <c r="AB2" s="15"/>
      <c r="AD2" s="15"/>
      <c r="AF2" s="15"/>
      <c r="AG2" s="238" t="s">
        <v>1</v>
      </c>
      <c r="AH2" s="238"/>
      <c r="AI2" s="17"/>
      <c r="AJ2" s="18"/>
      <c r="AK2" s="15"/>
      <c r="AL2" s="10" t="e">
        <f>+#REF!</f>
        <v>#REF!</v>
      </c>
      <c r="AN2" s="18"/>
      <c r="AO2" s="18"/>
      <c r="AP2" s="18"/>
      <c r="AR2" s="15"/>
      <c r="AT2" s="15"/>
      <c r="AV2" s="15"/>
      <c r="AW2" s="15"/>
      <c r="AX2" s="15"/>
      <c r="AY2" s="15"/>
      <c r="AZ2" s="15"/>
      <c r="BA2" s="15"/>
      <c r="BB2" s="15"/>
      <c r="BC2" s="15"/>
      <c r="BD2" s="15"/>
      <c r="BE2" s="15"/>
      <c r="BF2" s="15"/>
      <c r="BG2" s="15"/>
      <c r="BH2" s="19"/>
    </row>
    <row r="3" spans="1:62">
      <c r="A3" s="20" t="str">
        <f>IF(G7=1,"DETAIL OF EXPENDITURES BUDGET BY DEPARTMENT WITH COMPARATIVE AMOUNTS", "SUMMARY OF EXPENDITURES BUDGET BY DEPARTMENT WITH COMPARATIVE AMOUNTS")</f>
        <v>DETAIL OF EXPENDITURES BUDGET BY DEPARTMENT WITH COMPARATIVE AMOUNTS</v>
      </c>
      <c r="B3" s="21"/>
      <c r="C3" s="21"/>
      <c r="D3" s="22"/>
      <c r="E3" s="22"/>
      <c r="F3" s="3"/>
      <c r="H3" s="5"/>
      <c r="I3" s="23"/>
      <c r="J3" s="15"/>
      <c r="L3" s="15"/>
      <c r="M3" s="10"/>
      <c r="N3" s="10"/>
      <c r="O3" s="10"/>
      <c r="P3" s="24"/>
      <c r="R3" s="24"/>
      <c r="V3" s="24"/>
      <c r="W3" s="24"/>
      <c r="X3" s="15"/>
      <c r="Y3" s="24"/>
      <c r="AA3" s="24"/>
      <c r="AB3" s="24" t="e">
        <f>+#REF!</f>
        <v>#REF!</v>
      </c>
      <c r="AC3" s="24"/>
      <c r="AD3" s="24" t="e">
        <f>+#REF!</f>
        <v>#REF!</v>
      </c>
      <c r="AE3" s="24"/>
      <c r="AF3" s="10" t="e">
        <f>+#REF!</f>
        <v>#REF!</v>
      </c>
      <c r="AG3" s="239" t="s">
        <v>2</v>
      </c>
      <c r="AH3" s="239"/>
      <c r="AI3" s="25"/>
      <c r="AJ3" s="25" t="e">
        <f>+#REF!</f>
        <v>#REF!</v>
      </c>
      <c r="AK3" s="24"/>
      <c r="AL3" s="16" t="s">
        <v>1</v>
      </c>
      <c r="AM3" s="25"/>
      <c r="AN3" s="25"/>
      <c r="AO3" s="25"/>
      <c r="AP3" s="25"/>
      <c r="AQ3" s="24"/>
      <c r="AR3" s="24" t="e">
        <f>+#REF!</f>
        <v>#REF!</v>
      </c>
      <c r="AS3" s="24"/>
      <c r="AT3" s="24" t="e">
        <f>+#REF!</f>
        <v>#REF!</v>
      </c>
      <c r="AU3" s="24"/>
      <c r="AV3" s="24" t="e">
        <f>+#REF!</f>
        <v>#REF!</v>
      </c>
      <c r="AW3" s="24"/>
      <c r="AX3" s="24" t="e">
        <f>+#REF!</f>
        <v>#REF!</v>
      </c>
      <c r="AY3" s="24"/>
      <c r="AZ3" s="24"/>
      <c r="BA3" s="24"/>
      <c r="BB3" s="24"/>
      <c r="BC3" s="24"/>
      <c r="BD3" s="26"/>
      <c r="BE3" s="26"/>
      <c r="BF3" s="26"/>
      <c r="BG3" s="26"/>
      <c r="BH3" s="27"/>
    </row>
    <row r="4" spans="1:62" ht="15">
      <c r="A4" s="28" t="s">
        <v>1070</v>
      </c>
      <c r="B4" s="29"/>
      <c r="C4" s="29"/>
      <c r="D4" s="28"/>
      <c r="E4" s="28"/>
      <c r="F4" s="3"/>
      <c r="H4" s="30"/>
      <c r="I4" s="31"/>
      <c r="J4" s="31"/>
      <c r="L4" s="31"/>
      <c r="M4" s="32"/>
      <c r="N4" s="33"/>
      <c r="O4" s="32"/>
      <c r="P4" s="33"/>
      <c r="R4" s="33"/>
      <c r="T4" s="33"/>
      <c r="X4" s="31"/>
      <c r="Z4" s="10"/>
      <c r="AB4" s="241"/>
      <c r="AC4" s="241"/>
      <c r="AD4" s="241"/>
      <c r="AE4" s="35"/>
      <c r="AF4" s="34"/>
      <c r="AG4" s="240"/>
      <c r="AH4" s="240"/>
      <c r="AI4" s="17"/>
      <c r="AJ4" s="16"/>
      <c r="AK4" s="24"/>
      <c r="AL4" s="16"/>
      <c r="AM4" s="17"/>
      <c r="AN4" s="31"/>
      <c r="AO4" s="31"/>
      <c r="AP4" s="31"/>
      <c r="AR4" s="34" t="s">
        <v>5</v>
      </c>
      <c r="AU4" s="35"/>
      <c r="AV4" s="34"/>
      <c r="AW4" s="34"/>
      <c r="AX4" s="34" t="s">
        <v>5</v>
      </c>
      <c r="AY4" s="34"/>
      <c r="AZ4" s="34"/>
      <c r="BA4" s="34"/>
      <c r="BB4" s="34"/>
      <c r="BC4" s="34"/>
      <c r="BD4" s="37"/>
      <c r="BE4" s="37"/>
      <c r="BF4" s="37"/>
      <c r="BG4" s="37"/>
      <c r="BH4" s="38"/>
    </row>
    <row r="5" spans="1:62" ht="15">
      <c r="B5" s="29"/>
      <c r="C5" s="29"/>
      <c r="D5" s="28"/>
      <c r="E5" s="28"/>
      <c r="G5" s="28"/>
      <c r="H5" s="5"/>
      <c r="I5" s="41" t="s">
        <v>6</v>
      </c>
      <c r="J5" s="42" t="s">
        <v>7</v>
      </c>
      <c r="L5" s="16" t="s">
        <v>8</v>
      </c>
      <c r="M5" s="16"/>
      <c r="N5" s="16" t="s">
        <v>9</v>
      </c>
      <c r="O5" s="16"/>
      <c r="P5" s="16" t="s">
        <v>9</v>
      </c>
      <c r="Q5" s="17"/>
      <c r="R5" s="43"/>
      <c r="S5" s="17"/>
      <c r="T5" s="16"/>
      <c r="U5" s="17"/>
      <c r="V5" s="16" t="s">
        <v>9</v>
      </c>
      <c r="X5" s="16" t="s">
        <v>9</v>
      </c>
      <c r="Z5" s="34" t="s">
        <v>1</v>
      </c>
      <c r="AB5" s="243" t="s">
        <v>10</v>
      </c>
      <c r="AC5" s="243"/>
      <c r="AD5" s="243"/>
      <c r="AE5" s="35"/>
      <c r="AF5" s="34" t="s">
        <v>1</v>
      </c>
      <c r="AG5" s="17"/>
      <c r="AH5" s="16" t="s">
        <v>11</v>
      </c>
      <c r="AI5" s="17"/>
      <c r="AJ5" s="16" t="s">
        <v>1</v>
      </c>
      <c r="AK5" s="24"/>
      <c r="AL5" s="43" t="s">
        <v>12</v>
      </c>
      <c r="AM5" s="17"/>
      <c r="AN5" s="16" t="s">
        <v>1</v>
      </c>
      <c r="AO5" s="45" t="s">
        <v>1</v>
      </c>
      <c r="AP5" s="46" t="s">
        <v>5</v>
      </c>
      <c r="AQ5" s="47"/>
      <c r="AR5" s="48" t="s">
        <v>10</v>
      </c>
      <c r="AS5" s="47"/>
      <c r="AT5" s="47"/>
      <c r="AU5" s="47"/>
      <c r="AV5" s="46" t="s">
        <v>5</v>
      </c>
      <c r="AW5" s="34"/>
      <c r="AX5" s="49" t="s">
        <v>3</v>
      </c>
      <c r="AY5" s="34"/>
      <c r="AZ5" s="16" t="s">
        <v>1054</v>
      </c>
      <c r="BA5" s="16" t="s">
        <v>1054</v>
      </c>
      <c r="BB5" s="34" t="s">
        <v>1069</v>
      </c>
      <c r="BC5" s="34"/>
      <c r="BD5" s="50" t="s">
        <v>13</v>
      </c>
      <c r="BE5" s="37"/>
      <c r="BF5" s="37"/>
      <c r="BG5" s="37"/>
      <c r="BH5" s="51"/>
    </row>
    <row r="6" spans="1:62">
      <c r="A6" s="242"/>
      <c r="B6" s="242"/>
      <c r="C6" s="242"/>
      <c r="D6" s="242"/>
      <c r="E6" s="242"/>
      <c r="F6" s="242"/>
      <c r="G6" s="22"/>
      <c r="H6" s="5"/>
      <c r="I6" s="52" t="s">
        <v>14</v>
      </c>
      <c r="J6" s="52" t="s">
        <v>14</v>
      </c>
      <c r="L6" s="43" t="s">
        <v>14</v>
      </c>
      <c r="M6" s="43"/>
      <c r="N6" s="43" t="s">
        <v>15</v>
      </c>
      <c r="O6" s="43"/>
      <c r="P6" s="43" t="s">
        <v>4</v>
      </c>
      <c r="Q6" s="17"/>
      <c r="R6" s="43" t="s">
        <v>4</v>
      </c>
      <c r="S6" s="43"/>
      <c r="T6" s="43" t="s">
        <v>16</v>
      </c>
      <c r="U6" s="43"/>
      <c r="V6" s="43" t="s">
        <v>4</v>
      </c>
      <c r="W6" s="43"/>
      <c r="X6" s="43" t="s">
        <v>14</v>
      </c>
      <c r="Y6" s="43"/>
      <c r="Z6" s="34" t="s">
        <v>17</v>
      </c>
      <c r="AA6" s="43"/>
      <c r="AB6" s="53" t="s">
        <v>16</v>
      </c>
      <c r="AC6" s="53"/>
      <c r="AD6" s="34"/>
      <c r="AE6" s="53"/>
      <c r="AF6" s="34" t="s">
        <v>17</v>
      </c>
      <c r="AG6" s="43" t="s">
        <v>16</v>
      </c>
      <c r="AH6" s="16" t="s">
        <v>18</v>
      </c>
      <c r="AI6" s="43"/>
      <c r="AJ6" s="16" t="s">
        <v>19</v>
      </c>
      <c r="AK6" s="24"/>
      <c r="AL6" s="43" t="s">
        <v>16</v>
      </c>
      <c r="AM6" s="43"/>
      <c r="AN6" s="43" t="s">
        <v>14</v>
      </c>
      <c r="AO6" s="45" t="s">
        <v>20</v>
      </c>
      <c r="AP6" s="43" t="s">
        <v>14</v>
      </c>
      <c r="AQ6" s="54"/>
      <c r="AR6" s="54" t="s">
        <v>16</v>
      </c>
      <c r="AS6" s="54"/>
      <c r="AT6" s="46"/>
      <c r="AU6" s="54"/>
      <c r="AV6" s="46" t="s">
        <v>19</v>
      </c>
      <c r="AW6" s="34"/>
      <c r="AX6" s="55" t="s">
        <v>16</v>
      </c>
      <c r="AY6" s="34"/>
      <c r="AZ6" s="16" t="s">
        <v>19</v>
      </c>
      <c r="BA6" s="16" t="s">
        <v>19</v>
      </c>
      <c r="BB6" s="34" t="s">
        <v>19</v>
      </c>
      <c r="BC6" s="56"/>
      <c r="BD6" s="50" t="s">
        <v>21</v>
      </c>
      <c r="BE6" s="37"/>
      <c r="BF6" s="37"/>
      <c r="BG6" s="37"/>
      <c r="BH6" s="57"/>
    </row>
    <row r="7" spans="1:62" ht="15">
      <c r="A7" s="237"/>
      <c r="B7" s="237"/>
      <c r="C7" s="237"/>
      <c r="D7" s="237"/>
      <c r="E7" s="237"/>
      <c r="F7" s="237"/>
      <c r="G7" s="59">
        <v>1</v>
      </c>
      <c r="H7" s="60"/>
      <c r="I7" s="52" t="s">
        <v>22</v>
      </c>
      <c r="J7" s="52" t="s">
        <v>22</v>
      </c>
      <c r="L7" s="43" t="s">
        <v>22</v>
      </c>
      <c r="M7" s="43"/>
      <c r="N7" s="43" t="s">
        <v>23</v>
      </c>
      <c r="O7" s="43"/>
      <c r="P7" s="43" t="s">
        <v>24</v>
      </c>
      <c r="Q7" s="43"/>
      <c r="R7" s="43" t="s">
        <v>24</v>
      </c>
      <c r="S7" s="43"/>
      <c r="T7" s="43" t="s">
        <v>25</v>
      </c>
      <c r="U7" s="43"/>
      <c r="V7" s="43" t="s">
        <v>24</v>
      </c>
      <c r="W7" s="43"/>
      <c r="X7" s="43" t="s">
        <v>22</v>
      </c>
      <c r="Y7" s="43"/>
      <c r="Z7" s="53" t="s">
        <v>15</v>
      </c>
      <c r="AA7" s="43"/>
      <c r="AB7" s="53" t="s">
        <v>26</v>
      </c>
      <c r="AC7" s="53"/>
      <c r="AD7" s="53"/>
      <c r="AE7" s="53"/>
      <c r="AF7" s="53" t="s">
        <v>4</v>
      </c>
      <c r="AG7" s="43" t="s">
        <v>26</v>
      </c>
      <c r="AH7" s="43" t="s">
        <v>27</v>
      </c>
      <c r="AI7" s="43"/>
      <c r="AJ7" s="43" t="s">
        <v>4</v>
      </c>
      <c r="AK7" s="24"/>
      <c r="AL7" s="43" t="s">
        <v>26</v>
      </c>
      <c r="AM7" s="43"/>
      <c r="AN7" s="43" t="s">
        <v>22</v>
      </c>
      <c r="AO7" s="61" t="s">
        <v>22</v>
      </c>
      <c r="AP7" s="43" t="s">
        <v>22</v>
      </c>
      <c r="AQ7" s="54"/>
      <c r="AR7" s="54" t="s">
        <v>26</v>
      </c>
      <c r="AS7" s="54"/>
      <c r="AT7" s="54"/>
      <c r="AU7" s="54"/>
      <c r="AV7" s="54" t="s">
        <v>4</v>
      </c>
      <c r="AW7" s="53"/>
      <c r="AX7" s="55" t="s">
        <v>26</v>
      </c>
      <c r="AY7" s="53"/>
      <c r="AZ7" s="16" t="s">
        <v>15</v>
      </c>
      <c r="BA7" s="43" t="s">
        <v>4</v>
      </c>
      <c r="BB7" s="34" t="s">
        <v>15</v>
      </c>
      <c r="BC7" s="56"/>
      <c r="BD7" s="50" t="s">
        <v>28</v>
      </c>
      <c r="BE7" s="62"/>
      <c r="BF7" s="62"/>
      <c r="BG7" s="62"/>
      <c r="BH7" s="57"/>
      <c r="BI7" s="63"/>
    </row>
    <row r="8" spans="1:62" ht="15">
      <c r="A8" s="237" t="s">
        <v>29</v>
      </c>
      <c r="B8" s="237"/>
      <c r="C8" s="237"/>
      <c r="D8" s="237"/>
      <c r="E8" s="237"/>
      <c r="F8" s="64" t="s">
        <v>30</v>
      </c>
      <c r="G8" s="64" t="s">
        <v>31</v>
      </c>
      <c r="H8" s="60"/>
      <c r="I8" s="65" t="s">
        <v>32</v>
      </c>
      <c r="J8" s="65" t="s">
        <v>32</v>
      </c>
      <c r="L8" s="66" t="s">
        <v>32</v>
      </c>
      <c r="M8" s="36"/>
      <c r="N8" s="36" t="s">
        <v>2</v>
      </c>
      <c r="O8" s="36"/>
      <c r="P8" s="36" t="s">
        <v>33</v>
      </c>
      <c r="Q8" s="36"/>
      <c r="R8" s="36" t="s">
        <v>34</v>
      </c>
      <c r="S8" s="36"/>
      <c r="T8" s="36" t="s">
        <v>35</v>
      </c>
      <c r="U8" s="36"/>
      <c r="V8" s="36" t="s">
        <v>36</v>
      </c>
      <c r="W8" s="36"/>
      <c r="X8" s="66" t="s">
        <v>32</v>
      </c>
      <c r="Y8" s="36"/>
      <c r="Z8" s="44" t="s">
        <v>24</v>
      </c>
      <c r="AA8" s="36"/>
      <c r="AB8" s="44" t="s">
        <v>35</v>
      </c>
      <c r="AC8" s="44"/>
      <c r="AD8" s="44" t="s">
        <v>37</v>
      </c>
      <c r="AE8" s="44"/>
      <c r="AF8" s="44" t="s">
        <v>38</v>
      </c>
      <c r="AG8" s="36" t="s">
        <v>35</v>
      </c>
      <c r="AH8" s="36" t="s">
        <v>39</v>
      </c>
      <c r="AI8" s="36"/>
      <c r="AJ8" s="36" t="s">
        <v>40</v>
      </c>
      <c r="AK8" s="24"/>
      <c r="AL8" s="36" t="s">
        <v>35</v>
      </c>
      <c r="AM8" s="36"/>
      <c r="AN8" s="36" t="s">
        <v>32</v>
      </c>
      <c r="AO8" s="67" t="s">
        <v>32</v>
      </c>
      <c r="AP8" s="36" t="s">
        <v>32</v>
      </c>
      <c r="AQ8" s="48"/>
      <c r="AR8" s="48" t="s">
        <v>35</v>
      </c>
      <c r="AS8" s="48"/>
      <c r="AT8" s="48" t="s">
        <v>37</v>
      </c>
      <c r="AU8" s="48"/>
      <c r="AV8" s="48" t="s">
        <v>38</v>
      </c>
      <c r="AW8" s="44"/>
      <c r="AX8" s="49" t="s">
        <v>35</v>
      </c>
      <c r="AY8" s="44"/>
      <c r="AZ8" s="36" t="s">
        <v>2</v>
      </c>
      <c r="BA8" s="36" t="s">
        <v>40</v>
      </c>
      <c r="BB8" s="44" t="s">
        <v>2</v>
      </c>
      <c r="BC8" s="56"/>
      <c r="BD8" s="50" t="s">
        <v>41</v>
      </c>
      <c r="BE8" s="68"/>
      <c r="BF8" s="68"/>
      <c r="BG8" s="68"/>
      <c r="BH8" s="69"/>
    </row>
    <row r="9" spans="1:62" ht="15">
      <c r="A9" s="58"/>
      <c r="B9" s="58"/>
      <c r="C9" s="58"/>
      <c r="D9" s="64"/>
      <c r="E9" s="64"/>
      <c r="F9" s="64"/>
      <c r="G9" s="70"/>
      <c r="H9" s="60"/>
      <c r="J9" s="71"/>
      <c r="AK9" s="24"/>
      <c r="AZ9" s="34"/>
      <c r="BB9" s="34"/>
      <c r="BC9" s="56"/>
      <c r="BH9" s="72">
        <v>2</v>
      </c>
    </row>
    <row r="10" spans="1:62" ht="20.100000000000001" customHeight="1" outlineLevel="1">
      <c r="A10" s="75" t="s">
        <v>693</v>
      </c>
      <c r="B10" s="77"/>
      <c r="C10" s="77"/>
      <c r="D10" s="90"/>
      <c r="E10" s="90"/>
      <c r="F10" s="3"/>
      <c r="H10" s="87"/>
      <c r="L10" s="44"/>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5"/>
      <c r="AL10" s="83"/>
      <c r="AM10" s="83"/>
      <c r="AN10" s="100"/>
      <c r="AO10" s="100"/>
      <c r="AP10" s="100"/>
      <c r="AQ10" s="83"/>
      <c r="AR10" s="83"/>
      <c r="AS10" s="83"/>
      <c r="AT10" s="83"/>
      <c r="AU10" s="83"/>
      <c r="AV10" s="83"/>
      <c r="AW10" s="83"/>
      <c r="AX10" s="83"/>
      <c r="AY10" s="83"/>
      <c r="AZ10" s="83"/>
      <c r="BA10" s="83"/>
      <c r="BB10" s="83"/>
      <c r="BC10" s="56"/>
      <c r="BD10" s="83"/>
      <c r="BE10" s="83"/>
      <c r="BF10" s="83"/>
      <c r="BG10" s="83"/>
      <c r="BH10" s="19"/>
    </row>
    <row r="11" spans="1:62" ht="20.100000000000001" customHeight="1" outlineLevel="1">
      <c r="A11" s="77" t="s">
        <v>43</v>
      </c>
      <c r="B11" s="77" t="s">
        <v>694</v>
      </c>
      <c r="C11" s="77" t="s">
        <v>1096</v>
      </c>
      <c r="D11" s="78" t="s">
        <v>46</v>
      </c>
      <c r="E11" s="78" t="str">
        <f>+D11</f>
        <v>000</v>
      </c>
      <c r="F11" s="79">
        <v>611841</v>
      </c>
      <c r="G11" s="102" t="s">
        <v>557</v>
      </c>
      <c r="H11" s="87"/>
      <c r="I11" s="82">
        <v>77358</v>
      </c>
      <c r="J11" s="82">
        <v>77178</v>
      </c>
      <c r="L11" s="83">
        <v>85760</v>
      </c>
      <c r="M11" s="83"/>
      <c r="N11" s="83">
        <v>88721</v>
      </c>
      <c r="O11" s="83"/>
      <c r="P11" s="83">
        <v>88721</v>
      </c>
      <c r="Q11" s="83"/>
      <c r="R11" s="83">
        <v>96520</v>
      </c>
      <c r="S11" s="83"/>
      <c r="T11" s="83">
        <v>0</v>
      </c>
      <c r="U11" s="83"/>
      <c r="V11" s="83">
        <v>96520</v>
      </c>
      <c r="W11" s="83"/>
      <c r="X11" s="83">
        <v>117903.67</v>
      </c>
      <c r="Y11" s="83"/>
      <c r="Z11" s="83">
        <v>90497</v>
      </c>
      <c r="AA11" s="83"/>
      <c r="AB11" s="83"/>
      <c r="AC11" s="83"/>
      <c r="AD11" s="83"/>
      <c r="AE11" s="83"/>
      <c r="AF11" s="84">
        <f t="shared" ref="AF11:AF21" si="0">SUM(Z11:AE11)</f>
        <v>90497</v>
      </c>
      <c r="AG11" s="103">
        <v>25250</v>
      </c>
      <c r="AH11" s="83">
        <v>2500</v>
      </c>
      <c r="AI11" s="83"/>
      <c r="AJ11" s="84">
        <f t="shared" ref="AJ11:AJ21" si="1">SUM(AE11:AI11)</f>
        <v>118247</v>
      </c>
      <c r="AK11" s="85"/>
      <c r="AL11" s="83">
        <v>0</v>
      </c>
      <c r="AM11" s="83"/>
      <c r="AN11" s="86">
        <f t="shared" ref="AN11:AN21" si="2">SUM(AI11:AM11)</f>
        <v>118247</v>
      </c>
      <c r="AO11" s="86">
        <v>0</v>
      </c>
      <c r="AP11" s="86">
        <v>105388.97</v>
      </c>
      <c r="AQ11" s="83"/>
      <c r="AR11" s="83">
        <v>0</v>
      </c>
      <c r="AS11" s="83"/>
      <c r="AT11" s="83">
        <v>0</v>
      </c>
      <c r="AU11" s="83"/>
      <c r="AV11" s="84">
        <f t="shared" ref="AV11:AV22" si="3">SUM(AP11:AU11)</f>
        <v>105388.97</v>
      </c>
      <c r="AW11" s="84"/>
      <c r="AX11" s="128">
        <v>-5811</v>
      </c>
      <c r="AY11" s="84"/>
      <c r="AZ11" s="86">
        <v>107351</v>
      </c>
      <c r="BA11" s="84">
        <v>109666</v>
      </c>
      <c r="BB11" s="214"/>
      <c r="BC11" s="56"/>
      <c r="BD11" s="84">
        <f t="shared" ref="BD11:BD21" si="4">+AP11-AN11</f>
        <v>-12858.029999999999</v>
      </c>
      <c r="BE11" s="84"/>
      <c r="BF11" s="84"/>
      <c r="BG11" s="84"/>
      <c r="BH11" s="72">
        <v>1</v>
      </c>
      <c r="BJ11">
        <v>1</v>
      </c>
    </row>
    <row r="12" spans="1:62" ht="20.100000000000001" customHeight="1" outlineLevel="1">
      <c r="A12" s="77" t="s">
        <v>43</v>
      </c>
      <c r="B12" s="77" t="s">
        <v>695</v>
      </c>
      <c r="C12" s="77" t="s">
        <v>1096</v>
      </c>
      <c r="D12" s="78" t="s">
        <v>46</v>
      </c>
      <c r="E12" s="78" t="str">
        <f t="shared" ref="E12:E22" si="5">+D12</f>
        <v>000</v>
      </c>
      <c r="F12" s="3">
        <v>611842</v>
      </c>
      <c r="G12" s="102" t="s">
        <v>696</v>
      </c>
      <c r="H12" s="87"/>
      <c r="I12" s="13">
        <v>341016</v>
      </c>
      <c r="J12" s="13">
        <v>353419</v>
      </c>
      <c r="L12" s="56">
        <v>420113</v>
      </c>
      <c r="M12" s="56"/>
      <c r="N12" s="56">
        <v>459320</v>
      </c>
      <c r="O12" s="56"/>
      <c r="P12" s="56">
        <v>459320</v>
      </c>
      <c r="Q12" s="56"/>
      <c r="R12" s="56">
        <v>576929</v>
      </c>
      <c r="S12" s="56"/>
      <c r="T12" s="56">
        <v>0</v>
      </c>
      <c r="U12" s="56"/>
      <c r="V12" s="56">
        <v>576929</v>
      </c>
      <c r="W12" s="56"/>
      <c r="X12" s="56">
        <v>647905.13</v>
      </c>
      <c r="Y12" s="56"/>
      <c r="Z12" s="56">
        <v>864677</v>
      </c>
      <c r="AA12" s="56"/>
      <c r="AB12" s="56"/>
      <c r="AC12" s="56"/>
      <c r="AD12" s="56"/>
      <c r="AE12" s="56"/>
      <c r="AF12" s="56">
        <f t="shared" si="0"/>
        <v>864677</v>
      </c>
      <c r="AG12" s="104">
        <v>-50000</v>
      </c>
      <c r="AH12" s="56">
        <v>58500</v>
      </c>
      <c r="AI12" s="56"/>
      <c r="AJ12" s="56">
        <f t="shared" si="1"/>
        <v>873177</v>
      </c>
      <c r="AK12" s="85"/>
      <c r="AL12" s="56">
        <v>0</v>
      </c>
      <c r="AM12" s="56"/>
      <c r="AN12" s="88">
        <f t="shared" si="2"/>
        <v>873177</v>
      </c>
      <c r="AO12" s="88">
        <v>0</v>
      </c>
      <c r="AP12" s="88">
        <v>720785.22</v>
      </c>
      <c r="AQ12" s="56"/>
      <c r="AR12" s="56">
        <v>0</v>
      </c>
      <c r="AS12" s="56"/>
      <c r="AT12" s="56">
        <v>0</v>
      </c>
      <c r="AU12" s="56"/>
      <c r="AV12" s="56">
        <f t="shared" si="3"/>
        <v>720785.22</v>
      </c>
      <c r="AW12" s="56"/>
      <c r="AX12" s="106">
        <v>-23094</v>
      </c>
      <c r="AY12" s="56"/>
      <c r="AZ12" s="88">
        <v>739022</v>
      </c>
      <c r="BA12" s="56">
        <v>748000</v>
      </c>
      <c r="BB12" s="214"/>
      <c r="BC12" s="56"/>
      <c r="BD12" s="84">
        <f t="shared" si="4"/>
        <v>-152391.78000000003</v>
      </c>
      <c r="BE12" s="56"/>
      <c r="BF12" s="56"/>
      <c r="BG12" s="56"/>
      <c r="BH12" s="72">
        <v>1</v>
      </c>
      <c r="BJ12">
        <v>1</v>
      </c>
    </row>
    <row r="13" spans="1:62" ht="20.100000000000001" customHeight="1" outlineLevel="1">
      <c r="A13" s="77" t="s">
        <v>43</v>
      </c>
      <c r="B13" s="77" t="s">
        <v>697</v>
      </c>
      <c r="C13" s="77" t="s">
        <v>1096</v>
      </c>
      <c r="D13" s="78" t="s">
        <v>46</v>
      </c>
      <c r="E13" s="78" t="str">
        <f t="shared" si="5"/>
        <v>000</v>
      </c>
      <c r="F13" s="3">
        <v>611411</v>
      </c>
      <c r="G13" s="102" t="s">
        <v>80</v>
      </c>
      <c r="H13" s="87"/>
      <c r="I13" s="13">
        <v>26116</v>
      </c>
      <c r="J13" s="13">
        <v>24412</v>
      </c>
      <c r="L13" s="56">
        <v>29206</v>
      </c>
      <c r="M13" s="56"/>
      <c r="N13" s="56">
        <v>28200</v>
      </c>
      <c r="O13" s="56"/>
      <c r="P13" s="56">
        <v>28200</v>
      </c>
      <c r="Q13" s="56"/>
      <c r="R13" s="56">
        <v>29900</v>
      </c>
      <c r="S13" s="56"/>
      <c r="T13" s="56">
        <v>0</v>
      </c>
      <c r="U13" s="56"/>
      <c r="V13" s="56">
        <v>29900</v>
      </c>
      <c r="W13" s="56"/>
      <c r="X13" s="56">
        <v>30936.49</v>
      </c>
      <c r="Y13" s="56"/>
      <c r="Z13" s="56">
        <v>33361</v>
      </c>
      <c r="AA13" s="56"/>
      <c r="AB13" s="56"/>
      <c r="AC13" s="56"/>
      <c r="AD13" s="56"/>
      <c r="AE13" s="56"/>
      <c r="AF13" s="56">
        <f t="shared" si="0"/>
        <v>33361</v>
      </c>
      <c r="AG13" s="56">
        <v>0</v>
      </c>
      <c r="AH13" s="56">
        <v>2250</v>
      </c>
      <c r="AI13" s="56"/>
      <c r="AJ13" s="56">
        <f t="shared" si="1"/>
        <v>35611</v>
      </c>
      <c r="AK13" s="85"/>
      <c r="AL13" s="56">
        <v>0</v>
      </c>
      <c r="AM13" s="56"/>
      <c r="AN13" s="88">
        <f t="shared" si="2"/>
        <v>35611</v>
      </c>
      <c r="AO13" s="88">
        <v>0</v>
      </c>
      <c r="AP13" s="88">
        <v>29091.96</v>
      </c>
      <c r="AQ13" s="56"/>
      <c r="AR13" s="56">
        <v>0</v>
      </c>
      <c r="AS13" s="56"/>
      <c r="AT13" s="56">
        <v>0</v>
      </c>
      <c r="AU13" s="56"/>
      <c r="AV13" s="56">
        <f t="shared" si="3"/>
        <v>29091.96</v>
      </c>
      <c r="AW13" s="56"/>
      <c r="AX13" s="106">
        <v>9092</v>
      </c>
      <c r="AY13" s="56"/>
      <c r="AZ13" s="88">
        <v>25000</v>
      </c>
      <c r="BA13" s="56">
        <v>29073</v>
      </c>
      <c r="BB13" s="214"/>
      <c r="BC13" s="56"/>
      <c r="BD13" s="84">
        <f t="shared" si="4"/>
        <v>-6519.0400000000009</v>
      </c>
      <c r="BE13" s="56"/>
      <c r="BF13" s="56"/>
      <c r="BG13" s="56"/>
      <c r="BH13" s="72">
        <v>1</v>
      </c>
      <c r="BJ13">
        <v>1</v>
      </c>
    </row>
    <row r="14" spans="1:62" ht="20.100000000000001" customHeight="1" outlineLevel="1">
      <c r="A14" s="77" t="s">
        <v>43</v>
      </c>
      <c r="B14" s="77" t="s">
        <v>697</v>
      </c>
      <c r="C14" s="77" t="s">
        <v>1096</v>
      </c>
      <c r="D14" s="78" t="s">
        <v>46</v>
      </c>
      <c r="E14" s="78" t="str">
        <f t="shared" si="5"/>
        <v>000</v>
      </c>
      <c r="F14" s="3">
        <v>643011</v>
      </c>
      <c r="G14" s="102" t="s">
        <v>698</v>
      </c>
      <c r="H14" s="87"/>
      <c r="I14" s="13">
        <v>3239</v>
      </c>
      <c r="J14" s="13">
        <v>3481</v>
      </c>
      <c r="L14" s="56">
        <v>3300</v>
      </c>
      <c r="M14" s="56"/>
      <c r="N14" s="56">
        <v>4570</v>
      </c>
      <c r="O14" s="56"/>
      <c r="P14" s="56">
        <v>4890</v>
      </c>
      <c r="Q14" s="56"/>
      <c r="R14" s="56">
        <v>4890</v>
      </c>
      <c r="S14" s="56"/>
      <c r="T14" s="56">
        <v>0</v>
      </c>
      <c r="U14" s="56"/>
      <c r="V14" s="56">
        <v>4890</v>
      </c>
      <c r="W14" s="56"/>
      <c r="X14" s="56">
        <v>3972.72</v>
      </c>
      <c r="Y14" s="56"/>
      <c r="Z14" s="56">
        <v>4990</v>
      </c>
      <c r="AA14" s="56"/>
      <c r="AB14" s="56"/>
      <c r="AC14" s="56"/>
      <c r="AD14" s="56"/>
      <c r="AE14" s="56"/>
      <c r="AF14" s="56">
        <f t="shared" si="0"/>
        <v>4990</v>
      </c>
      <c r="AG14" s="56">
        <v>0</v>
      </c>
      <c r="AH14" s="56">
        <v>0</v>
      </c>
      <c r="AI14" s="56"/>
      <c r="AJ14" s="56">
        <f t="shared" si="1"/>
        <v>4990</v>
      </c>
      <c r="AK14" s="85"/>
      <c r="AL14" s="56">
        <v>0</v>
      </c>
      <c r="AM14" s="56"/>
      <c r="AN14" s="88">
        <f t="shared" si="2"/>
        <v>4990</v>
      </c>
      <c r="AO14" s="88">
        <v>0</v>
      </c>
      <c r="AP14" s="88">
        <v>2259</v>
      </c>
      <c r="AQ14" s="56"/>
      <c r="AR14" s="56">
        <v>0</v>
      </c>
      <c r="AS14" s="56"/>
      <c r="AT14" s="56">
        <v>2400</v>
      </c>
      <c r="AU14" s="56"/>
      <c r="AV14" s="56">
        <f t="shared" si="3"/>
        <v>4659</v>
      </c>
      <c r="AW14" s="56"/>
      <c r="AX14" s="56">
        <v>0</v>
      </c>
      <c r="AY14" s="56"/>
      <c r="AZ14" s="88">
        <v>3650</v>
      </c>
      <c r="BA14" s="56">
        <v>3650</v>
      </c>
      <c r="BB14" s="214"/>
      <c r="BC14" s="56"/>
      <c r="BD14" s="84">
        <f t="shared" si="4"/>
        <v>-2731</v>
      </c>
      <c r="BE14" s="56"/>
      <c r="BF14" s="56"/>
      <c r="BG14" s="56"/>
      <c r="BH14" s="72"/>
    </row>
    <row r="15" spans="1:62" ht="20.100000000000001" customHeight="1" outlineLevel="1">
      <c r="A15" s="77" t="s">
        <v>43</v>
      </c>
      <c r="B15" s="77" t="s">
        <v>697</v>
      </c>
      <c r="C15" s="77" t="s">
        <v>1096</v>
      </c>
      <c r="D15" s="78" t="s">
        <v>46</v>
      </c>
      <c r="E15" s="78" t="str">
        <f t="shared" si="5"/>
        <v>000</v>
      </c>
      <c r="F15" s="3">
        <v>644212</v>
      </c>
      <c r="G15" s="102" t="s">
        <v>699</v>
      </c>
      <c r="H15" s="87"/>
      <c r="I15" s="13">
        <v>0</v>
      </c>
      <c r="J15" s="13">
        <v>0</v>
      </c>
      <c r="L15" s="56">
        <v>0</v>
      </c>
      <c r="M15" s="56"/>
      <c r="N15" s="56">
        <v>0</v>
      </c>
      <c r="O15" s="56"/>
      <c r="P15" s="56">
        <v>0</v>
      </c>
      <c r="Q15" s="56"/>
      <c r="R15" s="56">
        <v>0</v>
      </c>
      <c r="S15" s="56"/>
      <c r="T15" s="56">
        <v>0</v>
      </c>
      <c r="U15" s="56"/>
      <c r="V15" s="56">
        <v>0</v>
      </c>
      <c r="W15" s="56"/>
      <c r="X15" s="56">
        <v>0</v>
      </c>
      <c r="Y15" s="56"/>
      <c r="Z15" s="56">
        <v>0</v>
      </c>
      <c r="AA15" s="56"/>
      <c r="AB15" s="56"/>
      <c r="AC15" s="56"/>
      <c r="AD15" s="56"/>
      <c r="AE15" s="56"/>
      <c r="AF15" s="56">
        <f t="shared" si="0"/>
        <v>0</v>
      </c>
      <c r="AG15" s="56">
        <v>0</v>
      </c>
      <c r="AH15" s="56">
        <v>0</v>
      </c>
      <c r="AI15" s="56"/>
      <c r="AJ15" s="56">
        <f t="shared" si="1"/>
        <v>0</v>
      </c>
      <c r="AK15" s="85"/>
      <c r="AL15" s="56">
        <v>0</v>
      </c>
      <c r="AM15" s="56"/>
      <c r="AN15" s="88">
        <f t="shared" si="2"/>
        <v>0</v>
      </c>
      <c r="AO15" s="88">
        <v>0</v>
      </c>
      <c r="AP15" s="88">
        <v>1625.05</v>
      </c>
      <c r="AQ15" s="56"/>
      <c r="AR15" s="56">
        <v>0</v>
      </c>
      <c r="AS15" s="56"/>
      <c r="AT15" s="56">
        <v>0</v>
      </c>
      <c r="AU15" s="56"/>
      <c r="AV15" s="56">
        <f t="shared" si="3"/>
        <v>1625.05</v>
      </c>
      <c r="AW15" s="56"/>
      <c r="AX15" s="56">
        <v>0</v>
      </c>
      <c r="AY15" s="56"/>
      <c r="AZ15" s="88">
        <v>0</v>
      </c>
      <c r="BA15" s="56">
        <v>0</v>
      </c>
      <c r="BB15" s="214"/>
      <c r="BC15" s="56"/>
      <c r="BD15" s="84">
        <f t="shared" si="4"/>
        <v>1625.05</v>
      </c>
      <c r="BE15" s="56"/>
      <c r="BF15" s="56"/>
      <c r="BG15" s="56"/>
      <c r="BH15" s="72"/>
    </row>
    <row r="16" spans="1:62" ht="20.100000000000001" customHeight="1" outlineLevel="1">
      <c r="A16" s="77" t="s">
        <v>43</v>
      </c>
      <c r="B16" s="77" t="s">
        <v>137</v>
      </c>
      <c r="C16" s="77" t="s">
        <v>1096</v>
      </c>
      <c r="D16" s="78" t="s">
        <v>46</v>
      </c>
      <c r="E16" s="78" t="str">
        <f t="shared" si="5"/>
        <v>000</v>
      </c>
      <c r="F16" s="3">
        <v>653021</v>
      </c>
      <c r="G16" s="102" t="s">
        <v>700</v>
      </c>
      <c r="H16" s="87"/>
      <c r="I16" s="13"/>
      <c r="J16" s="13">
        <v>0</v>
      </c>
      <c r="L16" s="56">
        <v>730</v>
      </c>
      <c r="M16" s="56"/>
      <c r="N16" s="56">
        <v>960</v>
      </c>
      <c r="O16" s="56"/>
      <c r="P16" s="56">
        <v>960</v>
      </c>
      <c r="Q16" s="56"/>
      <c r="R16" s="56">
        <v>960</v>
      </c>
      <c r="S16" s="56"/>
      <c r="T16" s="56">
        <v>0</v>
      </c>
      <c r="U16" s="56"/>
      <c r="V16" s="56">
        <v>960</v>
      </c>
      <c r="W16" s="56"/>
      <c r="X16" s="56">
        <v>548.98</v>
      </c>
      <c r="Y16" s="56"/>
      <c r="Z16" s="56">
        <v>360</v>
      </c>
      <c r="AA16" s="56"/>
      <c r="AB16" s="56"/>
      <c r="AC16" s="56"/>
      <c r="AD16" s="56"/>
      <c r="AE16" s="56"/>
      <c r="AF16" s="56">
        <f t="shared" si="0"/>
        <v>360</v>
      </c>
      <c r="AG16" s="56">
        <v>0</v>
      </c>
      <c r="AH16" s="56">
        <v>0</v>
      </c>
      <c r="AI16" s="56"/>
      <c r="AJ16" s="56">
        <f t="shared" si="1"/>
        <v>360</v>
      </c>
      <c r="AK16" s="85"/>
      <c r="AL16" s="56">
        <v>0</v>
      </c>
      <c r="AM16" s="56"/>
      <c r="AN16" s="88">
        <f t="shared" si="2"/>
        <v>360</v>
      </c>
      <c r="AO16" s="88">
        <v>0</v>
      </c>
      <c r="AP16" s="88">
        <v>0</v>
      </c>
      <c r="AQ16" s="56"/>
      <c r="AR16" s="56">
        <v>0</v>
      </c>
      <c r="AS16" s="56"/>
      <c r="AT16" s="56">
        <v>0</v>
      </c>
      <c r="AU16" s="56"/>
      <c r="AV16" s="56">
        <f t="shared" si="3"/>
        <v>0</v>
      </c>
      <c r="AW16" s="56"/>
      <c r="AX16" s="56">
        <v>0</v>
      </c>
      <c r="AY16" s="56"/>
      <c r="AZ16" s="88">
        <v>312</v>
      </c>
      <c r="BA16" s="56">
        <v>312</v>
      </c>
      <c r="BB16" s="214"/>
      <c r="BC16" s="56"/>
      <c r="BD16" s="84">
        <f t="shared" si="4"/>
        <v>-360</v>
      </c>
      <c r="BE16" s="56"/>
      <c r="BF16" s="56"/>
      <c r="BG16" s="56"/>
      <c r="BH16" s="72"/>
    </row>
    <row r="17" spans="1:63" ht="20.100000000000001" customHeight="1" outlineLevel="1">
      <c r="A17" s="77" t="s">
        <v>43</v>
      </c>
      <c r="B17" s="77" t="s">
        <v>697</v>
      </c>
      <c r="C17" s="77" t="s">
        <v>1096</v>
      </c>
      <c r="D17" s="78" t="s">
        <v>46</v>
      </c>
      <c r="E17" s="78" t="str">
        <f t="shared" si="5"/>
        <v>000</v>
      </c>
      <c r="F17" s="3">
        <v>653051</v>
      </c>
      <c r="G17" s="102" t="s">
        <v>71</v>
      </c>
      <c r="H17" s="87"/>
      <c r="I17" s="13"/>
      <c r="J17" s="13"/>
      <c r="L17" s="56">
        <v>0</v>
      </c>
      <c r="M17" s="56"/>
      <c r="N17" s="56"/>
      <c r="O17" s="56"/>
      <c r="P17" s="56"/>
      <c r="Q17" s="56"/>
      <c r="R17" s="56"/>
      <c r="S17" s="56"/>
      <c r="T17" s="56"/>
      <c r="U17" s="56"/>
      <c r="V17" s="56"/>
      <c r="W17" s="56"/>
      <c r="X17" s="56">
        <v>0</v>
      </c>
      <c r="Y17" s="56"/>
      <c r="Z17" s="56"/>
      <c r="AA17" s="56"/>
      <c r="AB17" s="56"/>
      <c r="AC17" s="56"/>
      <c r="AD17" s="56"/>
      <c r="AE17" s="56"/>
      <c r="AF17" s="56"/>
      <c r="AG17" s="56"/>
      <c r="AH17" s="56"/>
      <c r="AI17" s="56"/>
      <c r="AJ17" s="56"/>
      <c r="AK17" s="85"/>
      <c r="AL17" s="56"/>
      <c r="AM17" s="56"/>
      <c r="AN17" s="88">
        <v>0</v>
      </c>
      <c r="AO17" s="88"/>
      <c r="AP17" s="88">
        <v>47.02</v>
      </c>
      <c r="AQ17" s="56"/>
      <c r="AR17" s="56"/>
      <c r="AS17" s="56"/>
      <c r="AT17" s="56"/>
      <c r="AU17" s="56"/>
      <c r="AV17" s="56"/>
      <c r="AW17" s="56"/>
      <c r="AX17" s="56"/>
      <c r="AY17" s="56"/>
      <c r="AZ17" s="88">
        <v>0</v>
      </c>
      <c r="BA17" s="56">
        <v>44</v>
      </c>
      <c r="BB17" s="214"/>
      <c r="BC17" s="56"/>
      <c r="BD17" s="84"/>
      <c r="BE17" s="56"/>
      <c r="BF17" s="56"/>
      <c r="BG17" s="56"/>
      <c r="BH17" s="72"/>
    </row>
    <row r="18" spans="1:63" ht="20.100000000000001" customHeight="1" outlineLevel="1">
      <c r="A18" s="77" t="s">
        <v>43</v>
      </c>
      <c r="B18" s="77" t="s">
        <v>697</v>
      </c>
      <c r="C18" s="77" t="s">
        <v>1096</v>
      </c>
      <c r="D18" s="78" t="s">
        <v>46</v>
      </c>
      <c r="E18" s="78" t="str">
        <f t="shared" si="5"/>
        <v>000</v>
      </c>
      <c r="F18" s="3">
        <v>658211</v>
      </c>
      <c r="G18" s="102" t="s">
        <v>72</v>
      </c>
      <c r="H18" s="87"/>
      <c r="I18" s="13">
        <v>12527</v>
      </c>
      <c r="J18" s="13">
        <v>17755</v>
      </c>
      <c r="L18" s="56">
        <v>17718</v>
      </c>
      <c r="M18" s="56"/>
      <c r="N18" s="56">
        <v>25000</v>
      </c>
      <c r="O18" s="56"/>
      <c r="P18" s="56">
        <v>25000</v>
      </c>
      <c r="Q18" s="56"/>
      <c r="R18" s="56">
        <v>25000</v>
      </c>
      <c r="S18" s="56"/>
      <c r="T18" s="56">
        <v>0</v>
      </c>
      <c r="U18" s="56"/>
      <c r="V18" s="56">
        <v>25000</v>
      </c>
      <c r="W18" s="56"/>
      <c r="X18" s="56">
        <v>24255.13</v>
      </c>
      <c r="Y18" s="56"/>
      <c r="Z18" s="56">
        <v>28000</v>
      </c>
      <c r="AA18" s="56"/>
      <c r="AB18" s="56"/>
      <c r="AC18" s="56"/>
      <c r="AD18" s="56"/>
      <c r="AE18" s="56"/>
      <c r="AF18" s="56">
        <f t="shared" si="0"/>
        <v>28000</v>
      </c>
      <c r="AG18" s="56">
        <v>0</v>
      </c>
      <c r="AH18" s="56">
        <v>0</v>
      </c>
      <c r="AI18" s="56"/>
      <c r="AJ18" s="56">
        <f t="shared" si="1"/>
        <v>28000</v>
      </c>
      <c r="AK18" s="85"/>
      <c r="AL18" s="56">
        <v>0</v>
      </c>
      <c r="AM18" s="56"/>
      <c r="AN18" s="88">
        <f t="shared" si="2"/>
        <v>28000</v>
      </c>
      <c r="AO18" s="88">
        <v>0</v>
      </c>
      <c r="AP18" s="88">
        <v>15163.57</v>
      </c>
      <c r="AQ18" s="56"/>
      <c r="AR18" s="56">
        <v>0</v>
      </c>
      <c r="AS18" s="56"/>
      <c r="AT18" s="56">
        <v>0</v>
      </c>
      <c r="AU18" s="56"/>
      <c r="AV18" s="56">
        <f t="shared" si="3"/>
        <v>15163.57</v>
      </c>
      <c r="AW18" s="56"/>
      <c r="AX18" s="56">
        <v>0</v>
      </c>
      <c r="AY18" s="56"/>
      <c r="AZ18" s="88">
        <v>38757</v>
      </c>
      <c r="BA18" s="56">
        <v>38757</v>
      </c>
      <c r="BB18" s="214"/>
      <c r="BC18" s="56"/>
      <c r="BD18" s="84">
        <f t="shared" si="4"/>
        <v>-12836.43</v>
      </c>
      <c r="BE18" s="56"/>
      <c r="BF18" s="56"/>
      <c r="BG18" s="56"/>
      <c r="BH18" s="72"/>
    </row>
    <row r="19" spans="1:63" ht="20.100000000000001" customHeight="1" outlineLevel="1">
      <c r="A19" s="77" t="s">
        <v>43</v>
      </c>
      <c r="B19" s="77" t="s">
        <v>697</v>
      </c>
      <c r="C19" s="77" t="s">
        <v>1096</v>
      </c>
      <c r="D19" s="78" t="s">
        <v>46</v>
      </c>
      <c r="E19" s="78" t="str">
        <f t="shared" si="5"/>
        <v>000</v>
      </c>
      <c r="F19" s="3">
        <v>661001</v>
      </c>
      <c r="G19" s="102" t="s">
        <v>73</v>
      </c>
      <c r="H19" s="87"/>
      <c r="I19" s="13">
        <v>5281</v>
      </c>
      <c r="J19" s="13">
        <v>6088</v>
      </c>
      <c r="L19" s="56">
        <v>4918</v>
      </c>
      <c r="M19" s="56"/>
      <c r="N19" s="56">
        <v>4960</v>
      </c>
      <c r="O19" s="56"/>
      <c r="P19" s="56">
        <v>4960</v>
      </c>
      <c r="Q19" s="56"/>
      <c r="R19" s="56">
        <v>4960</v>
      </c>
      <c r="S19" s="56"/>
      <c r="T19" s="56">
        <v>0</v>
      </c>
      <c r="U19" s="56"/>
      <c r="V19" s="56">
        <v>4960</v>
      </c>
      <c r="W19" s="56"/>
      <c r="X19" s="56">
        <v>4996.53</v>
      </c>
      <c r="Y19" s="56"/>
      <c r="Z19" s="56">
        <v>8197</v>
      </c>
      <c r="AA19" s="56"/>
      <c r="AB19" s="56"/>
      <c r="AC19" s="56"/>
      <c r="AD19" s="56"/>
      <c r="AE19" s="56"/>
      <c r="AF19" s="56">
        <f t="shared" si="0"/>
        <v>8197</v>
      </c>
      <c r="AG19" s="56">
        <v>0</v>
      </c>
      <c r="AH19" s="56">
        <v>0</v>
      </c>
      <c r="AI19" s="56"/>
      <c r="AJ19" s="56">
        <f t="shared" si="1"/>
        <v>8197</v>
      </c>
      <c r="AK19" s="85"/>
      <c r="AL19" s="56">
        <v>3000</v>
      </c>
      <c r="AM19" s="56"/>
      <c r="AN19" s="88">
        <f t="shared" si="2"/>
        <v>11197</v>
      </c>
      <c r="AO19" s="88">
        <v>0</v>
      </c>
      <c r="AP19" s="88">
        <v>18388.830000000002</v>
      </c>
      <c r="AQ19" s="56"/>
      <c r="AR19" s="56">
        <v>0</v>
      </c>
      <c r="AS19" s="56"/>
      <c r="AT19" s="56">
        <v>0</v>
      </c>
      <c r="AU19" s="56"/>
      <c r="AV19" s="56">
        <f t="shared" si="3"/>
        <v>18388.830000000002</v>
      </c>
      <c r="AW19" s="56"/>
      <c r="AX19" s="56">
        <v>0</v>
      </c>
      <c r="AY19" s="56"/>
      <c r="AZ19" s="88">
        <v>10200</v>
      </c>
      <c r="BA19" s="56">
        <v>10200</v>
      </c>
      <c r="BB19" s="214"/>
      <c r="BC19" s="56"/>
      <c r="BD19" s="84">
        <f t="shared" si="4"/>
        <v>7191.8300000000017</v>
      </c>
      <c r="BE19" s="56"/>
      <c r="BF19" s="56"/>
      <c r="BG19" s="56"/>
      <c r="BH19" s="72"/>
    </row>
    <row r="20" spans="1:63" ht="20.100000000000001" customHeight="1" outlineLevel="1">
      <c r="A20" s="77" t="s">
        <v>43</v>
      </c>
      <c r="B20" s="77" t="s">
        <v>697</v>
      </c>
      <c r="C20" s="77" t="s">
        <v>1096</v>
      </c>
      <c r="D20" s="78" t="s">
        <v>46</v>
      </c>
      <c r="E20" s="78" t="str">
        <f t="shared" si="5"/>
        <v>000</v>
      </c>
      <c r="F20" s="3">
        <v>661047</v>
      </c>
      <c r="G20" s="102" t="s">
        <v>701</v>
      </c>
      <c r="H20" s="87"/>
      <c r="I20" s="13">
        <v>7774</v>
      </c>
      <c r="J20" s="13">
        <v>5521</v>
      </c>
      <c r="L20" s="56">
        <v>3765</v>
      </c>
      <c r="M20" s="56"/>
      <c r="N20" s="56">
        <v>6522</v>
      </c>
      <c r="O20" s="56"/>
      <c r="P20" s="56">
        <v>9266</v>
      </c>
      <c r="Q20" s="56"/>
      <c r="R20" s="56">
        <v>9266</v>
      </c>
      <c r="S20" s="56"/>
      <c r="T20" s="56">
        <v>0</v>
      </c>
      <c r="U20" s="56"/>
      <c r="V20" s="56">
        <v>9266</v>
      </c>
      <c r="W20" s="56"/>
      <c r="X20" s="56">
        <v>8307.2000000000007</v>
      </c>
      <c r="Y20" s="56"/>
      <c r="Z20" s="56">
        <v>10858</v>
      </c>
      <c r="AA20" s="56"/>
      <c r="AB20" s="56"/>
      <c r="AC20" s="56"/>
      <c r="AD20" s="56">
        <v>1688</v>
      </c>
      <c r="AE20" s="56"/>
      <c r="AF20" s="56">
        <f t="shared" si="0"/>
        <v>12546</v>
      </c>
      <c r="AG20" s="56">
        <v>0</v>
      </c>
      <c r="AH20" s="56">
        <v>0</v>
      </c>
      <c r="AI20" s="56"/>
      <c r="AJ20" s="56">
        <f t="shared" si="1"/>
        <v>12546</v>
      </c>
      <c r="AK20" s="85"/>
      <c r="AL20" s="56">
        <v>10049</v>
      </c>
      <c r="AM20" s="56"/>
      <c r="AN20" s="88">
        <f t="shared" si="2"/>
        <v>22595</v>
      </c>
      <c r="AO20" s="88">
        <v>0</v>
      </c>
      <c r="AP20" s="88">
        <v>9647.65</v>
      </c>
      <c r="AQ20" s="56"/>
      <c r="AR20" s="56">
        <v>0</v>
      </c>
      <c r="AS20" s="56"/>
      <c r="AT20" s="56">
        <v>4050</v>
      </c>
      <c r="AU20" s="56"/>
      <c r="AV20" s="56">
        <f t="shared" si="3"/>
        <v>13697.65</v>
      </c>
      <c r="AW20" s="56"/>
      <c r="AX20" s="56">
        <v>0</v>
      </c>
      <c r="AY20" s="56"/>
      <c r="AZ20" s="88">
        <v>24051</v>
      </c>
      <c r="BA20" s="56">
        <v>42261</v>
      </c>
      <c r="BB20" s="214"/>
      <c r="BC20" s="56"/>
      <c r="BD20" s="84">
        <f t="shared" si="4"/>
        <v>-12947.35</v>
      </c>
      <c r="BE20" s="56"/>
      <c r="BF20" s="56"/>
      <c r="BG20" s="56"/>
      <c r="BH20" s="72"/>
    </row>
    <row r="21" spans="1:63" ht="20.100000000000001" customHeight="1" outlineLevel="1">
      <c r="A21" s="77" t="s">
        <v>43</v>
      </c>
      <c r="B21" s="77" t="s">
        <v>697</v>
      </c>
      <c r="C21" s="77" t="s">
        <v>1096</v>
      </c>
      <c r="D21" s="78" t="s">
        <v>46</v>
      </c>
      <c r="E21" s="78" t="str">
        <f t="shared" si="5"/>
        <v>000</v>
      </c>
      <c r="F21" s="3">
        <v>673001</v>
      </c>
      <c r="G21" s="102" t="s">
        <v>57</v>
      </c>
      <c r="H21" s="87"/>
      <c r="I21" s="13">
        <v>9278</v>
      </c>
      <c r="J21" s="13">
        <v>3295</v>
      </c>
      <c r="L21" s="56">
        <v>5985</v>
      </c>
      <c r="M21" s="56"/>
      <c r="N21" s="56">
        <v>8400</v>
      </c>
      <c r="O21" s="56"/>
      <c r="P21" s="56">
        <v>8400</v>
      </c>
      <c r="Q21" s="56"/>
      <c r="R21" s="56">
        <v>8400</v>
      </c>
      <c r="S21" s="56"/>
      <c r="T21" s="56">
        <v>0</v>
      </c>
      <c r="U21" s="56"/>
      <c r="V21" s="56">
        <v>8400</v>
      </c>
      <c r="W21" s="56"/>
      <c r="X21" s="56">
        <v>5444</v>
      </c>
      <c r="Y21" s="56"/>
      <c r="Z21" s="56">
        <v>11000</v>
      </c>
      <c r="AA21" s="56"/>
      <c r="AB21" s="56"/>
      <c r="AC21" s="56"/>
      <c r="AD21" s="56">
        <v>2049</v>
      </c>
      <c r="AE21" s="56"/>
      <c r="AF21" s="56">
        <f t="shared" si="0"/>
        <v>13049</v>
      </c>
      <c r="AG21" s="56">
        <v>0</v>
      </c>
      <c r="AH21" s="56">
        <v>0</v>
      </c>
      <c r="AI21" s="56"/>
      <c r="AJ21" s="56">
        <f t="shared" si="1"/>
        <v>13049</v>
      </c>
      <c r="AK21" s="85"/>
      <c r="AL21" s="56">
        <v>-13049</v>
      </c>
      <c r="AM21" s="56"/>
      <c r="AN21" s="88">
        <f t="shared" si="2"/>
        <v>0</v>
      </c>
      <c r="AO21" s="88">
        <v>0</v>
      </c>
      <c r="AP21" s="88">
        <v>0</v>
      </c>
      <c r="AQ21" s="56"/>
      <c r="AR21" s="56">
        <v>0</v>
      </c>
      <c r="AS21" s="56"/>
      <c r="AT21" s="56">
        <v>0</v>
      </c>
      <c r="AU21" s="56"/>
      <c r="AV21" s="56">
        <f t="shared" si="3"/>
        <v>0</v>
      </c>
      <c r="AW21" s="56"/>
      <c r="AX21" s="56">
        <v>0</v>
      </c>
      <c r="AY21" s="56"/>
      <c r="AZ21" s="88">
        <v>0</v>
      </c>
      <c r="BA21" s="56">
        <v>0</v>
      </c>
      <c r="BB21" s="214"/>
      <c r="BC21" s="56"/>
      <c r="BD21" s="84">
        <f t="shared" si="4"/>
        <v>0</v>
      </c>
      <c r="BE21" s="56"/>
      <c r="BF21" s="56"/>
      <c r="BG21" s="56"/>
      <c r="BH21" s="72"/>
    </row>
    <row r="22" spans="1:63" ht="20.100000000000001" customHeight="1" outlineLevel="1">
      <c r="A22" s="77" t="s">
        <v>43</v>
      </c>
      <c r="B22" s="77" t="s">
        <v>225</v>
      </c>
      <c r="C22" s="77" t="s">
        <v>1096</v>
      </c>
      <c r="D22" s="78" t="s">
        <v>46</v>
      </c>
      <c r="E22" s="78" t="str">
        <f t="shared" si="5"/>
        <v>000</v>
      </c>
      <c r="F22" s="3">
        <v>615011</v>
      </c>
      <c r="G22" s="102" t="s">
        <v>702</v>
      </c>
      <c r="H22" s="87"/>
      <c r="I22" s="13"/>
      <c r="J22" s="13"/>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85"/>
      <c r="AL22" s="56"/>
      <c r="AM22" s="56"/>
      <c r="AN22" s="88">
        <v>0</v>
      </c>
      <c r="AO22" s="88"/>
      <c r="AP22" s="88">
        <v>3840</v>
      </c>
      <c r="AQ22" s="56"/>
      <c r="AR22" s="166">
        <v>0</v>
      </c>
      <c r="AS22" s="56"/>
      <c r="AT22" s="56">
        <v>0</v>
      </c>
      <c r="AU22" s="56"/>
      <c r="AV22" s="56">
        <f t="shared" si="3"/>
        <v>3840</v>
      </c>
      <c r="AW22" s="56"/>
      <c r="AX22" s="56">
        <v>0</v>
      </c>
      <c r="AY22" s="56"/>
      <c r="AZ22" s="88">
        <v>0</v>
      </c>
      <c r="BA22" s="56">
        <v>0</v>
      </c>
      <c r="BB22" s="214"/>
      <c r="BC22" s="56"/>
      <c r="BD22" s="84"/>
      <c r="BE22" s="56"/>
      <c r="BF22" s="56"/>
      <c r="BG22" s="56"/>
      <c r="BH22" s="72"/>
    </row>
    <row r="23" spans="1:63" ht="20.100000000000001" customHeight="1">
      <c r="B23" s="77"/>
      <c r="C23" s="77"/>
      <c r="D23" s="90"/>
      <c r="E23" s="90"/>
      <c r="F23" s="3"/>
      <c r="G23" s="110" t="s">
        <v>703</v>
      </c>
      <c r="H23" s="81"/>
      <c r="I23" s="92">
        <v>482589</v>
      </c>
      <c r="J23" s="93">
        <v>491149</v>
      </c>
      <c r="L23" s="125">
        <v>571495</v>
      </c>
      <c r="M23" s="126"/>
      <c r="N23" s="125">
        <v>626653</v>
      </c>
      <c r="O23" s="126"/>
      <c r="P23" s="125">
        <v>629717</v>
      </c>
      <c r="Q23" s="126"/>
      <c r="R23" s="125">
        <v>756825</v>
      </c>
      <c r="S23" s="95"/>
      <c r="T23" s="94">
        <v>0</v>
      </c>
      <c r="U23" s="126"/>
      <c r="V23" s="125">
        <v>756825</v>
      </c>
      <c r="W23" s="126"/>
      <c r="X23" s="125">
        <f>SUBTOTAL(9,X11:X21)</f>
        <v>844269.85</v>
      </c>
      <c r="Y23" s="126"/>
      <c r="Z23" s="125">
        <f>SUBTOTAL(9,Z11:Z21)</f>
        <v>1051940</v>
      </c>
      <c r="AA23" s="126"/>
      <c r="AB23" s="125">
        <f>SUBTOTAL(9,AB11:AB21)</f>
        <v>0</v>
      </c>
      <c r="AC23" s="126"/>
      <c r="AD23" s="125">
        <f>SUBTOTAL(9,AD11:AD21)</f>
        <v>3737</v>
      </c>
      <c r="AE23" s="126"/>
      <c r="AF23" s="125">
        <f>SUBTOTAL(9,AF11:AF21)</f>
        <v>1055677</v>
      </c>
      <c r="AG23" s="125">
        <f>SUBTOTAL(9,AG11:AG21)</f>
        <v>-24750</v>
      </c>
      <c r="AH23" s="125">
        <f>SUBTOTAL(9,AH11:AH21)</f>
        <v>63250</v>
      </c>
      <c r="AI23" s="126"/>
      <c r="AJ23" s="125">
        <f>SUBTOTAL(9,AJ11:AJ21)</f>
        <v>1094177</v>
      </c>
      <c r="AK23" s="96"/>
      <c r="AL23" s="125">
        <f>SUBTOTAL(9,AL11:AL21)</f>
        <v>0</v>
      </c>
      <c r="AM23" s="126"/>
      <c r="AN23" s="127">
        <f>SUBTOTAL(9,AN11:AN21)</f>
        <v>1094177</v>
      </c>
      <c r="AO23" s="127">
        <f>SUBTOTAL(9,AO11:AO21)</f>
        <v>0</v>
      </c>
      <c r="AP23" s="127">
        <f>SUBTOTAL(9,AP11:AP22)</f>
        <v>906237.2699999999</v>
      </c>
      <c r="AQ23" s="126"/>
      <c r="AR23" s="125">
        <f>SUBTOTAL(9,AR11:AR21)</f>
        <v>0</v>
      </c>
      <c r="AS23" s="126"/>
      <c r="AT23" s="125">
        <f>SUBTOTAL(9,AT11:AT21)</f>
        <v>6450</v>
      </c>
      <c r="AU23" s="126"/>
      <c r="AV23" s="125">
        <f>SUBTOTAL(9,AV11:AV21)</f>
        <v>908800.24999999988</v>
      </c>
      <c r="AW23" s="126"/>
      <c r="AX23" s="125">
        <f>SUBTOTAL(9,AX11:AX22)</f>
        <v>-19813</v>
      </c>
      <c r="AY23" s="126"/>
      <c r="AZ23" s="127">
        <f>SUBTOTAL(9,AZ11:AZ22)</f>
        <v>948343</v>
      </c>
      <c r="BA23" s="125">
        <f>SUBTOTAL(9,BA11:BA21)</f>
        <v>981963</v>
      </c>
      <c r="BB23" s="214"/>
      <c r="BC23" s="56"/>
      <c r="BD23" s="98">
        <f>+AP23-AN23</f>
        <v>-187939.7300000001</v>
      </c>
      <c r="BE23" s="126"/>
      <c r="BF23" s="126"/>
      <c r="BG23" s="126"/>
    </row>
    <row r="26" spans="1:63">
      <c r="R26" s="7">
        <v>420044982</v>
      </c>
      <c r="BI26" s="211"/>
      <c r="BJ26" s="7"/>
      <c r="BK26" s="7"/>
    </row>
    <row r="27" spans="1:63">
      <c r="BI27" s="211"/>
      <c r="BJ27" s="7"/>
    </row>
  </sheetData>
  <autoFilter ref="A9:BH23"/>
  <mergeCells count="8">
    <mergeCell ref="A6:F6"/>
    <mergeCell ref="A7:F7"/>
    <mergeCell ref="AB5:AD5"/>
    <mergeCell ref="A8:E8"/>
    <mergeCell ref="AG2:AH2"/>
    <mergeCell ref="AG3:AH3"/>
    <mergeCell ref="AG4:AH4"/>
    <mergeCell ref="AB4:AD4"/>
  </mergeCells>
  <phoneticPr fontId="3" type="noConversion"/>
  <conditionalFormatting sqref="F1:F1048576">
    <cfRule type="cellIs" dxfId="21" priority="1" stopIfTrue="1" operator="between">
      <formula>610000</formula>
      <formula>619999</formula>
    </cfRule>
  </conditionalFormatting>
  <pageMargins left="0.54" right="0.25" top="0.24" bottom="0.49" header="0.25" footer="0"/>
  <pageSetup scale="77" fitToHeight="0" orientation="landscape" r:id="rId1"/>
  <headerFooter alignWithMargins="0">
    <oddFooter>&amp;C&amp;8Detail of Expenditures Budget By Department, Page &amp;P of &amp;N</oddFooter>
  </headerFooter>
  <legacyDrawing r:id="rId2"/>
</worksheet>
</file>

<file path=xl/worksheets/sheet17.xml><?xml version="1.0" encoding="utf-8"?>
<worksheet xmlns="http://schemas.openxmlformats.org/spreadsheetml/2006/main" xmlns:r="http://schemas.openxmlformats.org/officeDocument/2006/relationships">
  <sheetPr codeName="Sheet21" enableFormatConditionsCalculation="0">
    <tabColor indexed="17"/>
    <pageSetUpPr fitToPage="1"/>
  </sheetPr>
  <dimension ref="A1:BK39"/>
  <sheetViews>
    <sheetView zoomScale="85" zoomScaleNormal="90" workbookViewId="0">
      <pane xSplit="8" ySplit="9" topLeftCell="O10" activePane="bottomRight" state="frozen"/>
      <selection activeCell="A28" sqref="A28"/>
      <selection pane="topRight" activeCell="A28" sqref="A28"/>
      <selection pane="bottomLeft" activeCell="A28" sqref="A28"/>
      <selection pane="bottomRight"/>
    </sheetView>
  </sheetViews>
  <sheetFormatPr defaultRowHeight="12.75" outlineLevelRow="2" outlineLevelCol="1"/>
  <cols>
    <col min="1" max="1" width="7" style="39" customWidth="1" outlineLevel="1"/>
    <col min="2" max="2" width="6.140625" style="39" customWidth="1" outlineLevel="1"/>
    <col min="3" max="3" width="3.7109375" style="39" customWidth="1" outlineLevel="1"/>
    <col min="4" max="5" width="4.85546875" style="168" customWidth="1" outlineLevel="1"/>
    <col min="6" max="6" width="8.7109375" style="40" customWidth="1" outlineLevel="1"/>
    <col min="7" max="7" width="30.140625" style="4" customWidth="1"/>
    <col min="8" max="8" width="16.5703125" style="4" hidden="1" customWidth="1"/>
    <col min="9" max="10" width="15.140625" style="4" hidden="1" customWidth="1" collapsed="1"/>
    <col min="11" max="11" width="39.5703125" style="4" hidden="1" customWidth="1"/>
    <col min="12" max="12" width="15.140625" style="7" bestFit="1" customWidth="1" collapsed="1"/>
    <col min="13" max="13" width="31.7109375" style="7" hidden="1" customWidth="1"/>
    <col min="14" max="14" width="35.5703125" style="7" hidden="1" customWidth="1" collapsed="1"/>
    <col min="15" max="15" width="0.140625" style="7" customWidth="1"/>
    <col min="16" max="16" width="25.28515625" style="7" hidden="1" customWidth="1" outlineLevel="1" collapsed="1"/>
    <col min="17" max="17" width="23.42578125" style="7" hidden="1" customWidth="1" outlineLevel="1"/>
    <col min="18" max="18" width="20.5703125" style="7" hidden="1" customWidth="1" outlineLevel="1" collapsed="1"/>
    <col min="19" max="19" width="18" style="7" hidden="1" customWidth="1" outlineLevel="1"/>
    <col min="20" max="20" width="19.5703125" style="7" hidden="1" customWidth="1" outlineLevel="1"/>
    <col min="21" max="21" width="18.42578125" style="7" hidden="1" customWidth="1" outlineLevel="1"/>
    <col min="22" max="22" width="13.140625" style="7" hidden="1" customWidth="1"/>
    <col min="23" max="23" width="14.140625" style="7" hidden="1" customWidth="1"/>
    <col min="24" max="24" width="14.5703125" style="7" customWidth="1" collapsed="1"/>
    <col min="25" max="25" width="0.85546875" style="7" hidden="1" customWidth="1"/>
    <col min="26" max="26" width="16.140625" style="7" hidden="1" customWidth="1"/>
    <col min="27" max="27" width="0.140625" style="7" hidden="1" customWidth="1"/>
    <col min="28" max="28" width="16.140625" style="7" hidden="1" customWidth="1" outlineLevel="1"/>
    <col min="29" max="29" width="0.42578125" style="7" hidden="1" customWidth="1" outlineLevel="1"/>
    <col min="30" max="30" width="17.85546875" style="7" hidden="1" customWidth="1" outlineLevel="1"/>
    <col min="31" max="31" width="0.42578125" style="7" hidden="1" customWidth="1" outlineLevel="1"/>
    <col min="32" max="32" width="16.140625" style="7" hidden="1" customWidth="1" collapsed="1"/>
    <col min="33" max="33" width="16" style="7" hidden="1" customWidth="1" outlineLevel="1"/>
    <col min="34" max="34" width="17" style="7" hidden="1" customWidth="1" outlineLevel="1"/>
    <col min="35" max="35" width="10.5703125" style="7" hidden="1" customWidth="1" outlineLevel="1"/>
    <col min="36" max="36" width="16.140625" style="7" hidden="1" customWidth="1" collapsed="1"/>
    <col min="37" max="37" width="0.7109375" style="7" hidden="1" customWidth="1"/>
    <col min="38" max="38" width="16.140625" style="7" hidden="1" customWidth="1" outlineLevel="1"/>
    <col min="39" max="39" width="4.140625" style="7" hidden="1" customWidth="1" outlineLevel="1"/>
    <col min="40" max="40" width="16.140625" style="17" customWidth="1" collapsed="1"/>
    <col min="41" max="41" width="16.140625" style="17" hidden="1" customWidth="1" collapsed="1"/>
    <col min="42" max="42" width="16.140625" style="17" customWidth="1" collapsed="1"/>
    <col min="43" max="43" width="0.7109375" style="7" hidden="1" customWidth="1" outlineLevel="1"/>
    <col min="44" max="44" width="22.140625" style="7" hidden="1" customWidth="1" outlineLevel="1"/>
    <col min="45" max="45" width="0.42578125" style="7" hidden="1" customWidth="1" outlineLevel="1"/>
    <col min="46" max="46" width="17.85546875" style="7" hidden="1" customWidth="1" outlineLevel="1"/>
    <col min="47" max="47" width="0.42578125" style="7" hidden="1" customWidth="1" outlineLevel="1"/>
    <col min="48" max="48" width="18" style="7" hidden="1" customWidth="1" collapsed="1"/>
    <col min="49" max="49" width="0.5703125" style="7" hidden="1" customWidth="1"/>
    <col min="50" max="50" width="18" style="7" hidden="1" customWidth="1"/>
    <col min="51" max="51" width="0.5703125" style="7" customWidth="1"/>
    <col min="52" max="52" width="15.140625" style="7" customWidth="1"/>
    <col min="53" max="53" width="15.7109375" style="7" bestFit="1" customWidth="1"/>
    <col min="54" max="54" width="15.140625" style="7" customWidth="1"/>
    <col min="55" max="55" width="23.140625" style="7" customWidth="1"/>
    <col min="56" max="56" width="19.85546875" style="7" bestFit="1" customWidth="1"/>
    <col min="57" max="59" width="12.42578125" style="7" customWidth="1"/>
    <col min="60" max="60" width="3.85546875" style="76" customWidth="1"/>
    <col min="61" max="61" width="14.5703125" style="12" bestFit="1" customWidth="1"/>
  </cols>
  <sheetData>
    <row r="1" spans="1:61" ht="15">
      <c r="A1" s="1" t="s">
        <v>0</v>
      </c>
      <c r="B1" s="2"/>
      <c r="C1" s="2"/>
      <c r="D1" s="1"/>
      <c r="E1" s="1"/>
      <c r="F1" s="3"/>
      <c r="H1" s="5"/>
      <c r="I1" s="6"/>
      <c r="T1" s="8"/>
      <c r="Z1" s="9"/>
      <c r="AB1" s="9"/>
      <c r="AD1" s="9"/>
      <c r="AF1" s="9"/>
      <c r="AH1" s="10" t="e">
        <f>+#REF!</f>
        <v>#REF!</v>
      </c>
      <c r="AJ1" s="9"/>
      <c r="AK1" s="9"/>
      <c r="AN1" s="9"/>
      <c r="AO1" s="9"/>
      <c r="AP1" s="9"/>
      <c r="AR1" s="9"/>
      <c r="AT1" s="9"/>
      <c r="AV1" s="9"/>
      <c r="AW1" s="9"/>
      <c r="AX1" s="9"/>
      <c r="AY1" s="9"/>
      <c r="AZ1" s="9"/>
      <c r="BA1" s="9"/>
      <c r="BB1" s="9"/>
      <c r="BC1" s="9"/>
      <c r="BD1" s="9"/>
      <c r="BE1" s="9"/>
      <c r="BF1" s="9"/>
      <c r="BG1" s="9"/>
      <c r="BH1" s="11"/>
    </row>
    <row r="2" spans="1:61" ht="15">
      <c r="A2" s="1" t="s">
        <v>1053</v>
      </c>
      <c r="B2" s="2"/>
      <c r="C2" s="2"/>
      <c r="D2" s="1"/>
      <c r="E2" s="1"/>
      <c r="F2" s="3"/>
      <c r="H2" s="5"/>
      <c r="I2" s="13"/>
      <c r="J2" s="14"/>
      <c r="K2" s="14"/>
      <c r="L2" s="15"/>
      <c r="M2" s="15"/>
      <c r="N2" s="15"/>
      <c r="O2" s="15"/>
      <c r="P2" s="15"/>
      <c r="R2" s="15"/>
      <c r="T2" s="8"/>
      <c r="V2" s="15"/>
      <c r="X2" s="15"/>
      <c r="Z2" s="15"/>
      <c r="AB2" s="15"/>
      <c r="AD2" s="15"/>
      <c r="AF2" s="15"/>
      <c r="AG2" s="238" t="s">
        <v>1</v>
      </c>
      <c r="AH2" s="238"/>
      <c r="AI2" s="17"/>
      <c r="AJ2" s="18"/>
      <c r="AK2" s="15"/>
      <c r="AL2" s="10" t="e">
        <f>+#REF!</f>
        <v>#REF!</v>
      </c>
      <c r="AN2" s="18"/>
      <c r="AO2" s="18"/>
      <c r="AP2" s="18"/>
      <c r="AR2" s="15"/>
      <c r="AT2" s="15"/>
      <c r="AV2" s="15"/>
      <c r="AW2" s="15"/>
      <c r="AX2" s="15"/>
      <c r="AY2" s="15"/>
      <c r="AZ2" s="15"/>
      <c r="BA2" s="15"/>
      <c r="BB2" s="15"/>
      <c r="BC2" s="15"/>
      <c r="BD2" s="15"/>
      <c r="BE2" s="15"/>
      <c r="BF2" s="15"/>
      <c r="BG2" s="15"/>
      <c r="BH2" s="19"/>
    </row>
    <row r="3" spans="1:61">
      <c r="A3" s="20" t="str">
        <f>IF(G7=1,"DETAIL OF EXPENDITURES BUDGET BY DEPARTMENT WITH COMPARATIVE AMOUNTS", "SUMMARY OF EXPENDITURES BUDGET BY DEPARTMENT WITH COMPARATIVE AMOUNTS")</f>
        <v>DETAIL OF EXPENDITURES BUDGET BY DEPARTMENT WITH COMPARATIVE AMOUNTS</v>
      </c>
      <c r="B3" s="21"/>
      <c r="C3" s="21"/>
      <c r="D3" s="22"/>
      <c r="E3" s="22"/>
      <c r="F3" s="3"/>
      <c r="H3" s="5"/>
      <c r="I3" s="23"/>
      <c r="J3" s="15"/>
      <c r="L3" s="15"/>
      <c r="M3" s="10"/>
      <c r="N3" s="10"/>
      <c r="O3" s="10"/>
      <c r="P3" s="24"/>
      <c r="R3" s="24"/>
      <c r="V3" s="24"/>
      <c r="W3" s="24"/>
      <c r="X3" s="15"/>
      <c r="Y3" s="24"/>
      <c r="AA3" s="24"/>
      <c r="AB3" s="24" t="e">
        <f>+#REF!</f>
        <v>#REF!</v>
      </c>
      <c r="AC3" s="24"/>
      <c r="AD3" s="24" t="e">
        <f>+#REF!</f>
        <v>#REF!</v>
      </c>
      <c r="AE3" s="24"/>
      <c r="AF3" s="10" t="e">
        <f>+#REF!</f>
        <v>#REF!</v>
      </c>
      <c r="AG3" s="239" t="s">
        <v>2</v>
      </c>
      <c r="AH3" s="239"/>
      <c r="AI3" s="25"/>
      <c r="AJ3" s="25" t="e">
        <f>+#REF!</f>
        <v>#REF!</v>
      </c>
      <c r="AK3" s="24"/>
      <c r="AL3" s="16" t="s">
        <v>1</v>
      </c>
      <c r="AM3" s="25"/>
      <c r="AN3" s="25"/>
      <c r="AO3" s="25"/>
      <c r="AP3" s="25"/>
      <c r="AQ3" s="24"/>
      <c r="AR3" s="24" t="e">
        <f>+#REF!</f>
        <v>#REF!</v>
      </c>
      <c r="AS3" s="24"/>
      <c r="AT3" s="24" t="e">
        <f>+#REF!</f>
        <v>#REF!</v>
      </c>
      <c r="AU3" s="24"/>
      <c r="AV3" s="24" t="e">
        <f>+#REF!</f>
        <v>#REF!</v>
      </c>
      <c r="AW3" s="24"/>
      <c r="AX3" s="24" t="e">
        <f>+#REF!</f>
        <v>#REF!</v>
      </c>
      <c r="AY3" s="24"/>
      <c r="AZ3" s="24"/>
      <c r="BA3" s="24"/>
      <c r="BB3" s="24"/>
      <c r="BC3" s="24"/>
      <c r="BD3" s="26"/>
      <c r="BE3" s="26"/>
      <c r="BF3" s="26"/>
      <c r="BG3" s="26"/>
      <c r="BH3" s="27"/>
    </row>
    <row r="4" spans="1:61" ht="15">
      <c r="A4" s="28" t="s">
        <v>1070</v>
      </c>
      <c r="B4" s="29"/>
      <c r="C4" s="29"/>
      <c r="D4" s="28"/>
      <c r="E4" s="28"/>
      <c r="F4" s="3"/>
      <c r="H4" s="30"/>
      <c r="I4" s="31"/>
      <c r="J4" s="31"/>
      <c r="L4" s="31"/>
      <c r="M4" s="32"/>
      <c r="N4" s="33"/>
      <c r="O4" s="32"/>
      <c r="P4" s="33"/>
      <c r="R4" s="33"/>
      <c r="T4" s="33"/>
      <c r="X4" s="31"/>
      <c r="Z4" s="10"/>
      <c r="AB4" s="241"/>
      <c r="AC4" s="241"/>
      <c r="AD4" s="241"/>
      <c r="AE4" s="35"/>
      <c r="AF4" s="34"/>
      <c r="AG4" s="240"/>
      <c r="AH4" s="240"/>
      <c r="AI4" s="17"/>
      <c r="AJ4" s="16"/>
      <c r="AK4" s="24"/>
      <c r="AL4" s="16"/>
      <c r="AM4" s="17"/>
      <c r="AN4" s="31"/>
      <c r="AO4" s="31"/>
      <c r="AP4" s="31"/>
      <c r="AR4" s="34" t="s">
        <v>5</v>
      </c>
      <c r="AU4" s="35"/>
      <c r="AV4" s="34"/>
      <c r="AW4" s="34"/>
      <c r="AX4" s="34" t="s">
        <v>5</v>
      </c>
      <c r="AY4" s="34"/>
      <c r="AZ4" s="34"/>
      <c r="BA4" s="34"/>
      <c r="BB4" s="34"/>
      <c r="BC4" s="34"/>
      <c r="BD4" s="37"/>
      <c r="BE4" s="37"/>
      <c r="BF4" s="37"/>
      <c r="BG4" s="37"/>
      <c r="BH4" s="38"/>
    </row>
    <row r="5" spans="1:61" ht="15">
      <c r="B5" s="29"/>
      <c r="C5" s="29"/>
      <c r="D5" s="28"/>
      <c r="E5" s="28"/>
      <c r="G5" s="28"/>
      <c r="H5" s="5"/>
      <c r="I5" s="41" t="s">
        <v>6</v>
      </c>
      <c r="J5" s="42" t="s">
        <v>7</v>
      </c>
      <c r="L5" s="16" t="s">
        <v>8</v>
      </c>
      <c r="M5" s="16"/>
      <c r="N5" s="16" t="s">
        <v>9</v>
      </c>
      <c r="O5" s="16"/>
      <c r="P5" s="16" t="s">
        <v>9</v>
      </c>
      <c r="Q5" s="17"/>
      <c r="R5" s="43"/>
      <c r="S5" s="17"/>
      <c r="T5" s="16"/>
      <c r="U5" s="17"/>
      <c r="V5" s="16" t="s">
        <v>9</v>
      </c>
      <c r="X5" s="16" t="s">
        <v>9</v>
      </c>
      <c r="Z5" s="34" t="s">
        <v>1</v>
      </c>
      <c r="AB5" s="243" t="s">
        <v>10</v>
      </c>
      <c r="AC5" s="243"/>
      <c r="AD5" s="243"/>
      <c r="AE5" s="35"/>
      <c r="AF5" s="34" t="s">
        <v>1</v>
      </c>
      <c r="AG5" s="17"/>
      <c r="AH5" s="16" t="s">
        <v>11</v>
      </c>
      <c r="AI5" s="17"/>
      <c r="AJ5" s="16" t="s">
        <v>1</v>
      </c>
      <c r="AK5" s="24"/>
      <c r="AL5" s="43" t="s">
        <v>12</v>
      </c>
      <c r="AM5" s="17"/>
      <c r="AN5" s="16" t="s">
        <v>1</v>
      </c>
      <c r="AO5" s="45" t="s">
        <v>1</v>
      </c>
      <c r="AP5" s="46" t="s">
        <v>5</v>
      </c>
      <c r="AQ5" s="47"/>
      <c r="AR5" s="48" t="s">
        <v>10</v>
      </c>
      <c r="AS5" s="47"/>
      <c r="AT5" s="47"/>
      <c r="AU5" s="47"/>
      <c r="AV5" s="46" t="s">
        <v>5</v>
      </c>
      <c r="AW5" s="34"/>
      <c r="AX5" s="49" t="s">
        <v>3</v>
      </c>
      <c r="AY5" s="34"/>
      <c r="AZ5" s="34" t="s">
        <v>1054</v>
      </c>
      <c r="BA5" s="34" t="s">
        <v>1054</v>
      </c>
      <c r="BB5" s="34" t="s">
        <v>1069</v>
      </c>
      <c r="BC5" s="34"/>
      <c r="BD5" s="50" t="s">
        <v>13</v>
      </c>
      <c r="BE5" s="37"/>
      <c r="BF5" s="37"/>
      <c r="BG5" s="37"/>
      <c r="BH5" s="51"/>
    </row>
    <row r="6" spans="1:61">
      <c r="A6" s="242"/>
      <c r="B6" s="242"/>
      <c r="C6" s="242"/>
      <c r="D6" s="242"/>
      <c r="E6" s="242"/>
      <c r="F6" s="242"/>
      <c r="G6" s="22"/>
      <c r="H6" s="5"/>
      <c r="I6" s="52" t="s">
        <v>14</v>
      </c>
      <c r="J6" s="52" t="s">
        <v>14</v>
      </c>
      <c r="L6" s="43" t="s">
        <v>14</v>
      </c>
      <c r="M6" s="43"/>
      <c r="N6" s="43" t="s">
        <v>15</v>
      </c>
      <c r="O6" s="43"/>
      <c r="P6" s="43" t="s">
        <v>4</v>
      </c>
      <c r="Q6" s="17"/>
      <c r="R6" s="43" t="s">
        <v>4</v>
      </c>
      <c r="S6" s="43"/>
      <c r="T6" s="43" t="s">
        <v>16</v>
      </c>
      <c r="U6" s="43"/>
      <c r="V6" s="43" t="s">
        <v>4</v>
      </c>
      <c r="W6" s="43"/>
      <c r="X6" s="43" t="s">
        <v>14</v>
      </c>
      <c r="Y6" s="43"/>
      <c r="Z6" s="34" t="s">
        <v>17</v>
      </c>
      <c r="AA6" s="43"/>
      <c r="AB6" s="53" t="s">
        <v>16</v>
      </c>
      <c r="AC6" s="53"/>
      <c r="AD6" s="34"/>
      <c r="AE6" s="53"/>
      <c r="AF6" s="34" t="s">
        <v>17</v>
      </c>
      <c r="AG6" s="43" t="s">
        <v>16</v>
      </c>
      <c r="AH6" s="16" t="s">
        <v>18</v>
      </c>
      <c r="AI6" s="43"/>
      <c r="AJ6" s="16" t="s">
        <v>19</v>
      </c>
      <c r="AK6" s="24"/>
      <c r="AL6" s="43" t="s">
        <v>16</v>
      </c>
      <c r="AM6" s="43"/>
      <c r="AN6" s="43" t="s">
        <v>14</v>
      </c>
      <c r="AO6" s="45" t="s">
        <v>20</v>
      </c>
      <c r="AP6" s="43" t="s">
        <v>14</v>
      </c>
      <c r="AQ6" s="54"/>
      <c r="AR6" s="54" t="s">
        <v>16</v>
      </c>
      <c r="AS6" s="54"/>
      <c r="AT6" s="46"/>
      <c r="AU6" s="54"/>
      <c r="AV6" s="46" t="s">
        <v>19</v>
      </c>
      <c r="AW6" s="34"/>
      <c r="AX6" s="55" t="s">
        <v>16</v>
      </c>
      <c r="AY6" s="34"/>
      <c r="AZ6" s="34" t="s">
        <v>17</v>
      </c>
      <c r="BA6" s="34" t="s">
        <v>17</v>
      </c>
      <c r="BB6" s="34" t="s">
        <v>19</v>
      </c>
      <c r="BC6" s="56"/>
      <c r="BD6" s="50" t="s">
        <v>21</v>
      </c>
      <c r="BE6" s="37"/>
      <c r="BF6" s="37"/>
      <c r="BG6" s="37"/>
      <c r="BH6" s="57"/>
    </row>
    <row r="7" spans="1:61" ht="15">
      <c r="A7" s="237"/>
      <c r="B7" s="237"/>
      <c r="C7" s="237"/>
      <c r="D7" s="237"/>
      <c r="E7" s="237"/>
      <c r="F7" s="237"/>
      <c r="G7" s="59">
        <v>1</v>
      </c>
      <c r="H7" s="60"/>
      <c r="I7" s="52" t="s">
        <v>22</v>
      </c>
      <c r="J7" s="52" t="s">
        <v>22</v>
      </c>
      <c r="L7" s="43" t="s">
        <v>22</v>
      </c>
      <c r="M7" s="43"/>
      <c r="N7" s="43" t="s">
        <v>23</v>
      </c>
      <c r="O7" s="43"/>
      <c r="P7" s="43" t="s">
        <v>24</v>
      </c>
      <c r="Q7" s="43"/>
      <c r="R7" s="43" t="s">
        <v>24</v>
      </c>
      <c r="S7" s="43"/>
      <c r="T7" s="43" t="s">
        <v>25</v>
      </c>
      <c r="U7" s="43"/>
      <c r="V7" s="43" t="s">
        <v>24</v>
      </c>
      <c r="W7" s="43"/>
      <c r="X7" s="43" t="s">
        <v>22</v>
      </c>
      <c r="Y7" s="43"/>
      <c r="Z7" s="53" t="s">
        <v>15</v>
      </c>
      <c r="AA7" s="43"/>
      <c r="AB7" s="53" t="s">
        <v>26</v>
      </c>
      <c r="AC7" s="53"/>
      <c r="AD7" s="53"/>
      <c r="AE7" s="53"/>
      <c r="AF7" s="53" t="s">
        <v>4</v>
      </c>
      <c r="AG7" s="43" t="s">
        <v>26</v>
      </c>
      <c r="AH7" s="43" t="s">
        <v>27</v>
      </c>
      <c r="AI7" s="43"/>
      <c r="AJ7" s="43" t="s">
        <v>4</v>
      </c>
      <c r="AK7" s="24"/>
      <c r="AL7" s="43" t="s">
        <v>26</v>
      </c>
      <c r="AM7" s="43"/>
      <c r="AN7" s="43" t="s">
        <v>22</v>
      </c>
      <c r="AO7" s="61" t="s">
        <v>22</v>
      </c>
      <c r="AP7" s="43" t="s">
        <v>22</v>
      </c>
      <c r="AQ7" s="54"/>
      <c r="AR7" s="54" t="s">
        <v>26</v>
      </c>
      <c r="AS7" s="54"/>
      <c r="AT7" s="54"/>
      <c r="AU7" s="54"/>
      <c r="AV7" s="54" t="s">
        <v>4</v>
      </c>
      <c r="AW7" s="53"/>
      <c r="AX7" s="55" t="s">
        <v>26</v>
      </c>
      <c r="AY7" s="53"/>
      <c r="AZ7" s="34" t="s">
        <v>15</v>
      </c>
      <c r="BA7" s="53" t="s">
        <v>4</v>
      </c>
      <c r="BB7" s="34" t="s">
        <v>15</v>
      </c>
      <c r="BC7" s="56"/>
      <c r="BD7" s="50" t="s">
        <v>28</v>
      </c>
      <c r="BE7" s="62"/>
      <c r="BF7" s="62"/>
      <c r="BG7" s="62"/>
      <c r="BH7" s="57"/>
      <c r="BI7" s="63"/>
    </row>
    <row r="8" spans="1:61" ht="15">
      <c r="A8" s="237" t="s">
        <v>29</v>
      </c>
      <c r="B8" s="237"/>
      <c r="C8" s="237"/>
      <c r="D8" s="237"/>
      <c r="E8" s="237"/>
      <c r="F8" s="64" t="s">
        <v>30</v>
      </c>
      <c r="G8" s="64" t="s">
        <v>31</v>
      </c>
      <c r="H8" s="60"/>
      <c r="I8" s="65" t="s">
        <v>32</v>
      </c>
      <c r="J8" s="65" t="s">
        <v>32</v>
      </c>
      <c r="L8" s="66" t="s">
        <v>32</v>
      </c>
      <c r="M8" s="36"/>
      <c r="N8" s="36" t="s">
        <v>2</v>
      </c>
      <c r="O8" s="36"/>
      <c r="P8" s="36" t="s">
        <v>33</v>
      </c>
      <c r="Q8" s="36"/>
      <c r="R8" s="36" t="s">
        <v>34</v>
      </c>
      <c r="S8" s="36"/>
      <c r="T8" s="36" t="s">
        <v>35</v>
      </c>
      <c r="U8" s="36"/>
      <c r="V8" s="36" t="s">
        <v>36</v>
      </c>
      <c r="W8" s="36"/>
      <c r="X8" s="66" t="s">
        <v>32</v>
      </c>
      <c r="Y8" s="36"/>
      <c r="Z8" s="44" t="s">
        <v>24</v>
      </c>
      <c r="AA8" s="36"/>
      <c r="AB8" s="44" t="s">
        <v>35</v>
      </c>
      <c r="AC8" s="44"/>
      <c r="AD8" s="44" t="s">
        <v>37</v>
      </c>
      <c r="AE8" s="44"/>
      <c r="AF8" s="44" t="s">
        <v>38</v>
      </c>
      <c r="AG8" s="36" t="s">
        <v>35</v>
      </c>
      <c r="AH8" s="36" t="s">
        <v>39</v>
      </c>
      <c r="AI8" s="36"/>
      <c r="AJ8" s="36" t="s">
        <v>40</v>
      </c>
      <c r="AK8" s="24"/>
      <c r="AL8" s="36" t="s">
        <v>35</v>
      </c>
      <c r="AM8" s="36"/>
      <c r="AN8" s="36" t="s">
        <v>32</v>
      </c>
      <c r="AO8" s="67" t="s">
        <v>32</v>
      </c>
      <c r="AP8" s="36" t="s">
        <v>32</v>
      </c>
      <c r="AQ8" s="48"/>
      <c r="AR8" s="48" t="s">
        <v>35</v>
      </c>
      <c r="AS8" s="48"/>
      <c r="AT8" s="48" t="s">
        <v>37</v>
      </c>
      <c r="AU8" s="48"/>
      <c r="AV8" s="48" t="s">
        <v>38</v>
      </c>
      <c r="AW8" s="44"/>
      <c r="AX8" s="49" t="s">
        <v>35</v>
      </c>
      <c r="AY8" s="44"/>
      <c r="AZ8" s="44" t="s">
        <v>2</v>
      </c>
      <c r="BA8" s="44" t="s">
        <v>40</v>
      </c>
      <c r="BB8" s="44" t="s">
        <v>2</v>
      </c>
      <c r="BC8" s="56"/>
      <c r="BD8" s="50" t="s">
        <v>41</v>
      </c>
      <c r="BE8" s="68"/>
      <c r="BF8" s="68"/>
      <c r="BG8" s="68"/>
      <c r="BH8" s="69"/>
    </row>
    <row r="9" spans="1:61" ht="15">
      <c r="A9" s="58"/>
      <c r="B9" s="58"/>
      <c r="C9" s="58"/>
      <c r="D9" s="64"/>
      <c r="E9" s="64"/>
      <c r="F9" s="64"/>
      <c r="G9" s="70"/>
      <c r="H9" s="60"/>
      <c r="J9" s="71"/>
      <c r="AK9" s="24"/>
      <c r="AZ9" s="34"/>
      <c r="BB9" s="34"/>
      <c r="BC9" s="56"/>
      <c r="BH9" s="72">
        <v>2</v>
      </c>
    </row>
    <row r="10" spans="1:61" ht="20.100000000000001" customHeight="1" outlineLevel="1">
      <c r="A10" s="75" t="s">
        <v>704</v>
      </c>
      <c r="B10" s="77"/>
      <c r="C10" s="77"/>
      <c r="D10" s="90"/>
      <c r="E10" s="90"/>
      <c r="F10" s="3"/>
      <c r="H10" s="87"/>
      <c r="L10" s="44"/>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5"/>
      <c r="AL10" s="83"/>
      <c r="AM10" s="83"/>
      <c r="AN10" s="100"/>
      <c r="AO10" s="100"/>
      <c r="AP10" s="100"/>
      <c r="AQ10" s="83"/>
      <c r="AR10" s="83"/>
      <c r="AS10" s="83"/>
      <c r="AT10" s="83"/>
      <c r="AU10" s="83"/>
      <c r="AV10" s="83"/>
      <c r="AW10" s="83"/>
      <c r="AX10" s="83"/>
      <c r="AY10" s="83"/>
      <c r="AZ10" s="83"/>
      <c r="BA10" s="83"/>
      <c r="BB10" s="83"/>
      <c r="BC10" s="56"/>
      <c r="BD10" s="83"/>
      <c r="BE10" s="83"/>
      <c r="BF10" s="83"/>
      <c r="BG10" s="83"/>
      <c r="BH10" s="19"/>
    </row>
    <row r="11" spans="1:61" ht="20.100000000000001" hidden="1" customHeight="1" outlineLevel="2">
      <c r="A11" s="77"/>
      <c r="B11" s="77"/>
      <c r="C11" s="77"/>
      <c r="D11" s="78"/>
      <c r="E11" s="78"/>
      <c r="F11" s="79"/>
      <c r="G11" s="167" t="s">
        <v>705</v>
      </c>
      <c r="H11" s="87"/>
      <c r="I11" s="82">
        <v>76700</v>
      </c>
      <c r="J11" s="82">
        <v>36284</v>
      </c>
      <c r="L11" s="83">
        <v>76848</v>
      </c>
      <c r="M11" s="83"/>
      <c r="N11" s="83">
        <v>103144</v>
      </c>
      <c r="O11" s="83"/>
      <c r="P11" s="83">
        <v>114671</v>
      </c>
      <c r="Q11" s="83"/>
      <c r="R11" s="83">
        <v>114671</v>
      </c>
      <c r="S11" s="83"/>
      <c r="T11" s="83">
        <v>0</v>
      </c>
      <c r="U11" s="83"/>
      <c r="V11" s="83">
        <v>114671</v>
      </c>
      <c r="W11" s="83"/>
      <c r="X11" s="83">
        <v>113814.76</v>
      </c>
      <c r="Y11" s="83"/>
      <c r="Z11" s="83">
        <v>114671</v>
      </c>
      <c r="AA11" s="83"/>
      <c r="AB11" s="83">
        <v>0</v>
      </c>
      <c r="AC11" s="83"/>
      <c r="AD11" s="83">
        <v>0</v>
      </c>
      <c r="AE11" s="83"/>
      <c r="AF11" s="84">
        <f t="shared" ref="AF11:AF25" si="0">SUM(Z11:AE11)</f>
        <v>114671</v>
      </c>
      <c r="AG11" s="83">
        <v>0</v>
      </c>
      <c r="AH11" s="83">
        <v>0</v>
      </c>
      <c r="AI11" s="83"/>
      <c r="AJ11" s="84">
        <f t="shared" ref="AJ11:AJ25" si="1">SUM(AE11:AI11)</f>
        <v>114671</v>
      </c>
      <c r="AK11" s="85"/>
      <c r="AL11" s="83">
        <v>0</v>
      </c>
      <c r="AM11" s="83"/>
      <c r="AN11" s="86">
        <f t="shared" ref="AN11:AN25" si="2">SUM(AI11:AM11)</f>
        <v>114671</v>
      </c>
      <c r="AO11" s="86">
        <v>0</v>
      </c>
      <c r="AP11" s="86">
        <v>114671</v>
      </c>
      <c r="AQ11" s="83"/>
      <c r="AR11" s="83">
        <v>0</v>
      </c>
      <c r="AS11" s="83"/>
      <c r="AT11" s="83">
        <v>4650</v>
      </c>
      <c r="AU11" s="83"/>
      <c r="AV11" s="84">
        <f t="shared" ref="AV11:AV25" si="3">SUM(AP11:AU11)</f>
        <v>119321</v>
      </c>
      <c r="AW11" s="84"/>
      <c r="AX11" s="86">
        <v>-15000</v>
      </c>
      <c r="AY11" s="84"/>
      <c r="AZ11" s="227">
        <v>94321</v>
      </c>
      <c r="BA11" s="84">
        <v>94321</v>
      </c>
      <c r="BB11" s="214"/>
      <c r="BC11" s="56"/>
      <c r="BD11" s="84">
        <f t="shared" ref="BD11:BD31" si="4">+AP11-AN11</f>
        <v>0</v>
      </c>
      <c r="BE11" s="84"/>
      <c r="BF11" s="84"/>
      <c r="BG11" s="84"/>
      <c r="BH11" s="72"/>
    </row>
    <row r="12" spans="1:61" ht="20.100000000000001" hidden="1" customHeight="1" outlineLevel="2">
      <c r="A12" s="77"/>
      <c r="B12" s="77"/>
      <c r="C12" s="77"/>
      <c r="D12" s="78"/>
      <c r="E12" s="78"/>
      <c r="F12" s="79"/>
      <c r="G12" s="167" t="s">
        <v>706</v>
      </c>
      <c r="H12" s="87"/>
      <c r="I12" s="13">
        <v>0</v>
      </c>
      <c r="J12" s="13">
        <v>0</v>
      </c>
      <c r="L12" s="56">
        <v>0</v>
      </c>
      <c r="M12" s="56"/>
      <c r="N12" s="56">
        <v>0</v>
      </c>
      <c r="O12" s="56"/>
      <c r="P12" s="56">
        <v>0</v>
      </c>
      <c r="Q12" s="56"/>
      <c r="R12" s="56">
        <v>0</v>
      </c>
      <c r="S12" s="56"/>
      <c r="T12" s="56">
        <v>0</v>
      </c>
      <c r="U12" s="56"/>
      <c r="V12" s="56">
        <v>0</v>
      </c>
      <c r="W12" s="56"/>
      <c r="X12" s="56">
        <v>0</v>
      </c>
      <c r="Y12" s="56"/>
      <c r="Z12" s="56">
        <v>0</v>
      </c>
      <c r="AA12" s="56"/>
      <c r="AB12" s="56">
        <v>0</v>
      </c>
      <c r="AC12" s="56"/>
      <c r="AD12" s="56">
        <v>0</v>
      </c>
      <c r="AE12" s="56"/>
      <c r="AF12" s="56">
        <f t="shared" si="0"/>
        <v>0</v>
      </c>
      <c r="AG12" s="56">
        <v>0</v>
      </c>
      <c r="AH12" s="56">
        <v>0</v>
      </c>
      <c r="AI12" s="56"/>
      <c r="AJ12" s="56">
        <f t="shared" si="1"/>
        <v>0</v>
      </c>
      <c r="AK12" s="85"/>
      <c r="AL12" s="56">
        <v>0</v>
      </c>
      <c r="AM12" s="56"/>
      <c r="AN12" s="88">
        <f t="shared" si="2"/>
        <v>0</v>
      </c>
      <c r="AO12" s="88">
        <v>0</v>
      </c>
      <c r="AP12" s="88">
        <v>0</v>
      </c>
      <c r="AQ12" s="56"/>
      <c r="AR12" s="56">
        <v>0</v>
      </c>
      <c r="AS12" s="56"/>
      <c r="AT12" s="56">
        <v>0</v>
      </c>
      <c r="AU12" s="56"/>
      <c r="AV12" s="56">
        <f t="shared" si="3"/>
        <v>0</v>
      </c>
      <c r="AW12" s="56"/>
      <c r="AX12" s="56">
        <v>0</v>
      </c>
      <c r="AY12" s="56"/>
      <c r="AZ12" s="228">
        <v>0</v>
      </c>
      <c r="BA12" s="56">
        <v>0</v>
      </c>
      <c r="BB12" s="214"/>
      <c r="BC12" s="56"/>
      <c r="BD12" s="84">
        <f t="shared" si="4"/>
        <v>0</v>
      </c>
      <c r="BE12" s="56"/>
      <c r="BF12" s="56"/>
      <c r="BG12" s="56"/>
      <c r="BH12" s="72"/>
    </row>
    <row r="13" spans="1:61" ht="20.100000000000001" hidden="1" customHeight="1" outlineLevel="2">
      <c r="A13" s="77"/>
      <c r="B13" s="77"/>
      <c r="C13" s="77"/>
      <c r="D13" s="78"/>
      <c r="E13" s="78"/>
      <c r="F13" s="79"/>
      <c r="G13" s="167" t="s">
        <v>707</v>
      </c>
      <c r="H13" s="87"/>
      <c r="I13" s="13">
        <v>9365</v>
      </c>
      <c r="J13" s="13">
        <v>6525</v>
      </c>
      <c r="L13" s="56">
        <v>16686</v>
      </c>
      <c r="M13" s="56"/>
      <c r="N13" s="56">
        <v>16750</v>
      </c>
      <c r="O13" s="56"/>
      <c r="P13" s="56">
        <v>16750</v>
      </c>
      <c r="Q13" s="56"/>
      <c r="R13" s="56">
        <v>16750</v>
      </c>
      <c r="S13" s="56"/>
      <c r="T13" s="56">
        <v>0</v>
      </c>
      <c r="U13" s="56"/>
      <c r="V13" s="56">
        <v>16750</v>
      </c>
      <c r="W13" s="56"/>
      <c r="X13" s="56">
        <v>0</v>
      </c>
      <c r="Y13" s="56"/>
      <c r="Z13" s="56">
        <v>16750</v>
      </c>
      <c r="AA13" s="56"/>
      <c r="AB13" s="56">
        <v>0</v>
      </c>
      <c r="AC13" s="56"/>
      <c r="AD13" s="56">
        <v>0</v>
      </c>
      <c r="AE13" s="56"/>
      <c r="AF13" s="56">
        <f t="shared" si="0"/>
        <v>16750</v>
      </c>
      <c r="AG13" s="56">
        <v>0</v>
      </c>
      <c r="AH13" s="56">
        <v>0</v>
      </c>
      <c r="AI13" s="56"/>
      <c r="AJ13" s="56">
        <f t="shared" si="1"/>
        <v>16750</v>
      </c>
      <c r="AK13" s="85"/>
      <c r="AL13" s="56">
        <v>0</v>
      </c>
      <c r="AM13" s="56"/>
      <c r="AN13" s="88">
        <f t="shared" si="2"/>
        <v>16750</v>
      </c>
      <c r="AO13" s="88">
        <v>0</v>
      </c>
      <c r="AP13" s="88">
        <v>16750</v>
      </c>
      <c r="AQ13" s="56"/>
      <c r="AR13" s="56">
        <v>0</v>
      </c>
      <c r="AS13" s="56"/>
      <c r="AT13" s="56">
        <v>0</v>
      </c>
      <c r="AU13" s="56"/>
      <c r="AV13" s="56">
        <f t="shared" si="3"/>
        <v>16750</v>
      </c>
      <c r="AW13" s="56"/>
      <c r="AX13" s="56">
        <v>0</v>
      </c>
      <c r="AY13" s="56"/>
      <c r="AZ13" s="228">
        <v>13750</v>
      </c>
      <c r="BA13" s="56">
        <v>13750</v>
      </c>
      <c r="BB13" s="214"/>
      <c r="BC13" s="56"/>
      <c r="BD13" s="84">
        <f t="shared" si="4"/>
        <v>0</v>
      </c>
      <c r="BE13" s="56"/>
      <c r="BF13" s="56"/>
      <c r="BG13" s="56"/>
      <c r="BH13" s="72"/>
    </row>
    <row r="14" spans="1:61" ht="20.100000000000001" hidden="1" customHeight="1" outlineLevel="2">
      <c r="A14" s="77"/>
      <c r="B14" s="77"/>
      <c r="C14" s="77"/>
      <c r="D14" s="78"/>
      <c r="E14" s="78"/>
      <c r="F14" s="79"/>
      <c r="G14" s="167" t="s">
        <v>708</v>
      </c>
      <c r="H14" s="87"/>
      <c r="I14" s="13">
        <v>0</v>
      </c>
      <c r="J14" s="13">
        <v>0</v>
      </c>
      <c r="L14" s="56">
        <v>53089</v>
      </c>
      <c r="M14" s="56"/>
      <c r="N14" s="56">
        <v>53294</v>
      </c>
      <c r="O14" s="56"/>
      <c r="P14" s="56">
        <v>53294</v>
      </c>
      <c r="Q14" s="56"/>
      <c r="R14" s="56">
        <v>53294</v>
      </c>
      <c r="S14" s="56"/>
      <c r="T14" s="56">
        <v>0</v>
      </c>
      <c r="U14" s="56"/>
      <c r="V14" s="56">
        <v>53294</v>
      </c>
      <c r="W14" s="56"/>
      <c r="X14" s="56">
        <v>0</v>
      </c>
      <c r="Y14" s="56"/>
      <c r="Z14" s="56">
        <v>53294</v>
      </c>
      <c r="AA14" s="56"/>
      <c r="AB14" s="56">
        <v>0</v>
      </c>
      <c r="AC14" s="56"/>
      <c r="AD14" s="56">
        <v>0</v>
      </c>
      <c r="AE14" s="56"/>
      <c r="AF14" s="56">
        <f t="shared" si="0"/>
        <v>53294</v>
      </c>
      <c r="AG14" s="56">
        <v>0</v>
      </c>
      <c r="AH14" s="56">
        <v>0</v>
      </c>
      <c r="AI14" s="56"/>
      <c r="AJ14" s="56">
        <f t="shared" si="1"/>
        <v>53294</v>
      </c>
      <c r="AK14" s="85"/>
      <c r="AL14" s="56">
        <f>-5000-15000</f>
        <v>-20000</v>
      </c>
      <c r="AM14" s="56"/>
      <c r="AN14" s="88">
        <f t="shared" si="2"/>
        <v>33294</v>
      </c>
      <c r="AO14" s="88">
        <v>0</v>
      </c>
      <c r="AP14" s="88">
        <v>53294</v>
      </c>
      <c r="AQ14" s="56"/>
      <c r="AR14" s="56">
        <v>0</v>
      </c>
      <c r="AS14" s="56"/>
      <c r="AT14" s="56">
        <v>0</v>
      </c>
      <c r="AU14" s="56"/>
      <c r="AV14" s="56">
        <f t="shared" si="3"/>
        <v>53294</v>
      </c>
      <c r="AW14" s="56"/>
      <c r="AX14" s="56">
        <v>0</v>
      </c>
      <c r="AY14" s="56"/>
      <c r="AZ14" s="228">
        <v>53294</v>
      </c>
      <c r="BA14" s="56">
        <v>53294</v>
      </c>
      <c r="BB14" s="214"/>
      <c r="BC14" s="56"/>
      <c r="BD14" s="84">
        <f t="shared" si="4"/>
        <v>20000</v>
      </c>
      <c r="BE14" s="56"/>
      <c r="BF14" s="56"/>
      <c r="BG14" s="56"/>
      <c r="BH14" s="72"/>
    </row>
    <row r="15" spans="1:61" ht="20.100000000000001" hidden="1" customHeight="1" outlineLevel="2">
      <c r="A15" s="77"/>
      <c r="B15" s="77"/>
      <c r="C15" s="77"/>
      <c r="D15" s="78"/>
      <c r="E15" s="78"/>
      <c r="F15" s="79"/>
      <c r="G15" s="167" t="s">
        <v>709</v>
      </c>
      <c r="H15" s="87"/>
      <c r="I15" s="13">
        <v>2920</v>
      </c>
      <c r="J15" s="13">
        <v>2035</v>
      </c>
      <c r="L15" s="56">
        <v>5205</v>
      </c>
      <c r="M15" s="56"/>
      <c r="N15" s="56">
        <v>5225</v>
      </c>
      <c r="O15" s="56"/>
      <c r="P15" s="56">
        <v>5225</v>
      </c>
      <c r="Q15" s="56"/>
      <c r="R15" s="56">
        <v>5225</v>
      </c>
      <c r="S15" s="56"/>
      <c r="T15" s="56">
        <v>0</v>
      </c>
      <c r="U15" s="56"/>
      <c r="V15" s="56">
        <v>5225</v>
      </c>
      <c r="W15" s="56"/>
      <c r="X15" s="56">
        <v>3953</v>
      </c>
      <c r="Y15" s="56"/>
      <c r="Z15" s="56">
        <v>5225</v>
      </c>
      <c r="AA15" s="56"/>
      <c r="AB15" s="56">
        <v>0</v>
      </c>
      <c r="AC15" s="56"/>
      <c r="AD15" s="56">
        <v>0</v>
      </c>
      <c r="AE15" s="56"/>
      <c r="AF15" s="56">
        <f t="shared" si="0"/>
        <v>5225</v>
      </c>
      <c r="AG15" s="56">
        <v>0</v>
      </c>
      <c r="AH15" s="56">
        <v>0</v>
      </c>
      <c r="AI15" s="56"/>
      <c r="AJ15" s="56">
        <f t="shared" si="1"/>
        <v>5225</v>
      </c>
      <c r="AK15" s="85"/>
      <c r="AL15" s="56">
        <v>0</v>
      </c>
      <c r="AM15" s="56"/>
      <c r="AN15" s="88">
        <f t="shared" si="2"/>
        <v>5225</v>
      </c>
      <c r="AO15" s="88">
        <v>0</v>
      </c>
      <c r="AP15" s="88">
        <v>5225</v>
      </c>
      <c r="AQ15" s="56"/>
      <c r="AR15" s="56">
        <v>0</v>
      </c>
      <c r="AS15" s="56"/>
      <c r="AT15" s="56">
        <v>0</v>
      </c>
      <c r="AU15" s="56"/>
      <c r="AV15" s="56">
        <f t="shared" si="3"/>
        <v>5225</v>
      </c>
      <c r="AW15" s="56"/>
      <c r="AX15" s="56">
        <v>0</v>
      </c>
      <c r="AY15" s="56"/>
      <c r="AZ15" s="228">
        <v>3225</v>
      </c>
      <c r="BA15" s="56">
        <v>3225</v>
      </c>
      <c r="BB15" s="214"/>
      <c r="BC15" s="56"/>
      <c r="BD15" s="84">
        <f t="shared" si="4"/>
        <v>0</v>
      </c>
      <c r="BE15" s="56"/>
      <c r="BF15" s="56"/>
      <c r="BG15" s="56"/>
      <c r="BH15" s="72"/>
    </row>
    <row r="16" spans="1:61" ht="20.100000000000001" hidden="1" customHeight="1" outlineLevel="2">
      <c r="A16" s="77"/>
      <c r="B16" s="77"/>
      <c r="C16" s="77"/>
      <c r="D16" s="78"/>
      <c r="E16" s="78"/>
      <c r="F16" s="79"/>
      <c r="G16" s="167" t="s">
        <v>710</v>
      </c>
      <c r="H16" s="87"/>
      <c r="I16" s="13">
        <v>7024</v>
      </c>
      <c r="J16" s="13">
        <v>4874</v>
      </c>
      <c r="L16" s="56">
        <v>12464</v>
      </c>
      <c r="M16" s="56"/>
      <c r="N16" s="56">
        <v>12512</v>
      </c>
      <c r="O16" s="56"/>
      <c r="P16" s="56">
        <v>12512</v>
      </c>
      <c r="Q16" s="56"/>
      <c r="R16" s="56">
        <v>12512</v>
      </c>
      <c r="S16" s="56"/>
      <c r="T16" s="56">
        <v>0</v>
      </c>
      <c r="U16" s="56"/>
      <c r="V16" s="56">
        <v>12512</v>
      </c>
      <c r="W16" s="56"/>
      <c r="X16" s="56">
        <v>0</v>
      </c>
      <c r="Y16" s="56"/>
      <c r="Z16" s="56">
        <v>12512</v>
      </c>
      <c r="AA16" s="56"/>
      <c r="AB16" s="56">
        <v>0</v>
      </c>
      <c r="AC16" s="56"/>
      <c r="AD16" s="56">
        <v>2670</v>
      </c>
      <c r="AE16" s="56"/>
      <c r="AF16" s="56">
        <f t="shared" si="0"/>
        <v>15182</v>
      </c>
      <c r="AG16" s="56">
        <v>0</v>
      </c>
      <c r="AH16" s="56">
        <v>0</v>
      </c>
      <c r="AI16" s="56"/>
      <c r="AJ16" s="56">
        <f t="shared" si="1"/>
        <v>15182</v>
      </c>
      <c r="AK16" s="85"/>
      <c r="AL16" s="56">
        <v>0</v>
      </c>
      <c r="AM16" s="56"/>
      <c r="AN16" s="88">
        <f t="shared" si="2"/>
        <v>15182</v>
      </c>
      <c r="AO16" s="88">
        <v>0</v>
      </c>
      <c r="AP16" s="88">
        <v>15182</v>
      </c>
      <c r="AQ16" s="56"/>
      <c r="AR16" s="56">
        <v>0</v>
      </c>
      <c r="AS16" s="56"/>
      <c r="AT16" s="56">
        <v>0</v>
      </c>
      <c r="AU16" s="56"/>
      <c r="AV16" s="56">
        <f t="shared" si="3"/>
        <v>15182</v>
      </c>
      <c r="AW16" s="56"/>
      <c r="AX16" s="56">
        <v>0</v>
      </c>
      <c r="AY16" s="56"/>
      <c r="AZ16" s="228">
        <v>12182</v>
      </c>
      <c r="BA16" s="56">
        <v>12182</v>
      </c>
      <c r="BB16" s="214"/>
      <c r="BC16" s="56"/>
      <c r="BD16" s="84">
        <f t="shared" si="4"/>
        <v>0</v>
      </c>
      <c r="BE16" s="56"/>
      <c r="BF16" s="56"/>
      <c r="BG16" s="56"/>
      <c r="BH16" s="72"/>
    </row>
    <row r="17" spans="1:62" ht="20.100000000000001" hidden="1" customHeight="1" outlineLevel="2">
      <c r="A17" s="77"/>
      <c r="B17" s="77"/>
      <c r="C17" s="77"/>
      <c r="D17" s="78"/>
      <c r="E17" s="78"/>
      <c r="F17" s="79"/>
      <c r="G17" s="167" t="s">
        <v>711</v>
      </c>
      <c r="H17" s="87"/>
      <c r="I17" s="13">
        <v>5572</v>
      </c>
      <c r="J17" s="13">
        <v>5166</v>
      </c>
      <c r="L17" s="229">
        <v>6686</v>
      </c>
      <c r="M17" s="56"/>
      <c r="N17" s="56">
        <v>195141</v>
      </c>
      <c r="O17" s="56"/>
      <c r="P17" s="56">
        <v>195141</v>
      </c>
      <c r="Q17" s="56"/>
      <c r="R17" s="56">
        <v>232000</v>
      </c>
      <c r="S17" s="89"/>
      <c r="T17" s="56">
        <v>0</v>
      </c>
      <c r="U17" s="56"/>
      <c r="V17" s="56">
        <v>232000</v>
      </c>
      <c r="W17" s="56"/>
      <c r="X17" s="229">
        <v>160791.79999999999</v>
      </c>
      <c r="Y17" s="56"/>
      <c r="Z17" s="56">
        <v>232000</v>
      </c>
      <c r="AA17" s="56"/>
      <c r="AB17" s="89">
        <v>0</v>
      </c>
      <c r="AC17" s="56"/>
      <c r="AD17" s="56">
        <v>0</v>
      </c>
      <c r="AE17" s="56"/>
      <c r="AF17" s="56">
        <f t="shared" si="0"/>
        <v>232000</v>
      </c>
      <c r="AG17" s="89">
        <v>65000</v>
      </c>
      <c r="AH17" s="56">
        <v>0</v>
      </c>
      <c r="AI17" s="56"/>
      <c r="AJ17" s="56">
        <f t="shared" si="1"/>
        <v>297000</v>
      </c>
      <c r="AK17" s="85"/>
      <c r="AL17" s="56">
        <v>0</v>
      </c>
      <c r="AM17" s="56"/>
      <c r="AN17" s="230">
        <f t="shared" si="2"/>
        <v>297000</v>
      </c>
      <c r="AO17" s="88">
        <v>0</v>
      </c>
      <c r="AP17" s="230">
        <v>250000</v>
      </c>
      <c r="AQ17" s="56"/>
      <c r="AR17" s="56">
        <v>0</v>
      </c>
      <c r="AS17" s="56"/>
      <c r="AT17" s="56">
        <v>0</v>
      </c>
      <c r="AU17" s="56"/>
      <c r="AV17" s="56">
        <f t="shared" si="3"/>
        <v>250000</v>
      </c>
      <c r="AW17" s="56"/>
      <c r="AX17" s="56">
        <v>-5000</v>
      </c>
      <c r="AY17" s="56"/>
      <c r="AZ17" s="231">
        <v>297000</v>
      </c>
      <c r="BA17" s="229">
        <v>299640</v>
      </c>
      <c r="BB17" s="214"/>
      <c r="BC17" s="56"/>
      <c r="BD17" s="84">
        <f t="shared" si="4"/>
        <v>-47000</v>
      </c>
      <c r="BE17" s="56"/>
      <c r="BF17" s="56"/>
      <c r="BG17" s="56"/>
      <c r="BH17" s="72"/>
    </row>
    <row r="18" spans="1:62" ht="20.100000000000001" customHeight="1" outlineLevel="1" collapsed="1">
      <c r="A18" s="77" t="s">
        <v>43</v>
      </c>
      <c r="B18" s="77" t="s">
        <v>203</v>
      </c>
      <c r="C18" s="77" t="s">
        <v>1097</v>
      </c>
      <c r="D18" s="78" t="s">
        <v>46</v>
      </c>
      <c r="E18" s="78" t="str">
        <f t="shared" ref="E18:E25" si="5">+D18</f>
        <v>000</v>
      </c>
      <c r="F18" s="79">
        <v>633951</v>
      </c>
      <c r="G18" s="167" t="s">
        <v>1130</v>
      </c>
      <c r="H18" s="87"/>
      <c r="I18" s="13"/>
      <c r="J18" s="13"/>
      <c r="L18" s="56">
        <f>SUBTOTAL(9,L11:L17)</f>
        <v>170978</v>
      </c>
      <c r="M18" s="56"/>
      <c r="N18" s="56"/>
      <c r="O18" s="56"/>
      <c r="P18" s="56"/>
      <c r="Q18" s="56"/>
      <c r="R18" s="56"/>
      <c r="S18" s="89"/>
      <c r="T18" s="56"/>
      <c r="U18" s="56"/>
      <c r="V18" s="56"/>
      <c r="W18" s="56"/>
      <c r="X18" s="56">
        <f>SUBTOTAL(9,X11:X17)</f>
        <v>278559.56</v>
      </c>
      <c r="Y18" s="56"/>
      <c r="Z18" s="56"/>
      <c r="AA18" s="56"/>
      <c r="AB18" s="89"/>
      <c r="AC18" s="56"/>
      <c r="AD18" s="56"/>
      <c r="AE18" s="56"/>
      <c r="AF18" s="56"/>
      <c r="AG18" s="89"/>
      <c r="AH18" s="56"/>
      <c r="AI18" s="56"/>
      <c r="AJ18" s="56"/>
      <c r="AK18" s="85"/>
      <c r="AL18" s="56"/>
      <c r="AM18" s="56"/>
      <c r="AN18" s="56">
        <f>SUBTOTAL(9,AN11:AN17)</f>
        <v>482122</v>
      </c>
      <c r="AO18" s="88"/>
      <c r="AP18" s="56">
        <v>422932.87</v>
      </c>
      <c r="AQ18" s="56"/>
      <c r="AR18" s="56"/>
      <c r="AS18" s="56"/>
      <c r="AT18" s="56"/>
      <c r="AU18" s="56"/>
      <c r="AV18" s="56"/>
      <c r="AW18" s="56"/>
      <c r="AX18" s="56"/>
      <c r="AY18" s="56"/>
      <c r="AZ18" s="56">
        <v>473772</v>
      </c>
      <c r="BA18" s="56">
        <v>476412</v>
      </c>
      <c r="BB18" s="214"/>
      <c r="BC18" s="56"/>
      <c r="BD18" s="84"/>
      <c r="BE18" s="56"/>
      <c r="BF18" s="56"/>
      <c r="BG18" s="56"/>
      <c r="BH18" s="72"/>
    </row>
    <row r="19" spans="1:62" ht="20.100000000000001" customHeight="1" outlineLevel="1">
      <c r="A19" s="77" t="s">
        <v>43</v>
      </c>
      <c r="B19" s="77" t="s">
        <v>203</v>
      </c>
      <c r="C19" s="77" t="s">
        <v>1097</v>
      </c>
      <c r="D19" s="78" t="s">
        <v>46</v>
      </c>
      <c r="E19" s="78" t="str">
        <f>+D19</f>
        <v>000</v>
      </c>
      <c r="F19" s="3">
        <v>632013</v>
      </c>
      <c r="G19" s="167" t="s">
        <v>715</v>
      </c>
      <c r="H19" s="87"/>
      <c r="I19" s="13">
        <v>0</v>
      </c>
      <c r="J19" s="13">
        <v>460</v>
      </c>
      <c r="L19" s="56">
        <v>18200</v>
      </c>
      <c r="M19" s="56"/>
      <c r="N19" s="56">
        <v>14200</v>
      </c>
      <c r="O19" s="56"/>
      <c r="P19" s="56">
        <v>22200</v>
      </c>
      <c r="Q19" s="56"/>
      <c r="R19" s="56">
        <v>22200</v>
      </c>
      <c r="S19" s="56"/>
      <c r="T19" s="56">
        <v>0</v>
      </c>
      <c r="U19" s="56"/>
      <c r="V19" s="56">
        <v>22200</v>
      </c>
      <c r="W19" s="56"/>
      <c r="X19" s="56">
        <v>7490</v>
      </c>
      <c r="Y19" s="56"/>
      <c r="Z19" s="56">
        <v>22200</v>
      </c>
      <c r="AA19" s="56"/>
      <c r="AB19" s="56">
        <v>0</v>
      </c>
      <c r="AC19" s="56"/>
      <c r="AD19" s="56">
        <v>0</v>
      </c>
      <c r="AE19" s="56"/>
      <c r="AF19" s="56">
        <f>SUM(Z19:AE19)</f>
        <v>22200</v>
      </c>
      <c r="AG19" s="56">
        <v>0</v>
      </c>
      <c r="AH19" s="56">
        <v>0</v>
      </c>
      <c r="AI19" s="56"/>
      <c r="AJ19" s="56">
        <f>SUM(AE19:AI19)</f>
        <v>22200</v>
      </c>
      <c r="AK19" s="85"/>
      <c r="AL19" s="56">
        <v>0</v>
      </c>
      <c r="AM19" s="56"/>
      <c r="AN19" s="88">
        <f>SUM(AI19:AM19)</f>
        <v>22200</v>
      </c>
      <c r="AO19" s="88">
        <v>0</v>
      </c>
      <c r="AP19" s="88">
        <v>8000</v>
      </c>
      <c r="AQ19" s="56"/>
      <c r="AR19" s="56">
        <v>0</v>
      </c>
      <c r="AS19" s="56"/>
      <c r="AT19" s="56">
        <v>0</v>
      </c>
      <c r="AU19" s="56"/>
      <c r="AV19" s="56">
        <f>SUM(AP19:AU19)</f>
        <v>8000</v>
      </c>
      <c r="AW19" s="56"/>
      <c r="AX19" s="56">
        <v>0</v>
      </c>
      <c r="AY19" s="56"/>
      <c r="AZ19" s="88">
        <v>22200</v>
      </c>
      <c r="BA19" s="56">
        <v>22200</v>
      </c>
      <c r="BB19" s="214"/>
      <c r="BC19" s="56"/>
      <c r="BD19" s="84">
        <f>+AP19-AN19</f>
        <v>-14200</v>
      </c>
      <c r="BE19" s="56"/>
      <c r="BF19" s="56"/>
      <c r="BG19" s="56"/>
      <c r="BH19" s="72"/>
    </row>
    <row r="20" spans="1:62" ht="20.100000000000001" customHeight="1" outlineLevel="1">
      <c r="A20" s="77" t="s">
        <v>43</v>
      </c>
      <c r="B20" s="77" t="s">
        <v>203</v>
      </c>
      <c r="C20" s="77" t="s">
        <v>1097</v>
      </c>
      <c r="D20" s="78" t="s">
        <v>46</v>
      </c>
      <c r="E20" s="78" t="str">
        <f t="shared" si="5"/>
        <v>000</v>
      </c>
      <c r="F20" s="3">
        <v>633945</v>
      </c>
      <c r="G20" s="167" t="s">
        <v>714</v>
      </c>
      <c r="H20" s="87"/>
      <c r="I20" s="13">
        <v>62110</v>
      </c>
      <c r="J20" s="13">
        <v>47863</v>
      </c>
      <c r="L20" s="56">
        <v>44237</v>
      </c>
      <c r="M20" s="56"/>
      <c r="N20" s="56">
        <v>67412</v>
      </c>
      <c r="O20" s="56"/>
      <c r="P20" s="56">
        <v>85246</v>
      </c>
      <c r="Q20" s="56"/>
      <c r="R20" s="56">
        <v>85246</v>
      </c>
      <c r="S20" s="56"/>
      <c r="T20" s="56">
        <v>0</v>
      </c>
      <c r="U20" s="56"/>
      <c r="V20" s="56">
        <v>85246</v>
      </c>
      <c r="W20" s="56"/>
      <c r="X20" s="56">
        <v>38133.06</v>
      </c>
      <c r="Y20" s="56"/>
      <c r="Z20" s="56">
        <v>85246</v>
      </c>
      <c r="AA20" s="56"/>
      <c r="AB20" s="56">
        <v>0</v>
      </c>
      <c r="AC20" s="56"/>
      <c r="AD20" s="56">
        <v>3125</v>
      </c>
      <c r="AE20" s="56"/>
      <c r="AF20" s="56">
        <f t="shared" si="0"/>
        <v>88371</v>
      </c>
      <c r="AG20" s="56">
        <v>0</v>
      </c>
      <c r="AH20" s="56">
        <v>0</v>
      </c>
      <c r="AI20" s="56"/>
      <c r="AJ20" s="56">
        <f t="shared" si="1"/>
        <v>88371</v>
      </c>
      <c r="AK20" s="85"/>
      <c r="AL20" s="56">
        <v>40000</v>
      </c>
      <c r="AM20" s="56"/>
      <c r="AN20" s="88">
        <f t="shared" si="2"/>
        <v>128371</v>
      </c>
      <c r="AO20" s="88">
        <v>0</v>
      </c>
      <c r="AP20" s="88">
        <v>48000.37</v>
      </c>
      <c r="AQ20" s="56"/>
      <c r="AR20" s="56">
        <v>0</v>
      </c>
      <c r="AS20" s="56"/>
      <c r="AT20" s="56">
        <v>0</v>
      </c>
      <c r="AU20" s="56"/>
      <c r="AV20" s="56">
        <f t="shared" si="3"/>
        <v>48000.37</v>
      </c>
      <c r="AW20" s="56"/>
      <c r="AX20" s="56">
        <v>0</v>
      </c>
      <c r="AY20" s="56"/>
      <c r="AZ20" s="88">
        <v>40000</v>
      </c>
      <c r="BA20" s="56">
        <v>40000</v>
      </c>
      <c r="BB20" s="214"/>
      <c r="BC20" s="56"/>
      <c r="BD20" s="84">
        <f t="shared" si="4"/>
        <v>-80370.63</v>
      </c>
      <c r="BE20" s="56"/>
      <c r="BF20" s="56"/>
      <c r="BG20" s="56"/>
      <c r="BH20" s="72"/>
    </row>
    <row r="21" spans="1:62" ht="20.100000000000001" customHeight="1" outlineLevel="1">
      <c r="A21" s="77" t="s">
        <v>43</v>
      </c>
      <c r="B21" s="77" t="s">
        <v>203</v>
      </c>
      <c r="C21" s="77" t="s">
        <v>1097</v>
      </c>
      <c r="D21" s="78" t="s">
        <v>46</v>
      </c>
      <c r="E21" s="78" t="str">
        <f t="shared" si="5"/>
        <v>000</v>
      </c>
      <c r="F21" s="3">
        <v>643011</v>
      </c>
      <c r="G21" s="167" t="s">
        <v>258</v>
      </c>
      <c r="H21" s="87"/>
      <c r="I21" s="13">
        <v>3041</v>
      </c>
      <c r="J21" s="13">
        <v>8178</v>
      </c>
      <c r="L21" s="56">
        <v>1680</v>
      </c>
      <c r="M21" s="56"/>
      <c r="N21" s="56">
        <v>23716</v>
      </c>
      <c r="O21" s="56"/>
      <c r="P21" s="56">
        <v>32884</v>
      </c>
      <c r="Q21" s="56"/>
      <c r="R21" s="56">
        <v>32884</v>
      </c>
      <c r="S21" s="56"/>
      <c r="T21" s="56">
        <v>0</v>
      </c>
      <c r="U21" s="56"/>
      <c r="V21" s="56">
        <v>32884</v>
      </c>
      <c r="W21" s="56"/>
      <c r="X21" s="56">
        <v>13583.46</v>
      </c>
      <c r="Y21" s="56"/>
      <c r="Z21" s="56">
        <v>32884</v>
      </c>
      <c r="AA21" s="56"/>
      <c r="AB21" s="56">
        <v>0</v>
      </c>
      <c r="AC21" s="56"/>
      <c r="AD21" s="56">
        <v>12649</v>
      </c>
      <c r="AE21" s="56"/>
      <c r="AF21" s="56">
        <f t="shared" si="0"/>
        <v>45533</v>
      </c>
      <c r="AG21" s="56">
        <v>0</v>
      </c>
      <c r="AH21" s="56">
        <v>0</v>
      </c>
      <c r="AI21" s="56"/>
      <c r="AJ21" s="56">
        <f t="shared" si="1"/>
        <v>45533</v>
      </c>
      <c r="AK21" s="85"/>
      <c r="AL21" s="56">
        <v>-5000</v>
      </c>
      <c r="AM21" s="56"/>
      <c r="AN21" s="88">
        <f t="shared" si="2"/>
        <v>40533</v>
      </c>
      <c r="AO21" s="88">
        <v>0</v>
      </c>
      <c r="AP21" s="88">
        <v>10460.719999999999</v>
      </c>
      <c r="AQ21" s="56"/>
      <c r="AR21" s="56">
        <v>0</v>
      </c>
      <c r="AS21" s="56"/>
      <c r="AT21" s="56">
        <v>15647.76</v>
      </c>
      <c r="AU21" s="56"/>
      <c r="AV21" s="56">
        <f t="shared" si="3"/>
        <v>26108.48</v>
      </c>
      <c r="AW21" s="56"/>
      <c r="AX21" s="56">
        <v>0</v>
      </c>
      <c r="AY21" s="56"/>
      <c r="AZ21" s="88">
        <v>35533</v>
      </c>
      <c r="BA21" s="56">
        <v>46406</v>
      </c>
      <c r="BB21" s="214"/>
      <c r="BC21" s="56"/>
      <c r="BD21" s="84">
        <f t="shared" si="4"/>
        <v>-30072.28</v>
      </c>
      <c r="BE21" s="56"/>
      <c r="BF21" s="56"/>
      <c r="BG21" s="56"/>
      <c r="BH21" s="72"/>
    </row>
    <row r="22" spans="1:62" ht="20.100000000000001" customHeight="1" outlineLevel="1">
      <c r="A22" s="77" t="s">
        <v>43</v>
      </c>
      <c r="B22" s="77" t="s">
        <v>203</v>
      </c>
      <c r="C22" s="77" t="s">
        <v>1097</v>
      </c>
      <c r="D22" s="78" t="s">
        <v>46</v>
      </c>
      <c r="E22" s="78" t="str">
        <f t="shared" si="5"/>
        <v>000</v>
      </c>
      <c r="F22" s="3">
        <v>658211</v>
      </c>
      <c r="G22" s="167" t="s">
        <v>72</v>
      </c>
      <c r="H22" s="87"/>
      <c r="I22" s="13">
        <v>11643</v>
      </c>
      <c r="J22" s="13">
        <v>14574</v>
      </c>
      <c r="L22" s="56">
        <v>19113</v>
      </c>
      <c r="M22" s="56"/>
      <c r="N22" s="56">
        <v>16954</v>
      </c>
      <c r="O22" s="56"/>
      <c r="P22" s="56">
        <v>16954</v>
      </c>
      <c r="Q22" s="56"/>
      <c r="R22" s="56">
        <v>16954</v>
      </c>
      <c r="S22" s="56"/>
      <c r="T22" s="56">
        <v>0</v>
      </c>
      <c r="U22" s="56"/>
      <c r="V22" s="56">
        <v>16954</v>
      </c>
      <c r="W22" s="56"/>
      <c r="X22" s="56">
        <v>31697.98</v>
      </c>
      <c r="Y22" s="56"/>
      <c r="Z22" s="56">
        <v>33418</v>
      </c>
      <c r="AA22" s="56"/>
      <c r="AB22" s="56">
        <v>0</v>
      </c>
      <c r="AC22" s="56"/>
      <c r="AD22" s="56">
        <v>0</v>
      </c>
      <c r="AE22" s="56"/>
      <c r="AF22" s="56">
        <f t="shared" si="0"/>
        <v>33418</v>
      </c>
      <c r="AG22" s="56">
        <v>0</v>
      </c>
      <c r="AH22" s="56">
        <v>0</v>
      </c>
      <c r="AI22" s="56"/>
      <c r="AJ22" s="56">
        <f t="shared" si="1"/>
        <v>33418</v>
      </c>
      <c r="AK22" s="85"/>
      <c r="AL22" s="56">
        <v>6000</v>
      </c>
      <c r="AM22" s="56"/>
      <c r="AN22" s="88">
        <f t="shared" si="2"/>
        <v>39418</v>
      </c>
      <c r="AO22" s="88">
        <v>0</v>
      </c>
      <c r="AP22" s="88">
        <v>26369.200000000001</v>
      </c>
      <c r="AQ22" s="56"/>
      <c r="AR22" s="56">
        <v>0</v>
      </c>
      <c r="AS22" s="56"/>
      <c r="AT22" s="56">
        <v>0</v>
      </c>
      <c r="AU22" s="56"/>
      <c r="AV22" s="56">
        <f t="shared" si="3"/>
        <v>26369.200000000001</v>
      </c>
      <c r="AW22" s="56"/>
      <c r="AX22" s="56">
        <v>0</v>
      </c>
      <c r="AY22" s="56"/>
      <c r="AZ22" s="88">
        <v>31418</v>
      </c>
      <c r="BA22" s="56">
        <v>31418</v>
      </c>
      <c r="BB22" s="214"/>
      <c r="BC22" s="56"/>
      <c r="BD22" s="84">
        <f t="shared" si="4"/>
        <v>-13048.8</v>
      </c>
      <c r="BE22" s="56"/>
      <c r="BF22" s="56"/>
      <c r="BG22" s="56"/>
      <c r="BH22" s="72"/>
    </row>
    <row r="23" spans="1:62" ht="20.100000000000001" customHeight="1" outlineLevel="1">
      <c r="A23" s="77" t="s">
        <v>43</v>
      </c>
      <c r="B23" s="77" t="s">
        <v>203</v>
      </c>
      <c r="C23" s="77" t="s">
        <v>1097</v>
      </c>
      <c r="D23" s="78" t="s">
        <v>46</v>
      </c>
      <c r="E23" s="78" t="str">
        <f t="shared" si="5"/>
        <v>000</v>
      </c>
      <c r="F23" s="3">
        <v>658212</v>
      </c>
      <c r="G23" s="167" t="s">
        <v>716</v>
      </c>
      <c r="H23" s="87"/>
      <c r="I23" s="13">
        <v>4405</v>
      </c>
      <c r="J23" s="13">
        <v>4599</v>
      </c>
      <c r="L23" s="56">
        <v>2842</v>
      </c>
      <c r="M23" s="56"/>
      <c r="N23" s="56">
        <v>5000</v>
      </c>
      <c r="O23" s="56"/>
      <c r="P23" s="56">
        <v>5000</v>
      </c>
      <c r="Q23" s="56"/>
      <c r="R23" s="56">
        <v>5000</v>
      </c>
      <c r="S23" s="56"/>
      <c r="T23" s="56">
        <v>0</v>
      </c>
      <c r="U23" s="56"/>
      <c r="V23" s="56">
        <v>5000</v>
      </c>
      <c r="W23" s="56"/>
      <c r="X23" s="56">
        <v>4640.9799999999996</v>
      </c>
      <c r="Y23" s="56"/>
      <c r="Z23" s="56">
        <v>5000</v>
      </c>
      <c r="AA23" s="56"/>
      <c r="AB23" s="56">
        <v>0</v>
      </c>
      <c r="AC23" s="56"/>
      <c r="AD23" s="56">
        <v>0</v>
      </c>
      <c r="AE23" s="56"/>
      <c r="AF23" s="56">
        <f t="shared" si="0"/>
        <v>5000</v>
      </c>
      <c r="AG23" s="56">
        <v>0</v>
      </c>
      <c r="AH23" s="56">
        <v>0</v>
      </c>
      <c r="AI23" s="56"/>
      <c r="AJ23" s="56">
        <f t="shared" si="1"/>
        <v>5000</v>
      </c>
      <c r="AK23" s="85"/>
      <c r="AL23" s="56">
        <v>0</v>
      </c>
      <c r="AM23" s="56"/>
      <c r="AN23" s="88">
        <f t="shared" si="2"/>
        <v>5000</v>
      </c>
      <c r="AO23" s="88">
        <v>0</v>
      </c>
      <c r="AP23" s="88">
        <v>4293.01</v>
      </c>
      <c r="AQ23" s="56"/>
      <c r="AR23" s="56">
        <v>0</v>
      </c>
      <c r="AS23" s="56"/>
      <c r="AT23" s="56">
        <v>0</v>
      </c>
      <c r="AU23" s="56"/>
      <c r="AV23" s="56">
        <f t="shared" si="3"/>
        <v>4293.01</v>
      </c>
      <c r="AW23" s="56"/>
      <c r="AX23" s="56">
        <v>0</v>
      </c>
      <c r="AY23" s="56"/>
      <c r="AZ23" s="88">
        <v>5000</v>
      </c>
      <c r="BA23" s="56">
        <v>2500</v>
      </c>
      <c r="BB23" s="214"/>
      <c r="BC23" s="56"/>
      <c r="BD23" s="84">
        <f t="shared" si="4"/>
        <v>-706.98999999999978</v>
      </c>
      <c r="BE23" s="56"/>
      <c r="BF23" s="56"/>
      <c r="BG23" s="56"/>
      <c r="BH23" s="72"/>
    </row>
    <row r="24" spans="1:62" ht="20.100000000000001" customHeight="1" outlineLevel="1">
      <c r="A24" s="77" t="s">
        <v>43</v>
      </c>
      <c r="B24" s="77" t="s">
        <v>203</v>
      </c>
      <c r="C24" s="77" t="s">
        <v>1097</v>
      </c>
      <c r="D24" s="78" t="s">
        <v>46</v>
      </c>
      <c r="E24" s="78" t="str">
        <f t="shared" si="5"/>
        <v>000</v>
      </c>
      <c r="F24" s="3">
        <v>661001</v>
      </c>
      <c r="G24" s="167" t="s">
        <v>73</v>
      </c>
      <c r="H24" s="87"/>
      <c r="I24" s="13">
        <v>71414</v>
      </c>
      <c r="J24" s="13">
        <v>48504</v>
      </c>
      <c r="L24" s="56">
        <v>50645</v>
      </c>
      <c r="M24" s="56"/>
      <c r="N24" s="56">
        <v>51501</v>
      </c>
      <c r="O24" s="56"/>
      <c r="P24" s="56">
        <v>54220</v>
      </c>
      <c r="Q24" s="56"/>
      <c r="R24" s="56">
        <v>54220</v>
      </c>
      <c r="S24" s="56"/>
      <c r="T24" s="56">
        <v>0</v>
      </c>
      <c r="U24" s="56"/>
      <c r="V24" s="56">
        <v>54220</v>
      </c>
      <c r="W24" s="56"/>
      <c r="X24" s="56">
        <v>64156.2</v>
      </c>
      <c r="Y24" s="56"/>
      <c r="Z24" s="56">
        <v>54220</v>
      </c>
      <c r="AA24" s="56"/>
      <c r="AB24" s="56">
        <v>0</v>
      </c>
      <c r="AC24" s="56"/>
      <c r="AD24" s="56">
        <v>935</v>
      </c>
      <c r="AE24" s="56"/>
      <c r="AF24" s="56">
        <f t="shared" si="0"/>
        <v>55155</v>
      </c>
      <c r="AG24" s="56">
        <v>0</v>
      </c>
      <c r="AH24" s="56">
        <v>0</v>
      </c>
      <c r="AI24" s="56"/>
      <c r="AJ24" s="56">
        <f t="shared" si="1"/>
        <v>55155</v>
      </c>
      <c r="AK24" s="85"/>
      <c r="AL24" s="56">
        <f>20000+5000</f>
        <v>25000</v>
      </c>
      <c r="AM24" s="56"/>
      <c r="AN24" s="88">
        <f t="shared" si="2"/>
        <v>80155</v>
      </c>
      <c r="AO24" s="88">
        <v>0</v>
      </c>
      <c r="AP24" s="88">
        <v>84556.01</v>
      </c>
      <c r="AQ24" s="56"/>
      <c r="AR24" s="56">
        <v>0</v>
      </c>
      <c r="AS24" s="56"/>
      <c r="AT24" s="56">
        <v>4804.4399999999996</v>
      </c>
      <c r="AU24" s="56"/>
      <c r="AV24" s="56">
        <f t="shared" si="3"/>
        <v>89360.45</v>
      </c>
      <c r="AW24" s="56"/>
      <c r="AX24" s="56">
        <v>15000</v>
      </c>
      <c r="AY24" s="56"/>
      <c r="AZ24" s="88">
        <v>65000</v>
      </c>
      <c r="BA24" s="56">
        <v>87117</v>
      </c>
      <c r="BB24" s="214"/>
      <c r="BC24" s="56"/>
      <c r="BD24" s="84">
        <f t="shared" si="4"/>
        <v>4401.0099999999948</v>
      </c>
      <c r="BE24" s="56"/>
      <c r="BF24" s="56"/>
      <c r="BG24" s="56"/>
      <c r="BH24" s="72"/>
    </row>
    <row r="25" spans="1:62" ht="20.100000000000001" customHeight="1" outlineLevel="1">
      <c r="A25" s="77" t="s">
        <v>43</v>
      </c>
      <c r="B25" s="77" t="s">
        <v>203</v>
      </c>
      <c r="C25" s="77" t="s">
        <v>1097</v>
      </c>
      <c r="D25" s="78" t="s">
        <v>46</v>
      </c>
      <c r="E25" s="78" t="str">
        <f t="shared" si="5"/>
        <v>000</v>
      </c>
      <c r="F25" s="3">
        <v>661029</v>
      </c>
      <c r="G25" s="167" t="s">
        <v>717</v>
      </c>
      <c r="H25" s="87"/>
      <c r="I25" s="13">
        <v>0</v>
      </c>
      <c r="J25" s="13">
        <v>1584</v>
      </c>
      <c r="L25" s="56">
        <v>411</v>
      </c>
      <c r="M25" s="56"/>
      <c r="N25" s="56">
        <v>5000</v>
      </c>
      <c r="O25" s="56"/>
      <c r="P25" s="56">
        <v>5000</v>
      </c>
      <c r="Q25" s="56"/>
      <c r="R25" s="56">
        <v>5000</v>
      </c>
      <c r="S25" s="56"/>
      <c r="T25" s="56">
        <v>0</v>
      </c>
      <c r="U25" s="56"/>
      <c r="V25" s="56">
        <v>5000</v>
      </c>
      <c r="W25" s="56"/>
      <c r="X25" s="56">
        <v>537.1</v>
      </c>
      <c r="Y25" s="56"/>
      <c r="Z25" s="56">
        <v>5000</v>
      </c>
      <c r="AA25" s="56"/>
      <c r="AB25" s="89">
        <v>32500</v>
      </c>
      <c r="AC25" s="56"/>
      <c r="AD25" s="56">
        <v>0</v>
      </c>
      <c r="AE25" s="56"/>
      <c r="AF25" s="56">
        <f t="shared" si="0"/>
        <v>37500</v>
      </c>
      <c r="AG25" s="56">
        <v>0</v>
      </c>
      <c r="AH25" s="56">
        <v>0</v>
      </c>
      <c r="AI25" s="56"/>
      <c r="AJ25" s="56">
        <f t="shared" si="1"/>
        <v>37500</v>
      </c>
      <c r="AK25" s="85"/>
      <c r="AL25" s="56">
        <v>0</v>
      </c>
      <c r="AM25" s="56"/>
      <c r="AN25" s="88">
        <f t="shared" si="2"/>
        <v>37500</v>
      </c>
      <c r="AO25" s="88">
        <v>0</v>
      </c>
      <c r="AP25" s="88">
        <v>32876</v>
      </c>
      <c r="AQ25" s="56"/>
      <c r="AR25" s="56">
        <v>0</v>
      </c>
      <c r="AS25" s="56"/>
      <c r="AT25" s="56">
        <v>0</v>
      </c>
      <c r="AU25" s="56"/>
      <c r="AV25" s="56">
        <f t="shared" si="3"/>
        <v>32876</v>
      </c>
      <c r="AW25" s="56"/>
      <c r="AX25" s="56">
        <v>0</v>
      </c>
      <c r="AY25" s="56"/>
      <c r="AZ25" s="88">
        <v>40000</v>
      </c>
      <c r="BA25" s="56">
        <v>35000</v>
      </c>
      <c r="BB25" s="214"/>
      <c r="BC25" s="56"/>
      <c r="BD25" s="84">
        <f t="shared" si="4"/>
        <v>-4624</v>
      </c>
      <c r="BE25" s="56"/>
      <c r="BF25" s="56"/>
      <c r="BG25" s="56"/>
      <c r="BH25" s="72"/>
    </row>
    <row r="26" spans="1:62" ht="20.100000000000001" customHeight="1" outlineLevel="1">
      <c r="A26" s="77" t="s">
        <v>43</v>
      </c>
      <c r="B26" s="77" t="s">
        <v>203</v>
      </c>
      <c r="C26" s="77" t="s">
        <v>1097</v>
      </c>
      <c r="D26" s="78" t="s">
        <v>46</v>
      </c>
      <c r="E26" s="78" t="str">
        <f>+D26</f>
        <v>000</v>
      </c>
      <c r="F26" s="3">
        <v>673001</v>
      </c>
      <c r="G26" s="167" t="s">
        <v>57</v>
      </c>
      <c r="H26" s="87"/>
      <c r="I26" s="13">
        <v>23158</v>
      </c>
      <c r="J26" s="13">
        <v>40278</v>
      </c>
      <c r="L26" s="56">
        <v>25492</v>
      </c>
      <c r="M26" s="56"/>
      <c r="N26" s="56">
        <v>53944</v>
      </c>
      <c r="O26" s="56"/>
      <c r="P26" s="56">
        <v>53996</v>
      </c>
      <c r="Q26" s="56"/>
      <c r="R26" s="56">
        <v>53996</v>
      </c>
      <c r="S26" s="56"/>
      <c r="T26" s="56">
        <v>0</v>
      </c>
      <c r="U26" s="56"/>
      <c r="V26" s="56">
        <v>53996</v>
      </c>
      <c r="W26" s="56"/>
      <c r="X26" s="56">
        <v>26689.91</v>
      </c>
      <c r="Y26" s="56"/>
      <c r="Z26" s="56">
        <v>53996</v>
      </c>
      <c r="AA26" s="56"/>
      <c r="AB26" s="56">
        <v>0</v>
      </c>
      <c r="AC26" s="56"/>
      <c r="AD26" s="56">
        <v>8016</v>
      </c>
      <c r="AE26" s="56"/>
      <c r="AF26" s="56">
        <f>SUM(Z26:AE26)</f>
        <v>62012</v>
      </c>
      <c r="AG26" s="56">
        <v>0</v>
      </c>
      <c r="AH26" s="56">
        <v>0</v>
      </c>
      <c r="AI26" s="56"/>
      <c r="AJ26" s="56">
        <f>SUM(AE26:AI26)</f>
        <v>62012</v>
      </c>
      <c r="AK26" s="85"/>
      <c r="AL26" s="56">
        <f>-6000-40000-5000</f>
        <v>-51000</v>
      </c>
      <c r="AM26" s="56"/>
      <c r="AN26" s="88">
        <f>SUM(AI26:AM26)</f>
        <v>11012</v>
      </c>
      <c r="AO26" s="88">
        <v>0</v>
      </c>
      <c r="AP26" s="88">
        <v>0</v>
      </c>
      <c r="AQ26" s="56"/>
      <c r="AR26" s="56">
        <v>0</v>
      </c>
      <c r="AS26" s="56"/>
      <c r="AT26" s="56">
        <v>0</v>
      </c>
      <c r="AU26" s="56"/>
      <c r="AV26" s="56">
        <f>SUM(AP26:AU26)</f>
        <v>0</v>
      </c>
      <c r="AW26" s="56"/>
      <c r="AX26" s="56">
        <v>0</v>
      </c>
      <c r="AY26" s="56"/>
      <c r="AZ26" s="88">
        <v>15000</v>
      </c>
      <c r="BA26" s="56">
        <v>5000</v>
      </c>
      <c r="BB26" s="214"/>
      <c r="BC26" s="56"/>
      <c r="BD26" s="84">
        <f>+AP26-AN26</f>
        <v>-11012</v>
      </c>
      <c r="BE26" s="56"/>
      <c r="BF26" s="56"/>
      <c r="BG26" s="56"/>
      <c r="BH26" s="72"/>
    </row>
    <row r="27" spans="1:62" ht="20.100000000000001" customHeight="1" outlineLevel="1">
      <c r="A27" s="77" t="s">
        <v>43</v>
      </c>
      <c r="B27" s="77" t="s">
        <v>216</v>
      </c>
      <c r="C27" s="77" t="s">
        <v>1097</v>
      </c>
      <c r="D27" s="78" t="s">
        <v>46</v>
      </c>
      <c r="E27" s="78" t="str">
        <f>+D27</f>
        <v>000</v>
      </c>
      <c r="F27" s="3">
        <v>611116</v>
      </c>
      <c r="G27" s="167" t="s">
        <v>712</v>
      </c>
      <c r="H27" s="87"/>
      <c r="I27" s="13">
        <v>73729</v>
      </c>
      <c r="J27" s="13">
        <v>74492</v>
      </c>
      <c r="L27" s="56">
        <v>80486</v>
      </c>
      <c r="M27" s="56"/>
      <c r="N27" s="56">
        <v>88853</v>
      </c>
      <c r="O27" s="56"/>
      <c r="P27" s="56">
        <v>88853</v>
      </c>
      <c r="Q27" s="56"/>
      <c r="R27" s="56">
        <v>90553</v>
      </c>
      <c r="S27" s="56"/>
      <c r="T27" s="56">
        <v>0</v>
      </c>
      <c r="U27" s="56"/>
      <c r="V27" s="56">
        <v>90553</v>
      </c>
      <c r="W27" s="56"/>
      <c r="X27" s="56">
        <v>90553</v>
      </c>
      <c r="Y27" s="56"/>
      <c r="Z27" s="56">
        <v>90497</v>
      </c>
      <c r="AA27" s="56"/>
      <c r="AB27" s="56">
        <v>0</v>
      </c>
      <c r="AC27" s="56"/>
      <c r="AD27" s="56">
        <v>0</v>
      </c>
      <c r="AE27" s="56"/>
      <c r="AF27" s="56">
        <f>SUM(Z27:AE27)</f>
        <v>90497</v>
      </c>
      <c r="AG27" s="56">
        <v>0</v>
      </c>
      <c r="AH27" s="56">
        <v>1250</v>
      </c>
      <c r="AI27" s="56"/>
      <c r="AJ27" s="56">
        <f>SUM(AE27:AI27)</f>
        <v>91747</v>
      </c>
      <c r="AK27" s="85"/>
      <c r="AL27" s="56">
        <v>0</v>
      </c>
      <c r="AM27" s="56"/>
      <c r="AN27" s="88">
        <f>SUM(AI27:AM27)</f>
        <v>91747</v>
      </c>
      <c r="AO27" s="88">
        <v>0</v>
      </c>
      <c r="AP27" s="88">
        <v>90497</v>
      </c>
      <c r="AQ27" s="56"/>
      <c r="AR27" s="56">
        <v>0</v>
      </c>
      <c r="AS27" s="56"/>
      <c r="AT27" s="56">
        <v>0</v>
      </c>
      <c r="AU27" s="56"/>
      <c r="AV27" s="56">
        <f>SUM(AP27:AU27)</f>
        <v>90497</v>
      </c>
      <c r="AW27" s="56"/>
      <c r="AX27" s="56">
        <v>0</v>
      </c>
      <c r="AY27" s="56"/>
      <c r="AZ27" s="88">
        <v>90497</v>
      </c>
      <c r="BA27" s="56">
        <v>90497</v>
      </c>
      <c r="BB27" s="214"/>
      <c r="BC27" s="56"/>
      <c r="BD27" s="84">
        <f>+AP27-AN27</f>
        <v>-1250</v>
      </c>
      <c r="BE27" s="56"/>
      <c r="BF27" s="56"/>
      <c r="BG27" s="56"/>
      <c r="BH27" s="72">
        <v>1</v>
      </c>
      <c r="BJ27">
        <v>1</v>
      </c>
    </row>
    <row r="28" spans="1:62" ht="20.100000000000001" customHeight="1" outlineLevel="1">
      <c r="A28" s="77" t="s">
        <v>43</v>
      </c>
      <c r="B28" s="77" t="s">
        <v>216</v>
      </c>
      <c r="C28" s="77" t="s">
        <v>1097</v>
      </c>
      <c r="D28" s="78" t="s">
        <v>46</v>
      </c>
      <c r="E28" s="78" t="str">
        <f>+D28</f>
        <v>000</v>
      </c>
      <c r="F28" s="3">
        <v>611411</v>
      </c>
      <c r="G28" s="167" t="s">
        <v>80</v>
      </c>
      <c r="H28" s="87"/>
      <c r="I28" s="13">
        <v>68230</v>
      </c>
      <c r="J28" s="13">
        <v>76468</v>
      </c>
      <c r="L28" s="56">
        <v>86711</v>
      </c>
      <c r="M28" s="56"/>
      <c r="N28" s="56">
        <v>80000</v>
      </c>
      <c r="O28" s="56"/>
      <c r="P28" s="56">
        <v>80000</v>
      </c>
      <c r="Q28" s="56"/>
      <c r="R28" s="56">
        <v>105100</v>
      </c>
      <c r="S28" s="56"/>
      <c r="T28" s="56">
        <v>0</v>
      </c>
      <c r="U28" s="56"/>
      <c r="V28" s="56">
        <v>105100</v>
      </c>
      <c r="W28" s="56"/>
      <c r="X28" s="56">
        <v>124484.78</v>
      </c>
      <c r="Y28" s="56"/>
      <c r="Z28" s="56">
        <v>80000</v>
      </c>
      <c r="AA28" s="56"/>
      <c r="AB28" s="56">
        <v>0</v>
      </c>
      <c r="AC28" s="56"/>
      <c r="AD28" s="56">
        <v>0</v>
      </c>
      <c r="AE28" s="56"/>
      <c r="AF28" s="56">
        <f>SUM(Z28:AE28)</f>
        <v>80000</v>
      </c>
      <c r="AG28" s="104">
        <v>12000</v>
      </c>
      <c r="AH28" s="56">
        <f>4*2250</f>
        <v>9000</v>
      </c>
      <c r="AI28" s="56"/>
      <c r="AJ28" s="56">
        <f>SUM(AE28:AI28)</f>
        <v>101000</v>
      </c>
      <c r="AK28" s="85"/>
      <c r="AL28" s="56">
        <v>0</v>
      </c>
      <c r="AM28" s="56"/>
      <c r="AN28" s="88">
        <f>SUM(AI28:AM28)</f>
        <v>101000</v>
      </c>
      <c r="AO28" s="88">
        <v>0</v>
      </c>
      <c r="AP28" s="88">
        <v>173865.49</v>
      </c>
      <c r="AQ28" s="56"/>
      <c r="AR28" s="56">
        <v>0</v>
      </c>
      <c r="AS28" s="56"/>
      <c r="AT28" s="56">
        <v>0</v>
      </c>
      <c r="AU28" s="56"/>
      <c r="AV28" s="56">
        <f>SUM(AP28:AU28)</f>
        <v>173865.49</v>
      </c>
      <c r="AW28" s="56"/>
      <c r="AX28" s="106">
        <v>58000</v>
      </c>
      <c r="AY28" s="56"/>
      <c r="AZ28" s="88">
        <v>110000</v>
      </c>
      <c r="BA28" s="56">
        <v>140000</v>
      </c>
      <c r="BB28" s="214"/>
      <c r="BC28" s="56"/>
      <c r="BD28" s="84">
        <f>+AP28-AN28</f>
        <v>72865.489999999991</v>
      </c>
      <c r="BE28" s="56"/>
      <c r="BF28" s="56"/>
      <c r="BG28" s="56"/>
      <c r="BH28" s="72">
        <v>1</v>
      </c>
      <c r="BJ28">
        <v>1</v>
      </c>
    </row>
    <row r="29" spans="1:62" ht="20.100000000000001" customHeight="1" outlineLevel="1">
      <c r="A29" s="77" t="s">
        <v>43</v>
      </c>
      <c r="B29" s="77" t="s">
        <v>216</v>
      </c>
      <c r="C29" s="77" t="s">
        <v>1097</v>
      </c>
      <c r="D29" s="78" t="s">
        <v>46</v>
      </c>
      <c r="E29" s="78" t="str">
        <f>+D29</f>
        <v>000</v>
      </c>
      <c r="F29" s="3">
        <v>653051</v>
      </c>
      <c r="G29" s="167" t="s">
        <v>71</v>
      </c>
      <c r="H29" s="87"/>
      <c r="I29" s="13"/>
      <c r="J29" s="13"/>
      <c r="L29" s="56">
        <v>0</v>
      </c>
      <c r="M29" s="56"/>
      <c r="N29" s="56"/>
      <c r="O29" s="56"/>
      <c r="P29" s="56"/>
      <c r="Q29" s="56"/>
      <c r="R29" s="56"/>
      <c r="S29" s="56"/>
      <c r="T29" s="56"/>
      <c r="U29" s="56"/>
      <c r="V29" s="56"/>
      <c r="W29" s="56"/>
      <c r="X29" s="56">
        <v>0</v>
      </c>
      <c r="Y29" s="56"/>
      <c r="Z29" s="56"/>
      <c r="AA29" s="56"/>
      <c r="AB29" s="56"/>
      <c r="AC29" s="56"/>
      <c r="AD29" s="56"/>
      <c r="AE29" s="56"/>
      <c r="AF29" s="56"/>
      <c r="AG29" s="56"/>
      <c r="AH29" s="56"/>
      <c r="AI29" s="56"/>
      <c r="AJ29" s="56"/>
      <c r="AK29" s="85"/>
      <c r="AL29" s="56"/>
      <c r="AM29" s="56"/>
      <c r="AN29" s="88">
        <v>0</v>
      </c>
      <c r="AO29" s="88"/>
      <c r="AP29" s="88">
        <v>518.51</v>
      </c>
      <c r="AQ29" s="56"/>
      <c r="AR29" s="56"/>
      <c r="AS29" s="56"/>
      <c r="AT29" s="56"/>
      <c r="AU29" s="56"/>
      <c r="AV29" s="56"/>
      <c r="AW29" s="56"/>
      <c r="AX29" s="56"/>
      <c r="AY29" s="56"/>
      <c r="AZ29" s="88">
        <v>0</v>
      </c>
      <c r="BA29" s="56">
        <v>475</v>
      </c>
      <c r="BB29" s="214"/>
      <c r="BC29" s="56"/>
      <c r="BD29" s="84"/>
      <c r="BE29" s="56"/>
      <c r="BF29" s="56"/>
      <c r="BG29" s="56"/>
      <c r="BH29" s="72"/>
    </row>
    <row r="30" spans="1:62" ht="20.100000000000001" customHeight="1" outlineLevel="1">
      <c r="A30" s="77" t="s">
        <v>43</v>
      </c>
      <c r="B30" s="77" t="s">
        <v>218</v>
      </c>
      <c r="C30" s="77" t="s">
        <v>1097</v>
      </c>
      <c r="D30" s="78" t="s">
        <v>46</v>
      </c>
      <c r="E30" s="78" t="str">
        <f>+D30</f>
        <v>000</v>
      </c>
      <c r="F30" s="3">
        <v>611914</v>
      </c>
      <c r="G30" s="167" t="s">
        <v>713</v>
      </c>
      <c r="H30" s="87"/>
      <c r="I30" s="13">
        <v>55884</v>
      </c>
      <c r="J30" s="13">
        <v>80973</v>
      </c>
      <c r="L30" s="56">
        <v>128445</v>
      </c>
      <c r="M30" s="56"/>
      <c r="N30" s="56">
        <v>138461</v>
      </c>
      <c r="O30" s="56"/>
      <c r="P30" s="56">
        <v>138461</v>
      </c>
      <c r="Q30" s="56"/>
      <c r="R30" s="56">
        <v>141861</v>
      </c>
      <c r="S30" s="56"/>
      <c r="T30" s="56">
        <v>0</v>
      </c>
      <c r="U30" s="56"/>
      <c r="V30" s="56">
        <v>141861</v>
      </c>
      <c r="W30" s="56"/>
      <c r="X30" s="56">
        <v>151218.49</v>
      </c>
      <c r="Y30" s="56"/>
      <c r="Z30" s="56">
        <v>140762</v>
      </c>
      <c r="AA30" s="56"/>
      <c r="AB30" s="56">
        <v>0</v>
      </c>
      <c r="AC30" s="56"/>
      <c r="AD30" s="56">
        <v>0</v>
      </c>
      <c r="AE30" s="56"/>
      <c r="AF30" s="56">
        <f>SUM(Z30:AE30)</f>
        <v>140762</v>
      </c>
      <c r="AG30" s="56">
        <v>0</v>
      </c>
      <c r="AH30" s="56">
        <v>2500</v>
      </c>
      <c r="AI30" s="56"/>
      <c r="AJ30" s="56">
        <f>SUM(AE30:AI30)</f>
        <v>143262</v>
      </c>
      <c r="AK30" s="85"/>
      <c r="AL30" s="56">
        <v>0</v>
      </c>
      <c r="AM30" s="56"/>
      <c r="AN30" s="88">
        <f>SUM(AI30:AM30)</f>
        <v>143262</v>
      </c>
      <c r="AO30" s="88">
        <v>0</v>
      </c>
      <c r="AP30" s="88">
        <v>140760.95999999999</v>
      </c>
      <c r="AQ30" s="56"/>
      <c r="AR30" s="56">
        <v>0</v>
      </c>
      <c r="AS30" s="56"/>
      <c r="AT30" s="56">
        <v>0</v>
      </c>
      <c r="AU30" s="56"/>
      <c r="AV30" s="56">
        <f>SUM(AP30:AU30)</f>
        <v>140760.95999999999</v>
      </c>
      <c r="AW30" s="56"/>
      <c r="AX30" s="56">
        <v>0</v>
      </c>
      <c r="AY30" s="56"/>
      <c r="AZ30" s="88">
        <v>140761</v>
      </c>
      <c r="BA30" s="56">
        <v>140761</v>
      </c>
      <c r="BB30" s="214"/>
      <c r="BC30" s="56"/>
      <c r="BD30" s="84">
        <f>+AP30-AN30</f>
        <v>-2501.0400000000081</v>
      </c>
      <c r="BE30" s="56"/>
      <c r="BF30" s="56"/>
      <c r="BG30" s="56"/>
      <c r="BH30" s="72">
        <v>1</v>
      </c>
      <c r="BJ30">
        <v>1</v>
      </c>
    </row>
    <row r="31" spans="1:62" ht="20.100000000000001" customHeight="1">
      <c r="B31" s="77"/>
      <c r="C31" s="77"/>
      <c r="D31" s="90"/>
      <c r="E31" s="90"/>
      <c r="F31" s="3"/>
      <c r="G31" s="110" t="s">
        <v>718</v>
      </c>
      <c r="H31" s="81"/>
      <c r="I31" s="92">
        <v>475195</v>
      </c>
      <c r="J31" s="93">
        <v>452857</v>
      </c>
      <c r="L31" s="125">
        <f>SUBTOTAL(9,L11:L30)</f>
        <v>629240</v>
      </c>
      <c r="M31" s="126"/>
      <c r="N31" s="125">
        <v>931107</v>
      </c>
      <c r="O31" s="126"/>
      <c r="P31" s="125">
        <v>980407</v>
      </c>
      <c r="Q31" s="126"/>
      <c r="R31" s="125">
        <v>1047466</v>
      </c>
      <c r="S31" s="95"/>
      <c r="T31" s="94">
        <v>0</v>
      </c>
      <c r="U31" s="126"/>
      <c r="V31" s="125">
        <v>1047466</v>
      </c>
      <c r="W31" s="126"/>
      <c r="X31" s="125">
        <f>SUBTOTAL(9,X11:X30)</f>
        <v>831744.52</v>
      </c>
      <c r="Y31" s="126"/>
      <c r="Z31" s="125">
        <f>SUBTOTAL(9,Z11:Z30)</f>
        <v>1037675</v>
      </c>
      <c r="AA31" s="126"/>
      <c r="AB31" s="125">
        <f>SUBTOTAL(9,AB11:AB30)</f>
        <v>32500</v>
      </c>
      <c r="AC31" s="126"/>
      <c r="AD31" s="125">
        <f>SUBTOTAL(9,AD11:AD30)</f>
        <v>27395</v>
      </c>
      <c r="AE31" s="126"/>
      <c r="AF31" s="125">
        <f>SUBTOTAL(9,AF11:AF30)</f>
        <v>1097570</v>
      </c>
      <c r="AG31" s="125">
        <f>SUBTOTAL(9,AG11:AG30)</f>
        <v>77000</v>
      </c>
      <c r="AH31" s="125">
        <f>SUBTOTAL(9,AH11:AH30)</f>
        <v>12750</v>
      </c>
      <c r="AI31" s="126"/>
      <c r="AJ31" s="125">
        <f>SUBTOTAL(9,AJ11:AJ30)</f>
        <v>1187320</v>
      </c>
      <c r="AK31" s="96"/>
      <c r="AL31" s="125">
        <f>SUBTOTAL(9,AL11:AL30)</f>
        <v>-5000</v>
      </c>
      <c r="AM31" s="126"/>
      <c r="AN31" s="125">
        <f>SUBTOTAL(9,AN11:AN30)</f>
        <v>1182320</v>
      </c>
      <c r="AO31" s="127">
        <f>SUBTOTAL(9,AO11:AO30)</f>
        <v>0</v>
      </c>
      <c r="AP31" s="125">
        <f>SUBTOTAL(9,AP18:AP30)</f>
        <v>1043130.1399999999</v>
      </c>
      <c r="AQ31" s="126"/>
      <c r="AR31" s="125">
        <f>SUBTOTAL(9,AR11:AR30)</f>
        <v>0</v>
      </c>
      <c r="AS31" s="126"/>
      <c r="AT31" s="125">
        <f>SUBTOTAL(9,AT11:AT30)</f>
        <v>25102.2</v>
      </c>
      <c r="AU31" s="126"/>
      <c r="AV31" s="125">
        <f>SUBTOTAL(9,AV11:AV30)</f>
        <v>1099902.96</v>
      </c>
      <c r="AW31" s="126"/>
      <c r="AX31" s="125">
        <f>SUBTOTAL(9,AX11:AX30)</f>
        <v>53000</v>
      </c>
      <c r="AY31" s="126"/>
      <c r="AZ31" s="125">
        <f>SUBTOTAL(9,AZ18:AZ30)</f>
        <v>1069181</v>
      </c>
      <c r="BA31" s="125">
        <f>SUBTOTAL(9,BA18:BA30)</f>
        <v>1117786</v>
      </c>
      <c r="BB31" s="214"/>
      <c r="BC31" s="56"/>
      <c r="BD31" s="98">
        <f t="shared" si="4"/>
        <v>-139189.8600000001</v>
      </c>
      <c r="BE31" s="126"/>
      <c r="BF31" s="126"/>
      <c r="BG31" s="126"/>
    </row>
    <row r="38" spans="18:63">
      <c r="R38" s="7">
        <v>420044982</v>
      </c>
      <c r="BI38" s="211"/>
      <c r="BJ38" s="7"/>
      <c r="BK38" s="7"/>
    </row>
    <row r="39" spans="18:63">
      <c r="BI39" s="211"/>
      <c r="BJ39" s="7"/>
    </row>
  </sheetData>
  <autoFilter ref="A9:BH31"/>
  <mergeCells count="8">
    <mergeCell ref="A8:E8"/>
    <mergeCell ref="AG2:AH2"/>
    <mergeCell ref="AG3:AH3"/>
    <mergeCell ref="AG4:AH4"/>
    <mergeCell ref="AB4:AD4"/>
    <mergeCell ref="A6:F6"/>
    <mergeCell ref="A7:F7"/>
    <mergeCell ref="AB5:AD5"/>
  </mergeCells>
  <phoneticPr fontId="3" type="noConversion"/>
  <conditionalFormatting sqref="F1:F1048576">
    <cfRule type="cellIs" dxfId="20" priority="1" stopIfTrue="1" operator="between">
      <formula>610000</formula>
      <formula>619999</formula>
    </cfRule>
  </conditionalFormatting>
  <pageMargins left="0.54" right="0.25" top="0.24" bottom="0.49" header="0.25" footer="0"/>
  <pageSetup scale="76" fitToHeight="0" orientation="landscape" r:id="rId1"/>
  <headerFooter alignWithMargins="0">
    <oddFooter>&amp;C&amp;8Detail of Expenditures Budget By Department, Page &amp;P of &amp;N</oddFooter>
  </headerFooter>
  <legacyDrawing r:id="rId2"/>
</worksheet>
</file>

<file path=xl/worksheets/sheet18.xml><?xml version="1.0" encoding="utf-8"?>
<worksheet xmlns="http://schemas.openxmlformats.org/spreadsheetml/2006/main" xmlns:r="http://schemas.openxmlformats.org/officeDocument/2006/relationships">
  <sheetPr codeName="Sheet15" enableFormatConditionsCalculation="0">
    <tabColor indexed="17"/>
    <pageSetUpPr fitToPage="1"/>
  </sheetPr>
  <dimension ref="A1:BJ43"/>
  <sheetViews>
    <sheetView zoomScale="87" zoomScaleNormal="90" workbookViewId="0">
      <pane xSplit="8" ySplit="9" topLeftCell="AN10" activePane="bottomRight" state="frozen"/>
      <selection activeCell="A28" sqref="A28"/>
      <selection pane="topRight" activeCell="A28" sqref="A28"/>
      <selection pane="bottomLeft" activeCell="A28" sqref="A28"/>
      <selection pane="bottomRight"/>
    </sheetView>
  </sheetViews>
  <sheetFormatPr defaultRowHeight="12.75" outlineLevelRow="1" outlineLevelCol="1"/>
  <cols>
    <col min="1" max="1" width="7" style="39" customWidth="1" outlineLevel="1"/>
    <col min="2" max="2" width="6.140625" style="39" customWidth="1" outlineLevel="1"/>
    <col min="3" max="3" width="3.7109375" style="39" customWidth="1" outlineLevel="1"/>
    <col min="4" max="5" width="4.85546875" style="168" customWidth="1" outlineLevel="1"/>
    <col min="6" max="6" width="8.7109375" style="40" customWidth="1" outlineLevel="1"/>
    <col min="7" max="7" width="28.5703125" style="4" customWidth="1"/>
    <col min="8" max="8" width="16.5703125" style="4" hidden="1" customWidth="1"/>
    <col min="9" max="10" width="15.140625" style="4" hidden="1" customWidth="1" collapsed="1"/>
    <col min="11" max="11" width="39.5703125" style="4" hidden="1" customWidth="1"/>
    <col min="12" max="12" width="15.140625" style="7" bestFit="1" customWidth="1" collapsed="1"/>
    <col min="13" max="13" width="31.7109375" style="7" hidden="1" customWidth="1"/>
    <col min="14" max="14" width="35.5703125" style="7" hidden="1" customWidth="1" collapsed="1"/>
    <col min="15" max="15" width="0.140625" style="7" customWidth="1"/>
    <col min="16" max="16" width="25.28515625" style="7" hidden="1" customWidth="1" outlineLevel="1" collapsed="1"/>
    <col min="17" max="17" width="23.42578125" style="7" hidden="1" customWidth="1" outlineLevel="1"/>
    <col min="18" max="18" width="20.5703125" style="7" hidden="1" customWidth="1" outlineLevel="1" collapsed="1"/>
    <col min="19" max="19" width="18" style="7" hidden="1" customWidth="1" outlineLevel="1"/>
    <col min="20" max="20" width="19.5703125" style="7" hidden="1" customWidth="1" outlineLevel="1"/>
    <col min="21" max="21" width="18.42578125" style="7" hidden="1" customWidth="1" outlineLevel="1"/>
    <col min="22" max="22" width="13.140625" style="7" hidden="1" customWidth="1"/>
    <col min="23" max="23" width="14.140625" style="7" hidden="1" customWidth="1"/>
    <col min="24" max="24" width="14.5703125" style="7" customWidth="1" collapsed="1"/>
    <col min="25" max="25" width="0.85546875" style="7" hidden="1" customWidth="1"/>
    <col min="26" max="26" width="16.140625" style="7" hidden="1" customWidth="1"/>
    <col min="27" max="27" width="0.140625" style="7" hidden="1" customWidth="1"/>
    <col min="28" max="28" width="16.140625" style="7" hidden="1" customWidth="1" outlineLevel="1"/>
    <col min="29" max="29" width="0.42578125" style="7" hidden="1" customWidth="1" outlineLevel="1"/>
    <col min="30" max="30" width="17.85546875" style="7" hidden="1" customWidth="1" outlineLevel="1"/>
    <col min="31" max="31" width="0.42578125" style="7" hidden="1" customWidth="1" outlineLevel="1"/>
    <col min="32" max="32" width="16.140625" style="7" hidden="1" customWidth="1" collapsed="1"/>
    <col min="33" max="33" width="16" style="7" hidden="1" customWidth="1" outlineLevel="1"/>
    <col min="34" max="34" width="17" style="7" hidden="1" customWidth="1" outlineLevel="1"/>
    <col min="35" max="35" width="10.5703125" style="7" hidden="1" customWidth="1" outlineLevel="1"/>
    <col min="36" max="36" width="16.140625" style="7" hidden="1" customWidth="1" collapsed="1"/>
    <col min="37" max="37" width="0.7109375" style="7" hidden="1" customWidth="1"/>
    <col min="38" max="38" width="16.140625" style="7" hidden="1" customWidth="1" outlineLevel="1"/>
    <col min="39" max="39" width="4.140625" style="7" hidden="1" customWidth="1" outlineLevel="1"/>
    <col min="40" max="40" width="16.140625" style="17" customWidth="1" collapsed="1"/>
    <col min="41" max="41" width="16.140625" style="17" hidden="1" customWidth="1" collapsed="1"/>
    <col min="42" max="42" width="16.140625" style="17" customWidth="1" collapsed="1"/>
    <col min="43" max="43" width="0.7109375" style="7" hidden="1" customWidth="1" outlineLevel="1"/>
    <col min="44" max="44" width="22.140625" style="7" hidden="1" customWidth="1" outlineLevel="1"/>
    <col min="45" max="45" width="0.42578125" style="7" hidden="1" customWidth="1" outlineLevel="1"/>
    <col min="46" max="46" width="17.85546875" style="7" hidden="1" customWidth="1" outlineLevel="1"/>
    <col min="47" max="47" width="0.42578125" style="7" hidden="1" customWidth="1" outlineLevel="1"/>
    <col min="48" max="48" width="18" style="7" hidden="1" customWidth="1" collapsed="1"/>
    <col min="49" max="49" width="0.5703125" style="7" hidden="1" customWidth="1"/>
    <col min="50" max="50" width="18" style="7" hidden="1" customWidth="1"/>
    <col min="51" max="51" width="0.5703125" style="7" customWidth="1"/>
    <col min="52" max="52" width="15.140625" style="7" customWidth="1"/>
    <col min="53" max="53" width="15.7109375" style="7" bestFit="1" customWidth="1"/>
    <col min="54" max="54" width="15.140625" style="7" customWidth="1"/>
    <col min="55" max="55" width="23.140625" style="7" customWidth="1"/>
    <col min="56" max="56" width="19.85546875" style="7" bestFit="1" customWidth="1"/>
    <col min="57" max="59" width="12.42578125" style="7" customWidth="1"/>
    <col min="60" max="60" width="3.85546875" style="76" customWidth="1"/>
    <col min="61" max="61" width="14.5703125" style="12" bestFit="1" customWidth="1"/>
  </cols>
  <sheetData>
    <row r="1" spans="1:62" ht="15">
      <c r="A1" s="1" t="s">
        <v>0</v>
      </c>
      <c r="B1" s="2"/>
      <c r="C1" s="2"/>
      <c r="D1" s="1"/>
      <c r="E1" s="1"/>
      <c r="F1" s="3"/>
      <c r="H1" s="5"/>
      <c r="I1" s="6"/>
      <c r="T1" s="8"/>
      <c r="Z1" s="9"/>
      <c r="AB1" s="9"/>
      <c r="AD1" s="9"/>
      <c r="AF1" s="9"/>
      <c r="AH1" s="10" t="e">
        <f>+#REF!</f>
        <v>#REF!</v>
      </c>
      <c r="AJ1" s="9"/>
      <c r="AK1" s="9"/>
      <c r="AN1" s="9"/>
      <c r="AO1" s="9"/>
      <c r="AP1" s="9"/>
      <c r="AR1" s="9"/>
      <c r="AT1" s="9"/>
      <c r="AV1" s="9"/>
      <c r="AW1" s="9"/>
      <c r="AX1" s="9"/>
      <c r="AY1" s="9"/>
      <c r="AZ1" s="9"/>
      <c r="BA1" s="9"/>
      <c r="BB1" s="9"/>
      <c r="BC1" s="9"/>
      <c r="BD1" s="9"/>
      <c r="BE1" s="9"/>
      <c r="BF1" s="9"/>
      <c r="BG1" s="9"/>
      <c r="BH1" s="11"/>
    </row>
    <row r="2" spans="1:62" ht="15">
      <c r="A2" s="1" t="s">
        <v>1053</v>
      </c>
      <c r="B2" s="2"/>
      <c r="C2" s="2"/>
      <c r="D2" s="1"/>
      <c r="E2" s="1"/>
      <c r="F2" s="3"/>
      <c r="H2" s="5"/>
      <c r="I2" s="13"/>
      <c r="J2" s="14"/>
      <c r="K2" s="14"/>
      <c r="L2" s="15"/>
      <c r="M2" s="15"/>
      <c r="N2" s="15"/>
      <c r="O2" s="15"/>
      <c r="P2" s="15"/>
      <c r="R2" s="15"/>
      <c r="T2" s="8"/>
      <c r="V2" s="15"/>
      <c r="X2" s="15"/>
      <c r="Z2" s="15"/>
      <c r="AB2" s="15"/>
      <c r="AD2" s="15"/>
      <c r="AF2" s="15"/>
      <c r="AG2" s="238" t="s">
        <v>1</v>
      </c>
      <c r="AH2" s="238"/>
      <c r="AI2" s="17"/>
      <c r="AJ2" s="18"/>
      <c r="AK2" s="15"/>
      <c r="AL2" s="10" t="e">
        <f>+#REF!</f>
        <v>#REF!</v>
      </c>
      <c r="AN2" s="18"/>
      <c r="AO2" s="18"/>
      <c r="AP2" s="18"/>
      <c r="AR2" s="15"/>
      <c r="AT2" s="15"/>
      <c r="AV2" s="15"/>
      <c r="AW2" s="15"/>
      <c r="AX2" s="15"/>
      <c r="AY2" s="15"/>
      <c r="AZ2" s="15"/>
      <c r="BA2" s="15"/>
      <c r="BB2" s="15"/>
      <c r="BC2" s="15"/>
      <c r="BD2" s="15"/>
      <c r="BE2" s="15"/>
      <c r="BF2" s="15"/>
      <c r="BG2" s="15"/>
      <c r="BH2" s="19"/>
    </row>
    <row r="3" spans="1:62">
      <c r="A3" s="20" t="str">
        <f>IF(G7=1,"DETAIL OF EXPENDITURES BUDGET BY DEPARTMENT WITH COMPARATIVE AMOUNTS", "SUMMARY OF EXPENDITURES BUDGET BY DEPARTMENT WITH COMPARATIVE AMOUNTS")</f>
        <v>DETAIL OF EXPENDITURES BUDGET BY DEPARTMENT WITH COMPARATIVE AMOUNTS</v>
      </c>
      <c r="B3" s="21"/>
      <c r="C3" s="21"/>
      <c r="D3" s="22"/>
      <c r="E3" s="22"/>
      <c r="F3" s="3"/>
      <c r="H3" s="5"/>
      <c r="I3" s="23"/>
      <c r="J3" s="15"/>
      <c r="L3" s="15"/>
      <c r="M3" s="10"/>
      <c r="N3" s="10"/>
      <c r="O3" s="10"/>
      <c r="P3" s="24"/>
      <c r="R3" s="24"/>
      <c r="V3" s="24"/>
      <c r="W3" s="24"/>
      <c r="X3" s="15"/>
      <c r="Y3" s="24"/>
      <c r="AA3" s="24"/>
      <c r="AB3" s="24" t="e">
        <f>+#REF!</f>
        <v>#REF!</v>
      </c>
      <c r="AC3" s="24"/>
      <c r="AD3" s="24" t="e">
        <f>+#REF!</f>
        <v>#REF!</v>
      </c>
      <c r="AE3" s="24"/>
      <c r="AF3" s="10" t="e">
        <f>+#REF!</f>
        <v>#REF!</v>
      </c>
      <c r="AG3" s="239" t="s">
        <v>2</v>
      </c>
      <c r="AH3" s="239"/>
      <c r="AI3" s="25"/>
      <c r="AJ3" s="25" t="e">
        <f>+#REF!</f>
        <v>#REF!</v>
      </c>
      <c r="AK3" s="24"/>
      <c r="AL3" s="16" t="s">
        <v>1</v>
      </c>
      <c r="AM3" s="25"/>
      <c r="AN3" s="25"/>
      <c r="AO3" s="25"/>
      <c r="AP3" s="25"/>
      <c r="AQ3" s="24"/>
      <c r="AR3" s="24" t="e">
        <f>+#REF!</f>
        <v>#REF!</v>
      </c>
      <c r="AS3" s="24"/>
      <c r="AT3" s="24" t="e">
        <f>+#REF!</f>
        <v>#REF!</v>
      </c>
      <c r="AU3" s="24"/>
      <c r="AV3" s="24" t="e">
        <f>+#REF!</f>
        <v>#REF!</v>
      </c>
      <c r="AW3" s="24"/>
      <c r="AX3" s="24" t="e">
        <f>+#REF!</f>
        <v>#REF!</v>
      </c>
      <c r="AY3" s="24"/>
      <c r="AZ3" s="24"/>
      <c r="BA3" s="24"/>
      <c r="BB3" s="24"/>
      <c r="BC3" s="24"/>
      <c r="BD3" s="26"/>
      <c r="BE3" s="26"/>
      <c r="BF3" s="26"/>
      <c r="BG3" s="26"/>
      <c r="BH3" s="27"/>
    </row>
    <row r="4" spans="1:62" ht="15">
      <c r="A4" s="28" t="s">
        <v>1070</v>
      </c>
      <c r="B4" s="29"/>
      <c r="C4" s="29"/>
      <c r="D4" s="28"/>
      <c r="E4" s="28"/>
      <c r="F4" s="3"/>
      <c r="H4" s="30"/>
      <c r="I4" s="31" t="e">
        <f>+#REF!</f>
        <v>#REF!</v>
      </c>
      <c r="J4" s="31" t="e">
        <f>+#REF!</f>
        <v>#REF!</v>
      </c>
      <c r="L4" s="31"/>
      <c r="M4" s="32"/>
      <c r="N4" s="33"/>
      <c r="O4" s="32"/>
      <c r="P4" s="33"/>
      <c r="R4" s="33"/>
      <c r="T4" s="33"/>
      <c r="X4" s="31"/>
      <c r="Z4" s="10"/>
      <c r="AB4" s="241"/>
      <c r="AC4" s="241"/>
      <c r="AD4" s="241"/>
      <c r="AE4" s="35"/>
      <c r="AF4" s="34"/>
      <c r="AG4" s="240"/>
      <c r="AH4" s="240"/>
      <c r="AI4" s="17"/>
      <c r="AJ4" s="16"/>
      <c r="AK4" s="24"/>
      <c r="AL4" s="16"/>
      <c r="AM4" s="17"/>
      <c r="AN4" s="31"/>
      <c r="AO4" s="31"/>
      <c r="AP4" s="31"/>
      <c r="AR4" s="34" t="s">
        <v>5</v>
      </c>
      <c r="AU4" s="35"/>
      <c r="AV4" s="34"/>
      <c r="AW4" s="34"/>
      <c r="AX4" s="34" t="s">
        <v>5</v>
      </c>
      <c r="AY4" s="34"/>
      <c r="AZ4" s="34"/>
      <c r="BA4" s="34"/>
      <c r="BB4" s="34"/>
      <c r="BC4" s="34"/>
      <c r="BD4" s="37"/>
      <c r="BE4" s="37"/>
      <c r="BF4" s="37"/>
      <c r="BG4" s="37"/>
      <c r="BH4" s="38"/>
    </row>
    <row r="5" spans="1:62" ht="15">
      <c r="B5" s="29"/>
      <c r="C5" s="29"/>
      <c r="D5" s="28"/>
      <c r="E5" s="28"/>
      <c r="G5" s="28"/>
      <c r="H5" s="5"/>
      <c r="I5" s="41" t="s">
        <v>6</v>
      </c>
      <c r="J5" s="42" t="s">
        <v>7</v>
      </c>
      <c r="L5" s="16" t="s">
        <v>8</v>
      </c>
      <c r="M5" s="16"/>
      <c r="N5" s="16" t="s">
        <v>9</v>
      </c>
      <c r="O5" s="16"/>
      <c r="P5" s="16" t="s">
        <v>9</v>
      </c>
      <c r="Q5" s="17"/>
      <c r="R5" s="43"/>
      <c r="S5" s="17"/>
      <c r="T5" s="16"/>
      <c r="U5" s="17"/>
      <c r="V5" s="16" t="s">
        <v>9</v>
      </c>
      <c r="X5" s="16" t="s">
        <v>9</v>
      </c>
      <c r="Z5" s="34" t="s">
        <v>1</v>
      </c>
      <c r="AB5" s="243" t="s">
        <v>10</v>
      </c>
      <c r="AC5" s="243"/>
      <c r="AD5" s="243"/>
      <c r="AE5" s="35"/>
      <c r="AF5" s="34" t="s">
        <v>1</v>
      </c>
      <c r="AG5" s="17"/>
      <c r="AH5" s="16" t="s">
        <v>11</v>
      </c>
      <c r="AI5" s="17"/>
      <c r="AJ5" s="16" t="s">
        <v>1</v>
      </c>
      <c r="AK5" s="24"/>
      <c r="AL5" s="43" t="s">
        <v>12</v>
      </c>
      <c r="AM5" s="17"/>
      <c r="AN5" s="16" t="s">
        <v>1</v>
      </c>
      <c r="AO5" s="45" t="s">
        <v>1</v>
      </c>
      <c r="AP5" s="46" t="s">
        <v>5</v>
      </c>
      <c r="AQ5" s="47"/>
      <c r="AR5" s="48" t="s">
        <v>10</v>
      </c>
      <c r="AS5" s="47"/>
      <c r="AT5" s="47"/>
      <c r="AU5" s="47"/>
      <c r="AV5" s="46" t="s">
        <v>5</v>
      </c>
      <c r="AW5" s="34"/>
      <c r="AX5" s="49" t="s">
        <v>3</v>
      </c>
      <c r="AY5" s="34"/>
      <c r="AZ5" s="16" t="s">
        <v>1054</v>
      </c>
      <c r="BA5" s="16" t="s">
        <v>1054</v>
      </c>
      <c r="BB5" s="34" t="s">
        <v>1069</v>
      </c>
      <c r="BC5" s="34"/>
      <c r="BD5" s="50" t="s">
        <v>13</v>
      </c>
      <c r="BE5" s="37"/>
      <c r="BF5" s="37"/>
      <c r="BG5" s="37"/>
      <c r="BH5" s="51"/>
    </row>
    <row r="6" spans="1:62">
      <c r="A6" s="242"/>
      <c r="B6" s="242"/>
      <c r="C6" s="242"/>
      <c r="D6" s="242"/>
      <c r="E6" s="242"/>
      <c r="F6" s="242"/>
      <c r="G6" s="22"/>
      <c r="H6" s="5"/>
      <c r="I6" s="52" t="s">
        <v>14</v>
      </c>
      <c r="J6" s="52" t="s">
        <v>14</v>
      </c>
      <c r="L6" s="43" t="s">
        <v>14</v>
      </c>
      <c r="M6" s="43"/>
      <c r="N6" s="43" t="s">
        <v>15</v>
      </c>
      <c r="O6" s="43"/>
      <c r="P6" s="43" t="s">
        <v>4</v>
      </c>
      <c r="Q6" s="17"/>
      <c r="R6" s="43" t="s">
        <v>4</v>
      </c>
      <c r="S6" s="43"/>
      <c r="T6" s="43" t="s">
        <v>16</v>
      </c>
      <c r="U6" s="43"/>
      <c r="V6" s="43" t="s">
        <v>4</v>
      </c>
      <c r="W6" s="43"/>
      <c r="X6" s="43" t="s">
        <v>14</v>
      </c>
      <c r="Y6" s="43"/>
      <c r="Z6" s="34" t="s">
        <v>17</v>
      </c>
      <c r="AA6" s="43"/>
      <c r="AB6" s="53" t="s">
        <v>16</v>
      </c>
      <c r="AC6" s="53"/>
      <c r="AD6" s="34"/>
      <c r="AE6" s="53"/>
      <c r="AF6" s="34" t="s">
        <v>17</v>
      </c>
      <c r="AG6" s="43" t="s">
        <v>16</v>
      </c>
      <c r="AH6" s="16" t="s">
        <v>18</v>
      </c>
      <c r="AI6" s="43"/>
      <c r="AJ6" s="16" t="s">
        <v>19</v>
      </c>
      <c r="AK6" s="24"/>
      <c r="AL6" s="43" t="s">
        <v>16</v>
      </c>
      <c r="AM6" s="43"/>
      <c r="AN6" s="43" t="s">
        <v>14</v>
      </c>
      <c r="AO6" s="45" t="s">
        <v>20</v>
      </c>
      <c r="AP6" s="43" t="s">
        <v>14</v>
      </c>
      <c r="AQ6" s="54"/>
      <c r="AR6" s="54" t="s">
        <v>16</v>
      </c>
      <c r="AS6" s="54"/>
      <c r="AT6" s="46"/>
      <c r="AU6" s="54"/>
      <c r="AV6" s="46" t="s">
        <v>19</v>
      </c>
      <c r="AW6" s="34"/>
      <c r="AX6" s="55" t="s">
        <v>16</v>
      </c>
      <c r="AY6" s="34"/>
      <c r="AZ6" s="16" t="s">
        <v>17</v>
      </c>
      <c r="BA6" s="16" t="s">
        <v>17</v>
      </c>
      <c r="BB6" s="34" t="s">
        <v>19</v>
      </c>
      <c r="BC6" s="56"/>
      <c r="BD6" s="50" t="s">
        <v>21</v>
      </c>
      <c r="BE6" s="37"/>
      <c r="BF6" s="37"/>
      <c r="BG6" s="37"/>
      <c r="BH6" s="57"/>
    </row>
    <row r="7" spans="1:62" ht="15">
      <c r="A7" s="237"/>
      <c r="B7" s="237"/>
      <c r="C7" s="237"/>
      <c r="D7" s="237"/>
      <c r="E7" s="237"/>
      <c r="F7" s="237"/>
      <c r="G7" s="59">
        <v>1</v>
      </c>
      <c r="H7" s="60"/>
      <c r="I7" s="52" t="s">
        <v>22</v>
      </c>
      <c r="J7" s="52" t="s">
        <v>22</v>
      </c>
      <c r="L7" s="43" t="s">
        <v>22</v>
      </c>
      <c r="M7" s="43"/>
      <c r="N7" s="43" t="s">
        <v>23</v>
      </c>
      <c r="O7" s="43"/>
      <c r="P7" s="43" t="s">
        <v>24</v>
      </c>
      <c r="Q7" s="43"/>
      <c r="R7" s="43" t="s">
        <v>24</v>
      </c>
      <c r="S7" s="43"/>
      <c r="T7" s="43" t="s">
        <v>25</v>
      </c>
      <c r="U7" s="43"/>
      <c r="V7" s="43" t="s">
        <v>24</v>
      </c>
      <c r="W7" s="43"/>
      <c r="X7" s="43" t="s">
        <v>22</v>
      </c>
      <c r="Y7" s="43"/>
      <c r="Z7" s="53" t="s">
        <v>15</v>
      </c>
      <c r="AA7" s="43"/>
      <c r="AB7" s="53" t="s">
        <v>26</v>
      </c>
      <c r="AC7" s="53"/>
      <c r="AD7" s="53"/>
      <c r="AE7" s="53"/>
      <c r="AF7" s="53" t="s">
        <v>4</v>
      </c>
      <c r="AG7" s="43" t="s">
        <v>26</v>
      </c>
      <c r="AH7" s="43" t="s">
        <v>27</v>
      </c>
      <c r="AI7" s="43"/>
      <c r="AJ7" s="43" t="s">
        <v>4</v>
      </c>
      <c r="AK7" s="24"/>
      <c r="AL7" s="43" t="s">
        <v>26</v>
      </c>
      <c r="AM7" s="43"/>
      <c r="AN7" s="43" t="s">
        <v>22</v>
      </c>
      <c r="AO7" s="61" t="s">
        <v>22</v>
      </c>
      <c r="AP7" s="43" t="s">
        <v>22</v>
      </c>
      <c r="AQ7" s="54"/>
      <c r="AR7" s="54" t="s">
        <v>26</v>
      </c>
      <c r="AS7" s="54"/>
      <c r="AT7" s="54"/>
      <c r="AU7" s="54"/>
      <c r="AV7" s="54" t="s">
        <v>4</v>
      </c>
      <c r="AW7" s="53"/>
      <c r="AX7" s="55" t="s">
        <v>26</v>
      </c>
      <c r="AY7" s="53"/>
      <c r="AZ7" s="16" t="s">
        <v>15</v>
      </c>
      <c r="BA7" s="43" t="s">
        <v>4</v>
      </c>
      <c r="BB7" s="34" t="s">
        <v>15</v>
      </c>
      <c r="BC7" s="56"/>
      <c r="BD7" s="50" t="s">
        <v>28</v>
      </c>
      <c r="BE7" s="62"/>
      <c r="BF7" s="62"/>
      <c r="BG7" s="62"/>
      <c r="BH7" s="57"/>
      <c r="BI7" s="63"/>
    </row>
    <row r="8" spans="1:62" ht="15">
      <c r="A8" s="237" t="s">
        <v>29</v>
      </c>
      <c r="B8" s="237"/>
      <c r="C8" s="237"/>
      <c r="D8" s="237"/>
      <c r="E8" s="58"/>
      <c r="F8" s="64" t="s">
        <v>30</v>
      </c>
      <c r="G8" s="64" t="s">
        <v>31</v>
      </c>
      <c r="H8" s="60"/>
      <c r="I8" s="65" t="s">
        <v>32</v>
      </c>
      <c r="J8" s="65" t="s">
        <v>32</v>
      </c>
      <c r="L8" s="66" t="s">
        <v>32</v>
      </c>
      <c r="M8" s="36"/>
      <c r="N8" s="36" t="s">
        <v>2</v>
      </c>
      <c r="O8" s="36"/>
      <c r="P8" s="36" t="s">
        <v>33</v>
      </c>
      <c r="Q8" s="36"/>
      <c r="R8" s="36" t="s">
        <v>34</v>
      </c>
      <c r="S8" s="36"/>
      <c r="T8" s="36" t="s">
        <v>35</v>
      </c>
      <c r="U8" s="36"/>
      <c r="V8" s="36" t="s">
        <v>36</v>
      </c>
      <c r="W8" s="36"/>
      <c r="X8" s="66" t="s">
        <v>32</v>
      </c>
      <c r="Y8" s="36"/>
      <c r="Z8" s="44" t="s">
        <v>24</v>
      </c>
      <c r="AA8" s="36"/>
      <c r="AB8" s="44" t="s">
        <v>35</v>
      </c>
      <c r="AC8" s="44"/>
      <c r="AD8" s="44" t="s">
        <v>37</v>
      </c>
      <c r="AE8" s="44"/>
      <c r="AF8" s="44" t="s">
        <v>38</v>
      </c>
      <c r="AG8" s="36" t="s">
        <v>35</v>
      </c>
      <c r="AH8" s="36" t="s">
        <v>39</v>
      </c>
      <c r="AI8" s="36"/>
      <c r="AJ8" s="36" t="s">
        <v>40</v>
      </c>
      <c r="AK8" s="24"/>
      <c r="AL8" s="36" t="s">
        <v>35</v>
      </c>
      <c r="AM8" s="36"/>
      <c r="AN8" s="36" t="s">
        <v>32</v>
      </c>
      <c r="AO8" s="67" t="s">
        <v>32</v>
      </c>
      <c r="AP8" s="36" t="s">
        <v>32</v>
      </c>
      <c r="AQ8" s="48"/>
      <c r="AR8" s="48" t="s">
        <v>35</v>
      </c>
      <c r="AS8" s="48"/>
      <c r="AT8" s="48" t="s">
        <v>37</v>
      </c>
      <c r="AU8" s="48"/>
      <c r="AV8" s="48" t="s">
        <v>38</v>
      </c>
      <c r="AW8" s="44"/>
      <c r="AX8" s="49" t="s">
        <v>35</v>
      </c>
      <c r="AY8" s="44"/>
      <c r="AZ8" s="36" t="s">
        <v>2</v>
      </c>
      <c r="BA8" s="36" t="s">
        <v>40</v>
      </c>
      <c r="BB8" s="44" t="s">
        <v>2</v>
      </c>
      <c r="BC8" s="56"/>
      <c r="BD8" s="50" t="s">
        <v>41</v>
      </c>
      <c r="BE8" s="68"/>
      <c r="BF8" s="68"/>
      <c r="BG8" s="68"/>
      <c r="BH8" s="69"/>
    </row>
    <row r="9" spans="1:62" ht="15">
      <c r="A9" s="58"/>
      <c r="B9" s="58"/>
      <c r="C9" s="58"/>
      <c r="D9" s="64"/>
      <c r="E9" s="64"/>
      <c r="F9" s="64"/>
      <c r="G9" s="70"/>
      <c r="H9" s="60"/>
      <c r="J9" s="71"/>
      <c r="AK9" s="24"/>
      <c r="AZ9" s="34"/>
      <c r="BB9" s="34"/>
      <c r="BC9" s="56"/>
      <c r="BH9" s="72">
        <v>2</v>
      </c>
    </row>
    <row r="10" spans="1:62" ht="20.100000000000001" customHeight="1" outlineLevel="1">
      <c r="A10" s="75" t="s">
        <v>561</v>
      </c>
      <c r="B10" s="77"/>
      <c r="C10" s="77"/>
      <c r="D10" s="90"/>
      <c r="E10" s="90"/>
      <c r="F10" s="3"/>
      <c r="H10" s="87"/>
      <c r="L10" s="44"/>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5"/>
      <c r="AL10" s="83"/>
      <c r="AM10" s="83"/>
      <c r="AN10" s="100"/>
      <c r="AO10" s="100"/>
      <c r="AP10" s="100"/>
      <c r="AQ10" s="83"/>
      <c r="AR10" s="83"/>
      <c r="AS10" s="83"/>
      <c r="AT10" s="83"/>
      <c r="AU10" s="83"/>
      <c r="AV10" s="83"/>
      <c r="AW10" s="83"/>
      <c r="AX10" s="83"/>
      <c r="AY10" s="83"/>
      <c r="AZ10" s="83"/>
      <c r="BA10" s="83"/>
      <c r="BB10" s="83"/>
      <c r="BC10" s="56"/>
      <c r="BD10" s="83"/>
      <c r="BE10" s="83"/>
      <c r="BF10" s="83"/>
      <c r="BG10" s="83"/>
      <c r="BH10" s="19"/>
    </row>
    <row r="11" spans="1:62" ht="20.100000000000001" customHeight="1" outlineLevel="1">
      <c r="A11" s="77" t="s">
        <v>43</v>
      </c>
      <c r="B11" s="77" t="s">
        <v>203</v>
      </c>
      <c r="C11" s="77" t="s">
        <v>1087</v>
      </c>
      <c r="D11" s="78" t="s">
        <v>46</v>
      </c>
      <c r="E11" s="78" t="str">
        <f>+D11</f>
        <v>000</v>
      </c>
      <c r="F11" s="3">
        <v>661033</v>
      </c>
      <c r="G11" s="102" t="s">
        <v>325</v>
      </c>
      <c r="H11" s="87"/>
      <c r="I11" s="82">
        <v>0</v>
      </c>
      <c r="J11" s="82">
        <v>0</v>
      </c>
      <c r="L11" s="83">
        <v>0</v>
      </c>
      <c r="M11" s="83"/>
      <c r="N11" s="83">
        <v>1900</v>
      </c>
      <c r="O11" s="83"/>
      <c r="P11" s="83">
        <v>1900</v>
      </c>
      <c r="Q11" s="83"/>
      <c r="R11" s="83">
        <v>1900</v>
      </c>
      <c r="S11" s="83"/>
      <c r="T11" s="83">
        <v>0</v>
      </c>
      <c r="U11" s="83"/>
      <c r="V11" s="83">
        <v>1900</v>
      </c>
      <c r="W11" s="83"/>
      <c r="X11" s="83">
        <v>0</v>
      </c>
      <c r="Y11" s="83"/>
      <c r="Z11" s="83">
        <v>0</v>
      </c>
      <c r="AA11" s="83"/>
      <c r="AB11" s="83">
        <v>0</v>
      </c>
      <c r="AC11" s="83"/>
      <c r="AD11" s="83">
        <v>0</v>
      </c>
      <c r="AE11" s="83"/>
      <c r="AF11" s="84">
        <f t="shared" ref="AF11:AF42" si="0">SUM(Z11:AE11)</f>
        <v>0</v>
      </c>
      <c r="AG11" s="83">
        <v>0</v>
      </c>
      <c r="AH11" s="83">
        <v>0</v>
      </c>
      <c r="AI11" s="83"/>
      <c r="AJ11" s="84">
        <f t="shared" ref="AJ11:AJ42" si="1">SUM(AE11:AI11)</f>
        <v>0</v>
      </c>
      <c r="AK11" s="85"/>
      <c r="AL11" s="83">
        <v>0</v>
      </c>
      <c r="AM11" s="83"/>
      <c r="AN11" s="86">
        <f>SUM(AI11:AM11)</f>
        <v>0</v>
      </c>
      <c r="AO11" s="86">
        <v>0</v>
      </c>
      <c r="AP11" s="86">
        <v>0</v>
      </c>
      <c r="AQ11" s="83"/>
      <c r="AR11" s="83">
        <v>0</v>
      </c>
      <c r="AS11" s="83"/>
      <c r="AT11" s="83">
        <v>0</v>
      </c>
      <c r="AU11" s="83"/>
      <c r="AV11" s="84">
        <f t="shared" ref="AV11:AV42" si="2">SUM(AP11:AU11)</f>
        <v>0</v>
      </c>
      <c r="AW11" s="84"/>
      <c r="AX11" s="84">
        <v>0</v>
      </c>
      <c r="AY11" s="84"/>
      <c r="AZ11" s="86">
        <v>0</v>
      </c>
      <c r="BA11" s="84">
        <v>0</v>
      </c>
      <c r="BB11" s="214"/>
      <c r="BC11" s="56"/>
      <c r="BD11" s="84">
        <f t="shared" ref="BD11:BD43" si="3">+AP11-AN11</f>
        <v>0</v>
      </c>
      <c r="BE11" s="84"/>
      <c r="BF11" s="84"/>
      <c r="BG11" s="84"/>
      <c r="BH11" s="72"/>
    </row>
    <row r="12" spans="1:62" ht="20.100000000000001" customHeight="1" outlineLevel="1">
      <c r="A12" s="77" t="s">
        <v>43</v>
      </c>
      <c r="B12" s="77" t="s">
        <v>203</v>
      </c>
      <c r="C12" s="77" t="str">
        <f>+C11</f>
        <v>AW·</v>
      </c>
      <c r="D12" s="78" t="s">
        <v>46</v>
      </c>
      <c r="E12" s="78" t="str">
        <f t="shared" ref="E12:E42" si="4">+D12</f>
        <v>000</v>
      </c>
      <c r="F12" s="3">
        <v>664211</v>
      </c>
      <c r="G12" s="154" t="s">
        <v>562</v>
      </c>
      <c r="H12" s="87"/>
      <c r="I12" s="13">
        <v>2045310</v>
      </c>
      <c r="J12" s="13">
        <v>2494488</v>
      </c>
      <c r="L12" s="56">
        <v>44</v>
      </c>
      <c r="M12" s="56"/>
      <c r="N12" s="56">
        <v>0</v>
      </c>
      <c r="O12" s="56"/>
      <c r="P12" s="56">
        <v>0</v>
      </c>
      <c r="Q12" s="56"/>
      <c r="R12" s="56">
        <v>0</v>
      </c>
      <c r="S12" s="56"/>
      <c r="T12" s="56">
        <v>0</v>
      </c>
      <c r="U12" s="56"/>
      <c r="V12" s="56">
        <v>0</v>
      </c>
      <c r="W12" s="56"/>
      <c r="X12" s="56">
        <v>0</v>
      </c>
      <c r="Y12" s="56"/>
      <c r="Z12" s="56">
        <v>0</v>
      </c>
      <c r="AA12" s="56"/>
      <c r="AB12" s="56">
        <v>0</v>
      </c>
      <c r="AC12" s="56"/>
      <c r="AD12" s="56">
        <v>0</v>
      </c>
      <c r="AE12" s="56"/>
      <c r="AF12" s="56">
        <f t="shared" si="0"/>
        <v>0</v>
      </c>
      <c r="AG12" s="56">
        <v>0</v>
      </c>
      <c r="AH12" s="56">
        <v>0</v>
      </c>
      <c r="AI12" s="56"/>
      <c r="AJ12" s="56">
        <f t="shared" si="1"/>
        <v>0</v>
      </c>
      <c r="AK12" s="85"/>
      <c r="AL12" s="56">
        <v>0</v>
      </c>
      <c r="AM12" s="56"/>
      <c r="AN12" s="88">
        <f>SUM(AI12:AM12)</f>
        <v>0</v>
      </c>
      <c r="AO12" s="88">
        <v>0</v>
      </c>
      <c r="AP12" s="88">
        <v>0</v>
      </c>
      <c r="AQ12" s="56"/>
      <c r="AR12" s="56">
        <v>0</v>
      </c>
      <c r="AS12" s="56"/>
      <c r="AT12" s="56">
        <v>0</v>
      </c>
      <c r="AU12" s="56"/>
      <c r="AV12" s="56">
        <f t="shared" si="2"/>
        <v>0</v>
      </c>
      <c r="AW12" s="56"/>
      <c r="AX12" s="56">
        <v>0</v>
      </c>
      <c r="AY12" s="56"/>
      <c r="AZ12" s="88">
        <v>0</v>
      </c>
      <c r="BA12" s="56">
        <v>0</v>
      </c>
      <c r="BB12" s="214"/>
      <c r="BC12" s="56"/>
      <c r="BD12" s="84">
        <f t="shared" si="3"/>
        <v>0</v>
      </c>
      <c r="BE12" s="56"/>
      <c r="BF12" s="56"/>
      <c r="BG12" s="56"/>
      <c r="BH12" s="72"/>
    </row>
    <row r="13" spans="1:62" ht="20.100000000000001" customHeight="1" outlineLevel="1">
      <c r="A13" s="77" t="s">
        <v>43</v>
      </c>
      <c r="B13" s="77" t="s">
        <v>203</v>
      </c>
      <c r="C13" s="77" t="str">
        <f t="shared" ref="C13:C42" si="5">+C12</f>
        <v>AW·</v>
      </c>
      <c r="D13" s="78" t="s">
        <v>46</v>
      </c>
      <c r="E13" s="78" t="str">
        <f t="shared" si="4"/>
        <v>000</v>
      </c>
      <c r="F13" s="3">
        <v>664213</v>
      </c>
      <c r="G13" s="154" t="s">
        <v>563</v>
      </c>
      <c r="H13" s="87"/>
      <c r="I13" s="13">
        <v>80951</v>
      </c>
      <c r="J13" s="13">
        <v>78093</v>
      </c>
      <c r="L13" s="56">
        <v>0</v>
      </c>
      <c r="M13" s="56"/>
      <c r="N13" s="56">
        <v>0</v>
      </c>
      <c r="O13" s="56"/>
      <c r="P13" s="56">
        <v>0</v>
      </c>
      <c r="Q13" s="56"/>
      <c r="R13" s="56">
        <v>0</v>
      </c>
      <c r="S13" s="56"/>
      <c r="T13" s="56">
        <v>0</v>
      </c>
      <c r="U13" s="56"/>
      <c r="V13" s="56">
        <v>0</v>
      </c>
      <c r="W13" s="56"/>
      <c r="X13" s="56">
        <v>0</v>
      </c>
      <c r="Y13" s="56"/>
      <c r="Z13" s="56">
        <v>0</v>
      </c>
      <c r="AA13" s="56"/>
      <c r="AB13" s="56">
        <v>0</v>
      </c>
      <c r="AC13" s="56"/>
      <c r="AD13" s="56">
        <v>0</v>
      </c>
      <c r="AE13" s="56"/>
      <c r="AF13" s="56">
        <f t="shared" si="0"/>
        <v>0</v>
      </c>
      <c r="AG13" s="56">
        <v>0</v>
      </c>
      <c r="AH13" s="56">
        <v>0</v>
      </c>
      <c r="AI13" s="56"/>
      <c r="AJ13" s="56">
        <f t="shared" si="1"/>
        <v>0</v>
      </c>
      <c r="AK13" s="85"/>
      <c r="AL13" s="56">
        <v>0</v>
      </c>
      <c r="AM13" s="56"/>
      <c r="AN13" s="88">
        <f>SUM(AI13:AM13)</f>
        <v>0</v>
      </c>
      <c r="AO13" s="88">
        <v>0</v>
      </c>
      <c r="AP13" s="88">
        <v>0</v>
      </c>
      <c r="AQ13" s="56"/>
      <c r="AR13" s="56">
        <v>0</v>
      </c>
      <c r="AS13" s="56"/>
      <c r="AT13" s="56">
        <v>0</v>
      </c>
      <c r="AU13" s="56"/>
      <c r="AV13" s="56">
        <f t="shared" si="2"/>
        <v>0</v>
      </c>
      <c r="AW13" s="56"/>
      <c r="AX13" s="56">
        <v>0</v>
      </c>
      <c r="AY13" s="56"/>
      <c r="AZ13" s="88">
        <v>0</v>
      </c>
      <c r="BA13" s="56">
        <v>0</v>
      </c>
      <c r="BB13" s="214"/>
      <c r="BC13" s="56"/>
      <c r="BD13" s="84">
        <f t="shared" si="3"/>
        <v>0</v>
      </c>
      <c r="BE13" s="56"/>
      <c r="BF13" s="56"/>
      <c r="BG13" s="56"/>
      <c r="BH13" s="72"/>
    </row>
    <row r="14" spans="1:62" ht="20.100000000000001" customHeight="1" outlineLevel="1">
      <c r="A14" s="77" t="s">
        <v>43</v>
      </c>
      <c r="B14" s="77" t="s">
        <v>301</v>
      </c>
      <c r="C14" s="77" t="str">
        <f t="shared" si="5"/>
        <v>AW·</v>
      </c>
      <c r="D14" s="78" t="s">
        <v>46</v>
      </c>
      <c r="E14" s="78" t="str">
        <f t="shared" si="4"/>
        <v>000</v>
      </c>
      <c r="F14" s="3">
        <v>611214</v>
      </c>
      <c r="G14" s="102" t="s">
        <v>564</v>
      </c>
      <c r="H14" s="87"/>
      <c r="I14" s="13">
        <v>1083</v>
      </c>
      <c r="J14" s="13">
        <v>5520</v>
      </c>
      <c r="L14" s="56">
        <v>8012</v>
      </c>
      <c r="M14" s="56"/>
      <c r="N14" s="56">
        <v>5000</v>
      </c>
      <c r="O14" s="56"/>
      <c r="P14" s="56">
        <v>5000</v>
      </c>
      <c r="Q14" s="56"/>
      <c r="R14" s="56">
        <v>5000</v>
      </c>
      <c r="S14" s="56"/>
      <c r="T14" s="56">
        <v>0</v>
      </c>
      <c r="U14" s="56"/>
      <c r="V14" s="56">
        <v>5000</v>
      </c>
      <c r="W14" s="56"/>
      <c r="X14" s="56">
        <f>11500+5812</f>
        <v>17312</v>
      </c>
      <c r="Y14" s="56"/>
      <c r="Z14" s="56">
        <v>5000</v>
      </c>
      <c r="AA14" s="56"/>
      <c r="AB14" s="56">
        <v>0</v>
      </c>
      <c r="AC14" s="56"/>
      <c r="AD14" s="56">
        <v>0</v>
      </c>
      <c r="AE14" s="56"/>
      <c r="AF14" s="56">
        <f t="shared" si="0"/>
        <v>5000</v>
      </c>
      <c r="AG14" s="56">
        <v>0</v>
      </c>
      <c r="AH14" s="56">
        <v>0</v>
      </c>
      <c r="AI14" s="56"/>
      <c r="AJ14" s="56">
        <f t="shared" si="1"/>
        <v>5000</v>
      </c>
      <c r="AK14" s="85"/>
      <c r="AL14" s="56">
        <v>0</v>
      </c>
      <c r="AM14" s="56"/>
      <c r="AN14" s="88">
        <f>SUM(AI14:AM14)</f>
        <v>5000</v>
      </c>
      <c r="AO14" s="88">
        <v>0</v>
      </c>
      <c r="AP14" s="88">
        <v>0</v>
      </c>
      <c r="AQ14" s="56"/>
      <c r="AR14" s="56">
        <v>0</v>
      </c>
      <c r="AS14" s="56"/>
      <c r="AT14" s="56">
        <v>0</v>
      </c>
      <c r="AU14" s="56"/>
      <c r="AV14" s="56">
        <f t="shared" si="2"/>
        <v>0</v>
      </c>
      <c r="AW14" s="56"/>
      <c r="AX14" s="56">
        <v>0</v>
      </c>
      <c r="AY14" s="56"/>
      <c r="AZ14" s="88">
        <v>0</v>
      </c>
      <c r="BA14" s="56">
        <v>0</v>
      </c>
      <c r="BB14" s="214"/>
      <c r="BC14" s="56"/>
      <c r="BD14" s="84">
        <f t="shared" si="3"/>
        <v>-5000</v>
      </c>
      <c r="BE14" s="56"/>
      <c r="BF14" s="56"/>
      <c r="BG14" s="56"/>
      <c r="BH14" s="72">
        <v>1</v>
      </c>
      <c r="BJ14">
        <v>1</v>
      </c>
    </row>
    <row r="15" spans="1:62" ht="20.100000000000001" customHeight="1" outlineLevel="1">
      <c r="A15" s="77" t="s">
        <v>43</v>
      </c>
      <c r="B15" s="77" t="s">
        <v>301</v>
      </c>
      <c r="C15" s="77" t="str">
        <f t="shared" si="5"/>
        <v>AW·</v>
      </c>
      <c r="D15" s="78" t="s">
        <v>46</v>
      </c>
      <c r="E15" s="78" t="str">
        <f t="shared" si="4"/>
        <v>000</v>
      </c>
      <c r="F15" s="3">
        <v>634013</v>
      </c>
      <c r="G15" s="102" t="s">
        <v>565</v>
      </c>
      <c r="H15" s="87"/>
      <c r="I15" s="13">
        <v>122132</v>
      </c>
      <c r="J15" s="13">
        <v>146106</v>
      </c>
      <c r="L15" s="56">
        <v>138698</v>
      </c>
      <c r="M15" s="56"/>
      <c r="N15" s="56">
        <v>58250</v>
      </c>
      <c r="O15" s="56"/>
      <c r="P15" s="56">
        <v>58820</v>
      </c>
      <c r="Q15" s="56"/>
      <c r="R15" s="56">
        <v>58820</v>
      </c>
      <c r="S15" s="56"/>
      <c r="T15" s="56">
        <v>0</v>
      </c>
      <c r="U15" s="56"/>
      <c r="V15" s="56">
        <v>58820</v>
      </c>
      <c r="W15" s="56"/>
      <c r="X15" s="56">
        <v>110769.37</v>
      </c>
      <c r="Y15" s="56"/>
      <c r="Z15" s="56">
        <v>135000</v>
      </c>
      <c r="AA15" s="56"/>
      <c r="AB15" s="56">
        <v>0</v>
      </c>
      <c r="AC15" s="56"/>
      <c r="AD15" s="56">
        <v>0</v>
      </c>
      <c r="AE15" s="56"/>
      <c r="AF15" s="56">
        <f t="shared" si="0"/>
        <v>135000</v>
      </c>
      <c r="AG15" s="56">
        <v>0</v>
      </c>
      <c r="AH15" s="56">
        <v>0</v>
      </c>
      <c r="AI15" s="56"/>
      <c r="AJ15" s="56">
        <f t="shared" si="1"/>
        <v>135000</v>
      </c>
      <c r="AK15" s="85"/>
      <c r="AL15" s="56">
        <v>0</v>
      </c>
      <c r="AM15" s="56"/>
      <c r="AN15" s="88">
        <v>94490.01</v>
      </c>
      <c r="AO15" s="88">
        <v>0</v>
      </c>
      <c r="AP15" s="88">
        <v>192771.61</v>
      </c>
      <c r="AQ15" s="56"/>
      <c r="AR15" s="56">
        <v>0</v>
      </c>
      <c r="AS15" s="56"/>
      <c r="AT15" s="56">
        <v>0</v>
      </c>
      <c r="AU15" s="56"/>
      <c r="AV15" s="56">
        <f t="shared" si="2"/>
        <v>192771.61</v>
      </c>
      <c r="AW15" s="56"/>
      <c r="AX15" s="56">
        <v>0</v>
      </c>
      <c r="AY15" s="56"/>
      <c r="AZ15" s="88">
        <v>192200</v>
      </c>
      <c r="BA15" s="56">
        <v>192200</v>
      </c>
      <c r="BB15" s="214"/>
      <c r="BC15" s="56"/>
      <c r="BD15" s="84">
        <f t="shared" si="3"/>
        <v>98281.599999999991</v>
      </c>
      <c r="BE15" s="56"/>
      <c r="BF15" s="56"/>
      <c r="BG15" s="56"/>
      <c r="BH15" s="72"/>
    </row>
    <row r="16" spans="1:62" ht="20.100000000000001" customHeight="1" outlineLevel="1">
      <c r="A16" s="77" t="s">
        <v>43</v>
      </c>
      <c r="B16" s="77" t="s">
        <v>301</v>
      </c>
      <c r="C16" s="77" t="str">
        <f>+C15</f>
        <v>AW·</v>
      </c>
      <c r="D16" s="78" t="s">
        <v>46</v>
      </c>
      <c r="E16" s="78" t="str">
        <f t="shared" si="4"/>
        <v>000</v>
      </c>
      <c r="F16" s="3">
        <v>653051</v>
      </c>
      <c r="G16" s="102" t="s">
        <v>71</v>
      </c>
      <c r="H16" s="87"/>
      <c r="I16" s="13"/>
      <c r="J16" s="13"/>
      <c r="L16" s="56">
        <v>0</v>
      </c>
      <c r="M16" s="56"/>
      <c r="N16" s="56"/>
      <c r="O16" s="56"/>
      <c r="P16" s="56"/>
      <c r="Q16" s="56"/>
      <c r="R16" s="56"/>
      <c r="S16" s="56"/>
      <c r="T16" s="56"/>
      <c r="U16" s="56"/>
      <c r="V16" s="56"/>
      <c r="W16" s="56"/>
      <c r="X16" s="56">
        <v>0</v>
      </c>
      <c r="Y16" s="56"/>
      <c r="Z16" s="56"/>
      <c r="AA16" s="56"/>
      <c r="AB16" s="56"/>
      <c r="AC16" s="56"/>
      <c r="AD16" s="56"/>
      <c r="AE16" s="56"/>
      <c r="AF16" s="56"/>
      <c r="AG16" s="56"/>
      <c r="AH16" s="56"/>
      <c r="AI16" s="56"/>
      <c r="AJ16" s="56"/>
      <c r="AK16" s="85"/>
      <c r="AL16" s="56"/>
      <c r="AM16" s="56"/>
      <c r="AN16" s="88">
        <v>0</v>
      </c>
      <c r="AO16" s="88"/>
      <c r="AP16" s="88">
        <v>11.83</v>
      </c>
      <c r="AQ16" s="56"/>
      <c r="AR16" s="56"/>
      <c r="AS16" s="56"/>
      <c r="AT16" s="56"/>
      <c r="AU16" s="56"/>
      <c r="AV16" s="56"/>
      <c r="AW16" s="56"/>
      <c r="AX16" s="56"/>
      <c r="AY16" s="56"/>
      <c r="AZ16" s="88">
        <v>0</v>
      </c>
      <c r="BA16" s="56">
        <v>11</v>
      </c>
      <c r="BB16" s="214"/>
      <c r="BC16" s="56"/>
      <c r="BD16" s="84">
        <f t="shared" si="3"/>
        <v>11.83</v>
      </c>
      <c r="BE16" s="56"/>
      <c r="BF16" s="56"/>
      <c r="BG16" s="56"/>
      <c r="BH16" s="72"/>
    </row>
    <row r="17" spans="1:62" ht="20.100000000000001" customHeight="1" outlineLevel="1">
      <c r="A17" s="77" t="s">
        <v>43</v>
      </c>
      <c r="B17" s="77" t="s">
        <v>301</v>
      </c>
      <c r="C17" s="77" t="str">
        <f>+C15</f>
        <v>AW·</v>
      </c>
      <c r="D17" s="78" t="s">
        <v>46</v>
      </c>
      <c r="E17" s="78" t="str">
        <f t="shared" si="4"/>
        <v>000</v>
      </c>
      <c r="F17" s="3">
        <v>658211</v>
      </c>
      <c r="G17" s="102" t="s">
        <v>566</v>
      </c>
      <c r="H17" s="87"/>
      <c r="I17" s="13">
        <v>1780</v>
      </c>
      <c r="J17" s="13">
        <v>1769</v>
      </c>
      <c r="L17" s="56">
        <v>6243</v>
      </c>
      <c r="M17" s="56"/>
      <c r="N17" s="56">
        <v>6000</v>
      </c>
      <c r="O17" s="56"/>
      <c r="P17" s="56">
        <v>6000</v>
      </c>
      <c r="Q17" s="56"/>
      <c r="R17" s="56">
        <v>6000</v>
      </c>
      <c r="S17" s="56"/>
      <c r="T17" s="56">
        <v>3000</v>
      </c>
      <c r="U17" s="56"/>
      <c r="V17" s="56">
        <v>9000</v>
      </c>
      <c r="W17" s="56"/>
      <c r="X17" s="56">
        <v>5544.35</v>
      </c>
      <c r="Y17" s="56"/>
      <c r="Z17" s="56">
        <v>11000</v>
      </c>
      <c r="AA17" s="56"/>
      <c r="AB17" s="56">
        <v>0</v>
      </c>
      <c r="AC17" s="56"/>
      <c r="AD17" s="56">
        <v>0</v>
      </c>
      <c r="AE17" s="56"/>
      <c r="AF17" s="56">
        <f t="shared" si="0"/>
        <v>11000</v>
      </c>
      <c r="AG17" s="56">
        <v>0</v>
      </c>
      <c r="AH17" s="56">
        <v>0</v>
      </c>
      <c r="AI17" s="56"/>
      <c r="AJ17" s="56">
        <f t="shared" si="1"/>
        <v>11000</v>
      </c>
      <c r="AK17" s="85"/>
      <c r="AL17" s="56">
        <v>0</v>
      </c>
      <c r="AM17" s="56"/>
      <c r="AN17" s="88">
        <v>8519.9500000000007</v>
      </c>
      <c r="AO17" s="88">
        <v>0</v>
      </c>
      <c r="AP17" s="88">
        <v>4699.33</v>
      </c>
      <c r="AQ17" s="56"/>
      <c r="AR17" s="56">
        <v>0</v>
      </c>
      <c r="AS17" s="56"/>
      <c r="AT17" s="56">
        <v>0</v>
      </c>
      <c r="AU17" s="56"/>
      <c r="AV17" s="56">
        <f t="shared" si="2"/>
        <v>4699.33</v>
      </c>
      <c r="AW17" s="56"/>
      <c r="AX17" s="56">
        <v>0</v>
      </c>
      <c r="AY17" s="56"/>
      <c r="AZ17" s="88">
        <v>4000</v>
      </c>
      <c r="BA17" s="56">
        <v>6000</v>
      </c>
      <c r="BB17" s="214"/>
      <c r="BC17" s="56"/>
      <c r="BD17" s="84">
        <f t="shared" si="3"/>
        <v>-3820.6200000000008</v>
      </c>
      <c r="BE17" s="56"/>
      <c r="BF17" s="56"/>
      <c r="BG17" s="56"/>
      <c r="BH17" s="72"/>
    </row>
    <row r="18" spans="1:62" ht="20.100000000000001" customHeight="1" outlineLevel="1">
      <c r="A18" s="77" t="s">
        <v>43</v>
      </c>
      <c r="B18" s="77" t="s">
        <v>301</v>
      </c>
      <c r="C18" s="77" t="str">
        <f t="shared" si="5"/>
        <v>AW·</v>
      </c>
      <c r="D18" s="78" t="s">
        <v>46</v>
      </c>
      <c r="E18" s="78" t="str">
        <f t="shared" si="4"/>
        <v>000</v>
      </c>
      <c r="F18" s="3">
        <v>661028</v>
      </c>
      <c r="G18" s="102" t="s">
        <v>567</v>
      </c>
      <c r="H18" s="81"/>
      <c r="I18" s="13">
        <v>10985</v>
      </c>
      <c r="J18" s="13">
        <v>11328</v>
      </c>
      <c r="L18" s="56">
        <v>10125</v>
      </c>
      <c r="M18" s="56"/>
      <c r="N18" s="56">
        <v>15000</v>
      </c>
      <c r="O18" s="56"/>
      <c r="P18" s="56">
        <v>15000</v>
      </c>
      <c r="Q18" s="56"/>
      <c r="R18" s="56">
        <v>15000</v>
      </c>
      <c r="S18" s="56"/>
      <c r="T18" s="56">
        <v>0</v>
      </c>
      <c r="U18" s="56"/>
      <c r="V18" s="56">
        <v>15000</v>
      </c>
      <c r="W18" s="56"/>
      <c r="X18" s="56">
        <v>6479.14</v>
      </c>
      <c r="Y18" s="56"/>
      <c r="Z18" s="56">
        <v>11000</v>
      </c>
      <c r="AA18" s="56"/>
      <c r="AB18" s="56">
        <v>0</v>
      </c>
      <c r="AC18" s="56"/>
      <c r="AD18" s="56">
        <v>0</v>
      </c>
      <c r="AE18" s="56"/>
      <c r="AF18" s="56">
        <f t="shared" si="0"/>
        <v>11000</v>
      </c>
      <c r="AG18" s="56">
        <v>0</v>
      </c>
      <c r="AH18" s="56">
        <v>0</v>
      </c>
      <c r="AI18" s="56"/>
      <c r="AJ18" s="56">
        <f t="shared" si="1"/>
        <v>11000</v>
      </c>
      <c r="AK18" s="85"/>
      <c r="AL18" s="56">
        <v>0</v>
      </c>
      <c r="AM18" s="56"/>
      <c r="AN18" s="88">
        <v>5036</v>
      </c>
      <c r="AO18" s="88">
        <v>0</v>
      </c>
      <c r="AP18" s="88">
        <v>7886.23</v>
      </c>
      <c r="AQ18" s="56"/>
      <c r="AR18" s="56">
        <v>0</v>
      </c>
      <c r="AS18" s="56"/>
      <c r="AT18" s="56">
        <v>0</v>
      </c>
      <c r="AU18" s="56"/>
      <c r="AV18" s="56">
        <f t="shared" si="2"/>
        <v>7886.23</v>
      </c>
      <c r="AW18" s="56"/>
      <c r="AX18" s="56">
        <v>0</v>
      </c>
      <c r="AY18" s="56"/>
      <c r="AZ18" s="88">
        <v>7000</v>
      </c>
      <c r="BA18" s="56">
        <v>7000</v>
      </c>
      <c r="BB18" s="214"/>
      <c r="BC18" s="56"/>
      <c r="BD18" s="84">
        <f t="shared" si="3"/>
        <v>2850.2299999999996</v>
      </c>
      <c r="BE18" s="56"/>
      <c r="BF18" s="56"/>
      <c r="BG18" s="56"/>
      <c r="BH18" s="72"/>
    </row>
    <row r="19" spans="1:62" ht="20.100000000000001" customHeight="1" outlineLevel="1">
      <c r="A19" s="77" t="s">
        <v>43</v>
      </c>
      <c r="B19" s="77" t="s">
        <v>301</v>
      </c>
      <c r="C19" s="77" t="str">
        <f t="shared" si="5"/>
        <v>AW·</v>
      </c>
      <c r="D19" s="78" t="s">
        <v>46</v>
      </c>
      <c r="E19" s="78" t="str">
        <f t="shared" si="4"/>
        <v>000</v>
      </c>
      <c r="F19" s="3">
        <v>661053</v>
      </c>
      <c r="G19" s="102" t="s">
        <v>568</v>
      </c>
      <c r="H19" s="87"/>
      <c r="I19" s="13">
        <v>62530</v>
      </c>
      <c r="J19" s="13">
        <v>12689</v>
      </c>
      <c r="L19" s="56">
        <v>10594</v>
      </c>
      <c r="M19" s="56"/>
      <c r="N19" s="56">
        <v>11300</v>
      </c>
      <c r="O19" s="56"/>
      <c r="P19" s="56">
        <v>11300</v>
      </c>
      <c r="Q19" s="56"/>
      <c r="R19" s="56">
        <v>11300</v>
      </c>
      <c r="S19" s="56"/>
      <c r="T19" s="56">
        <v>-3000</v>
      </c>
      <c r="U19" s="56"/>
      <c r="V19" s="56">
        <v>8300</v>
      </c>
      <c r="W19" s="56"/>
      <c r="X19" s="56">
        <v>3452.81</v>
      </c>
      <c r="Y19" s="56"/>
      <c r="Z19" s="56">
        <v>63000</v>
      </c>
      <c r="AA19" s="56"/>
      <c r="AB19" s="56">
        <v>60000</v>
      </c>
      <c r="AC19" s="56"/>
      <c r="AD19" s="56">
        <v>0</v>
      </c>
      <c r="AE19" s="56"/>
      <c r="AF19" s="56">
        <f t="shared" si="0"/>
        <v>123000</v>
      </c>
      <c r="AG19" s="56">
        <v>0</v>
      </c>
      <c r="AH19" s="56">
        <v>0</v>
      </c>
      <c r="AI19" s="56"/>
      <c r="AJ19" s="56">
        <f t="shared" si="1"/>
        <v>123000</v>
      </c>
      <c r="AK19" s="85"/>
      <c r="AL19" s="56">
        <v>0</v>
      </c>
      <c r="AM19" s="56"/>
      <c r="AN19" s="88">
        <v>122490.8</v>
      </c>
      <c r="AO19" s="88">
        <v>0</v>
      </c>
      <c r="AP19" s="88">
        <v>54129.79</v>
      </c>
      <c r="AQ19" s="56"/>
      <c r="AR19" s="56">
        <v>0</v>
      </c>
      <c r="AS19" s="56"/>
      <c r="AT19" s="56">
        <v>0</v>
      </c>
      <c r="AU19" s="56"/>
      <c r="AV19" s="56">
        <f t="shared" si="2"/>
        <v>54129.79</v>
      </c>
      <c r="AW19" s="56"/>
      <c r="AX19" s="56">
        <v>2493</v>
      </c>
      <c r="AY19" s="56"/>
      <c r="AZ19" s="88">
        <v>27000</v>
      </c>
      <c r="BA19" s="56">
        <v>20000</v>
      </c>
      <c r="BB19" s="214"/>
      <c r="BC19" s="56"/>
      <c r="BD19" s="84">
        <f t="shared" si="3"/>
        <v>-68361.010000000009</v>
      </c>
      <c r="BE19" s="56"/>
      <c r="BF19" s="56"/>
      <c r="BG19" s="56"/>
      <c r="BH19" s="72"/>
    </row>
    <row r="20" spans="1:62" ht="20.100000000000001" customHeight="1" outlineLevel="1">
      <c r="A20" s="77" t="s">
        <v>43</v>
      </c>
      <c r="B20" s="77" t="s">
        <v>301</v>
      </c>
      <c r="C20" s="77" t="str">
        <f t="shared" si="5"/>
        <v>AW·</v>
      </c>
      <c r="D20" s="78" t="s">
        <v>46</v>
      </c>
      <c r="E20" s="78" t="str">
        <f t="shared" si="4"/>
        <v>000</v>
      </c>
      <c r="F20" s="3">
        <v>661056</v>
      </c>
      <c r="G20" s="102" t="s">
        <v>569</v>
      </c>
      <c r="H20" s="87"/>
      <c r="I20" s="13">
        <v>34244</v>
      </c>
      <c r="J20" s="13">
        <v>82013</v>
      </c>
      <c r="L20" s="56">
        <v>62690</v>
      </c>
      <c r="M20" s="56"/>
      <c r="N20" s="56">
        <v>45000</v>
      </c>
      <c r="O20" s="56"/>
      <c r="P20" s="56">
        <v>45388</v>
      </c>
      <c r="Q20" s="56"/>
      <c r="R20" s="56">
        <v>45388</v>
      </c>
      <c r="S20" s="56"/>
      <c r="T20" s="56">
        <v>57000</v>
      </c>
      <c r="U20" s="56"/>
      <c r="V20" s="56">
        <v>102388</v>
      </c>
      <c r="W20" s="56"/>
      <c r="X20" s="56">
        <v>103049.77</v>
      </c>
      <c r="Y20" s="56"/>
      <c r="Z20" s="56">
        <v>30400</v>
      </c>
      <c r="AA20" s="56"/>
      <c r="AB20" s="56">
        <v>0</v>
      </c>
      <c r="AC20" s="56"/>
      <c r="AD20" s="56">
        <v>0</v>
      </c>
      <c r="AE20" s="56"/>
      <c r="AF20" s="56">
        <f t="shared" si="0"/>
        <v>30400</v>
      </c>
      <c r="AG20" s="56">
        <v>0</v>
      </c>
      <c r="AH20" s="56">
        <v>0</v>
      </c>
      <c r="AI20" s="56"/>
      <c r="AJ20" s="56">
        <f t="shared" si="1"/>
        <v>30400</v>
      </c>
      <c r="AK20" s="85"/>
      <c r="AL20" s="56">
        <v>0</v>
      </c>
      <c r="AM20" s="56"/>
      <c r="AN20" s="88">
        <v>64615.26</v>
      </c>
      <c r="AO20" s="88">
        <v>0</v>
      </c>
      <c r="AP20" s="88">
        <v>118711.84</v>
      </c>
      <c r="AQ20" s="56"/>
      <c r="AR20" s="56">
        <v>0</v>
      </c>
      <c r="AS20" s="56"/>
      <c r="AT20" s="56">
        <v>0</v>
      </c>
      <c r="AU20" s="56"/>
      <c r="AV20" s="56">
        <f t="shared" si="2"/>
        <v>118711.84</v>
      </c>
      <c r="AW20" s="56"/>
      <c r="AX20" s="56">
        <v>0</v>
      </c>
      <c r="AY20" s="56"/>
      <c r="AZ20" s="88">
        <v>24450</v>
      </c>
      <c r="BA20" s="56">
        <v>82974</v>
      </c>
      <c r="BB20" s="214"/>
      <c r="BC20" s="56"/>
      <c r="BD20" s="84">
        <f t="shared" si="3"/>
        <v>54096.579999999994</v>
      </c>
      <c r="BE20" s="56"/>
      <c r="BF20" s="56"/>
      <c r="BG20" s="56"/>
      <c r="BH20" s="72"/>
    </row>
    <row r="21" spans="1:62" ht="20.100000000000001" customHeight="1" outlineLevel="1">
      <c r="A21" s="77" t="s">
        <v>43</v>
      </c>
      <c r="B21" s="77" t="s">
        <v>301</v>
      </c>
      <c r="C21" s="77" t="str">
        <f t="shared" si="5"/>
        <v>AW·</v>
      </c>
      <c r="D21" s="78" t="s">
        <v>46</v>
      </c>
      <c r="E21" s="78" t="str">
        <f t="shared" si="4"/>
        <v>000</v>
      </c>
      <c r="F21" s="79">
        <v>664111</v>
      </c>
      <c r="G21" s="102" t="s">
        <v>570</v>
      </c>
      <c r="H21" s="87"/>
      <c r="I21" s="13">
        <v>283780</v>
      </c>
      <c r="J21" s="13">
        <v>312593</v>
      </c>
      <c r="L21" s="56">
        <v>386042</v>
      </c>
      <c r="M21" s="56"/>
      <c r="N21" s="56">
        <v>387939</v>
      </c>
      <c r="O21" s="56"/>
      <c r="P21" s="56">
        <v>400651</v>
      </c>
      <c r="Q21" s="56"/>
      <c r="R21" s="56">
        <v>400651</v>
      </c>
      <c r="S21" s="56"/>
      <c r="T21" s="56">
        <v>0</v>
      </c>
      <c r="U21" s="56"/>
      <c r="V21" s="56">
        <v>400651</v>
      </c>
      <c r="W21" s="56"/>
      <c r="X21" s="56">
        <v>394649.08</v>
      </c>
      <c r="Y21" s="56"/>
      <c r="Z21" s="56">
        <v>385823</v>
      </c>
      <c r="AA21" s="56"/>
      <c r="AB21" s="56">
        <v>0</v>
      </c>
      <c r="AC21" s="56"/>
      <c r="AD21" s="56">
        <v>2294</v>
      </c>
      <c r="AE21" s="56"/>
      <c r="AF21" s="56">
        <f t="shared" si="0"/>
        <v>388117</v>
      </c>
      <c r="AG21" s="56">
        <v>0</v>
      </c>
      <c r="AH21" s="56">
        <v>0</v>
      </c>
      <c r="AI21" s="56"/>
      <c r="AJ21" s="56">
        <f t="shared" si="1"/>
        <v>388117</v>
      </c>
      <c r="AK21" s="85"/>
      <c r="AL21" s="56">
        <v>0</v>
      </c>
      <c r="AM21" s="56"/>
      <c r="AN21" s="88">
        <v>386115.62</v>
      </c>
      <c r="AO21" s="88">
        <v>0</v>
      </c>
      <c r="AP21" s="88">
        <v>400213.6</v>
      </c>
      <c r="AQ21" s="56"/>
      <c r="AR21" s="56">
        <v>0</v>
      </c>
      <c r="AS21" s="56"/>
      <c r="AT21" s="56">
        <v>0</v>
      </c>
      <c r="AU21" s="56"/>
      <c r="AV21" s="56">
        <f t="shared" si="2"/>
        <v>400213.6</v>
      </c>
      <c r="AW21" s="56"/>
      <c r="AX21" s="56">
        <v>0</v>
      </c>
      <c r="AY21" s="56"/>
      <c r="AZ21" s="88">
        <v>350271</v>
      </c>
      <c r="BA21" s="56">
        <v>358271</v>
      </c>
      <c r="BB21" s="214"/>
      <c r="BC21" s="56"/>
      <c r="BD21" s="84">
        <f t="shared" si="3"/>
        <v>14097.979999999981</v>
      </c>
      <c r="BE21" s="56"/>
      <c r="BF21" s="56"/>
      <c r="BG21" s="56"/>
      <c r="BH21" s="72"/>
    </row>
    <row r="22" spans="1:62" ht="20.100000000000001" customHeight="1" outlineLevel="1">
      <c r="A22" s="77" t="s">
        <v>43</v>
      </c>
      <c r="B22" s="77" t="s">
        <v>301</v>
      </c>
      <c r="C22" s="77" t="str">
        <f t="shared" si="5"/>
        <v>AW·</v>
      </c>
      <c r="D22" s="78" t="s">
        <v>46</v>
      </c>
      <c r="E22" s="78" t="str">
        <f t="shared" si="4"/>
        <v>000</v>
      </c>
      <c r="F22" s="3">
        <v>664411</v>
      </c>
      <c r="G22" s="102" t="s">
        <v>571</v>
      </c>
      <c r="H22" s="87"/>
      <c r="I22" s="13">
        <v>43605</v>
      </c>
      <c r="J22" s="13">
        <v>43731</v>
      </c>
      <c r="L22" s="56">
        <v>44906</v>
      </c>
      <c r="M22" s="56"/>
      <c r="N22" s="56">
        <v>54369</v>
      </c>
      <c r="O22" s="56"/>
      <c r="P22" s="56">
        <v>54369</v>
      </c>
      <c r="Q22" s="56"/>
      <c r="R22" s="56">
        <v>54369</v>
      </c>
      <c r="S22" s="56"/>
      <c r="T22" s="56">
        <v>0</v>
      </c>
      <c r="U22" s="56"/>
      <c r="V22" s="56">
        <v>54369</v>
      </c>
      <c r="W22" s="56"/>
      <c r="X22" s="56">
        <v>53220.99</v>
      </c>
      <c r="Y22" s="56"/>
      <c r="Z22" s="56">
        <v>62091</v>
      </c>
      <c r="AA22" s="56"/>
      <c r="AB22" s="56">
        <v>0</v>
      </c>
      <c r="AC22" s="56"/>
      <c r="AD22" s="56">
        <v>34388</v>
      </c>
      <c r="AE22" s="56"/>
      <c r="AF22" s="56">
        <f t="shared" si="0"/>
        <v>96479</v>
      </c>
      <c r="AG22" s="56">
        <v>0</v>
      </c>
      <c r="AH22" s="56">
        <v>0</v>
      </c>
      <c r="AI22" s="56"/>
      <c r="AJ22" s="56">
        <f t="shared" si="1"/>
        <v>96479</v>
      </c>
      <c r="AK22" s="85"/>
      <c r="AL22" s="56">
        <v>0</v>
      </c>
      <c r="AM22" s="56"/>
      <c r="AN22" s="88">
        <v>42669.4</v>
      </c>
      <c r="AO22" s="88">
        <v>0</v>
      </c>
      <c r="AP22" s="88">
        <v>43584.58</v>
      </c>
      <c r="AQ22" s="56"/>
      <c r="AR22" s="56">
        <v>0</v>
      </c>
      <c r="AS22" s="56"/>
      <c r="AT22" s="56">
        <v>37506.99</v>
      </c>
      <c r="AU22" s="56"/>
      <c r="AV22" s="56">
        <f t="shared" si="2"/>
        <v>81091.570000000007</v>
      </c>
      <c r="AW22" s="56"/>
      <c r="AX22" s="56">
        <v>-2700</v>
      </c>
      <c r="AY22" s="56"/>
      <c r="AZ22" s="88">
        <v>46160</v>
      </c>
      <c r="BA22" s="56">
        <v>83046</v>
      </c>
      <c r="BB22" s="214"/>
      <c r="BC22" s="56"/>
      <c r="BD22" s="84">
        <f t="shared" si="3"/>
        <v>915.18000000000029</v>
      </c>
      <c r="BE22" s="56"/>
      <c r="BF22" s="56"/>
      <c r="BG22" s="56"/>
      <c r="BH22" s="72"/>
    </row>
    <row r="23" spans="1:62" ht="20.100000000000001" customHeight="1" outlineLevel="1">
      <c r="A23" s="77" t="s">
        <v>43</v>
      </c>
      <c r="B23" s="77" t="s">
        <v>301</v>
      </c>
      <c r="C23" s="77" t="str">
        <f t="shared" si="5"/>
        <v>AW·</v>
      </c>
      <c r="D23" s="78" t="s">
        <v>46</v>
      </c>
      <c r="E23" s="78" t="str">
        <f t="shared" si="4"/>
        <v>000</v>
      </c>
      <c r="F23" s="3">
        <v>664511</v>
      </c>
      <c r="G23" s="102" t="s">
        <v>572</v>
      </c>
      <c r="H23" s="87"/>
      <c r="I23" s="13">
        <v>101085</v>
      </c>
      <c r="J23" s="13">
        <v>67641</v>
      </c>
      <c r="L23" s="56">
        <v>104226</v>
      </c>
      <c r="M23" s="56"/>
      <c r="N23" s="56">
        <v>51726</v>
      </c>
      <c r="O23" s="56"/>
      <c r="P23" s="56">
        <v>106084</v>
      </c>
      <c r="Q23" s="56"/>
      <c r="R23" s="56">
        <v>106084</v>
      </c>
      <c r="S23" s="56"/>
      <c r="T23" s="56">
        <v>0</v>
      </c>
      <c r="U23" s="56"/>
      <c r="V23" s="56">
        <v>106084</v>
      </c>
      <c r="W23" s="56"/>
      <c r="X23" s="56">
        <v>102630.99</v>
      </c>
      <c r="Y23" s="56"/>
      <c r="Z23" s="56">
        <v>51743</v>
      </c>
      <c r="AA23" s="56"/>
      <c r="AB23" s="56">
        <v>50530</v>
      </c>
      <c r="AC23" s="56"/>
      <c r="AD23" s="56">
        <v>1581</v>
      </c>
      <c r="AE23" s="56"/>
      <c r="AF23" s="56">
        <f t="shared" si="0"/>
        <v>103854</v>
      </c>
      <c r="AG23" s="56">
        <v>7700</v>
      </c>
      <c r="AH23" s="56">
        <v>0</v>
      </c>
      <c r="AI23" s="56"/>
      <c r="AJ23" s="56">
        <f t="shared" si="1"/>
        <v>111554</v>
      </c>
      <c r="AK23" s="85"/>
      <c r="AL23" s="56">
        <v>0</v>
      </c>
      <c r="AM23" s="56"/>
      <c r="AN23" s="88">
        <v>108309.22</v>
      </c>
      <c r="AO23" s="88">
        <v>0</v>
      </c>
      <c r="AP23" s="88">
        <v>103191.27</v>
      </c>
      <c r="AQ23" s="56"/>
      <c r="AR23" s="56">
        <v>-79000</v>
      </c>
      <c r="AS23" s="56"/>
      <c r="AT23" s="56">
        <v>0</v>
      </c>
      <c r="AU23" s="56"/>
      <c r="AV23" s="56">
        <f t="shared" si="2"/>
        <v>24191.270000000004</v>
      </c>
      <c r="AW23" s="56"/>
      <c r="AX23" s="56">
        <v>0</v>
      </c>
      <c r="AY23" s="56"/>
      <c r="AZ23" s="88">
        <v>43259</v>
      </c>
      <c r="BA23" s="56">
        <v>103259</v>
      </c>
      <c r="BB23" s="214"/>
      <c r="BC23" s="56"/>
      <c r="BD23" s="84">
        <f t="shared" si="3"/>
        <v>-5117.9499999999971</v>
      </c>
      <c r="BE23" s="56"/>
      <c r="BF23" s="56"/>
      <c r="BG23" s="56"/>
      <c r="BH23" s="72"/>
    </row>
    <row r="24" spans="1:62" ht="20.100000000000001" customHeight="1" outlineLevel="1">
      <c r="A24" s="77" t="s">
        <v>43</v>
      </c>
      <c r="B24" s="77" t="s">
        <v>301</v>
      </c>
      <c r="C24" s="77" t="str">
        <f t="shared" si="5"/>
        <v>AW·</v>
      </c>
      <c r="D24" s="78" t="s">
        <v>46</v>
      </c>
      <c r="E24" s="78" t="str">
        <f t="shared" si="4"/>
        <v>000</v>
      </c>
      <c r="F24" s="3">
        <v>673001</v>
      </c>
      <c r="G24" s="102" t="s">
        <v>573</v>
      </c>
      <c r="H24" s="87"/>
      <c r="I24" s="13">
        <v>1345</v>
      </c>
      <c r="J24" s="13">
        <v>0</v>
      </c>
      <c r="L24" s="56">
        <v>7000</v>
      </c>
      <c r="M24" s="56"/>
      <c r="N24" s="56">
        <v>60509</v>
      </c>
      <c r="O24" s="56"/>
      <c r="P24" s="56">
        <v>10509</v>
      </c>
      <c r="Q24" s="56"/>
      <c r="R24" s="56">
        <v>10509</v>
      </c>
      <c r="S24" s="56"/>
      <c r="T24" s="56">
        <v>0</v>
      </c>
      <c r="U24" s="56"/>
      <c r="V24" s="56">
        <v>10509</v>
      </c>
      <c r="W24" s="56"/>
      <c r="X24" s="56">
        <v>9911.68</v>
      </c>
      <c r="Y24" s="56"/>
      <c r="Z24" s="56">
        <v>60530</v>
      </c>
      <c r="AA24" s="56"/>
      <c r="AB24" s="56">
        <v>-50530</v>
      </c>
      <c r="AC24" s="56"/>
      <c r="AD24" s="56">
        <v>0</v>
      </c>
      <c r="AE24" s="56"/>
      <c r="AF24" s="56">
        <f t="shared" si="0"/>
        <v>10000</v>
      </c>
      <c r="AG24" s="56">
        <v>-7700</v>
      </c>
      <c r="AH24" s="56">
        <v>0</v>
      </c>
      <c r="AI24" s="56"/>
      <c r="AJ24" s="56">
        <f t="shared" si="1"/>
        <v>2300</v>
      </c>
      <c r="AK24" s="85"/>
      <c r="AL24" s="56">
        <v>0</v>
      </c>
      <c r="AM24" s="56"/>
      <c r="AN24" s="88">
        <v>0</v>
      </c>
      <c r="AO24" s="88">
        <v>0</v>
      </c>
      <c r="AP24" s="88">
        <v>0</v>
      </c>
      <c r="AQ24" s="56"/>
      <c r="AR24" s="56">
        <v>0</v>
      </c>
      <c r="AS24" s="56"/>
      <c r="AT24" s="56">
        <v>0</v>
      </c>
      <c r="AU24" s="56"/>
      <c r="AV24" s="56">
        <f t="shared" si="2"/>
        <v>0</v>
      </c>
      <c r="AW24" s="56"/>
      <c r="AX24" s="56">
        <v>0</v>
      </c>
      <c r="AY24" s="56"/>
      <c r="AZ24" s="88">
        <v>60046</v>
      </c>
      <c r="BA24" s="56">
        <v>46</v>
      </c>
      <c r="BB24" s="214"/>
      <c r="BC24" s="56"/>
      <c r="BD24" s="84">
        <f t="shared" si="3"/>
        <v>0</v>
      </c>
      <c r="BE24" s="56"/>
      <c r="BF24" s="56"/>
      <c r="BG24" s="56"/>
      <c r="BH24" s="72"/>
    </row>
    <row r="25" spans="1:62" ht="20.100000000000001" customHeight="1" outlineLevel="1">
      <c r="A25" s="77" t="s">
        <v>43</v>
      </c>
      <c r="B25" s="77" t="s">
        <v>301</v>
      </c>
      <c r="C25" s="77" t="str">
        <f t="shared" si="5"/>
        <v>AW·</v>
      </c>
      <c r="D25" s="78" t="s">
        <v>46</v>
      </c>
      <c r="E25" s="78" t="str">
        <f t="shared" si="4"/>
        <v>000</v>
      </c>
      <c r="F25" s="3">
        <v>673056</v>
      </c>
      <c r="G25" s="102" t="s">
        <v>574</v>
      </c>
      <c r="H25" s="87"/>
      <c r="I25" s="13">
        <v>84219</v>
      </c>
      <c r="J25" s="13">
        <v>120809</v>
      </c>
      <c r="L25" s="56">
        <v>52640</v>
      </c>
      <c r="M25" s="56"/>
      <c r="N25" s="56">
        <v>60000</v>
      </c>
      <c r="O25" s="56"/>
      <c r="P25" s="56">
        <v>60000</v>
      </c>
      <c r="Q25" s="56"/>
      <c r="R25" s="56">
        <v>60000</v>
      </c>
      <c r="S25" s="56"/>
      <c r="T25" s="56">
        <v>-57000</v>
      </c>
      <c r="U25" s="56"/>
      <c r="V25" s="56">
        <v>3000</v>
      </c>
      <c r="W25" s="56"/>
      <c r="X25" s="56">
        <v>13901.3</v>
      </c>
      <c r="Y25" s="56"/>
      <c r="Z25" s="56">
        <v>90000</v>
      </c>
      <c r="AA25" s="56"/>
      <c r="AB25" s="56">
        <v>-60000</v>
      </c>
      <c r="AC25" s="56"/>
      <c r="AD25" s="56">
        <v>0</v>
      </c>
      <c r="AE25" s="56"/>
      <c r="AF25" s="56">
        <f t="shared" si="0"/>
        <v>30000</v>
      </c>
      <c r="AG25" s="56">
        <v>0</v>
      </c>
      <c r="AH25" s="56">
        <v>0</v>
      </c>
      <c r="AI25" s="56"/>
      <c r="AJ25" s="56">
        <f t="shared" si="1"/>
        <v>30000</v>
      </c>
      <c r="AK25" s="85"/>
      <c r="AL25" s="56">
        <v>0</v>
      </c>
      <c r="AM25" s="56"/>
      <c r="AN25" s="88">
        <v>0</v>
      </c>
      <c r="AO25" s="88">
        <v>0</v>
      </c>
      <c r="AP25" s="88">
        <v>0</v>
      </c>
      <c r="AQ25" s="56"/>
      <c r="AR25" s="56">
        <v>79000</v>
      </c>
      <c r="AS25" s="56"/>
      <c r="AT25" s="56">
        <v>0</v>
      </c>
      <c r="AU25" s="56"/>
      <c r="AV25" s="56">
        <f t="shared" si="2"/>
        <v>79000</v>
      </c>
      <c r="AW25" s="56"/>
      <c r="AX25" s="56">
        <f>2700-2493</f>
        <v>207</v>
      </c>
      <c r="AY25" s="56"/>
      <c r="AZ25" s="88">
        <v>60000</v>
      </c>
      <c r="BA25" s="56">
        <v>0</v>
      </c>
      <c r="BB25" s="214"/>
      <c r="BC25" s="56"/>
      <c r="BD25" s="84">
        <f t="shared" si="3"/>
        <v>0</v>
      </c>
      <c r="BE25" s="56"/>
      <c r="BF25" s="56"/>
      <c r="BG25" s="56"/>
      <c r="BH25" s="72"/>
    </row>
    <row r="26" spans="1:62" ht="20.100000000000001" customHeight="1" outlineLevel="1">
      <c r="A26" s="77" t="s">
        <v>43</v>
      </c>
      <c r="B26" s="77" t="s">
        <v>575</v>
      </c>
      <c r="C26" s="77" t="str">
        <f t="shared" si="5"/>
        <v>AW·</v>
      </c>
      <c r="D26" s="78" t="s">
        <v>46</v>
      </c>
      <c r="E26" s="78" t="str">
        <f t="shared" si="4"/>
        <v>000</v>
      </c>
      <c r="F26" s="3">
        <v>611921</v>
      </c>
      <c r="G26" s="155" t="s">
        <v>576</v>
      </c>
      <c r="H26" s="87"/>
      <c r="I26" s="13">
        <v>100595</v>
      </c>
      <c r="J26" s="13">
        <v>100033</v>
      </c>
      <c r="L26" s="56">
        <v>120963</v>
      </c>
      <c r="M26" s="56"/>
      <c r="N26" s="56">
        <v>117036</v>
      </c>
      <c r="O26" s="56"/>
      <c r="P26" s="56">
        <v>117036</v>
      </c>
      <c r="Q26" s="56"/>
      <c r="R26" s="56">
        <v>127176</v>
      </c>
      <c r="S26" s="56"/>
      <c r="T26" s="56">
        <v>0</v>
      </c>
      <c r="U26" s="56"/>
      <c r="V26" s="56">
        <v>127176</v>
      </c>
      <c r="W26" s="56"/>
      <c r="X26" s="56">
        <v>131170.54</v>
      </c>
      <c r="Y26" s="56"/>
      <c r="Z26" s="56">
        <v>126992</v>
      </c>
      <c r="AA26" s="56"/>
      <c r="AB26" s="56">
        <v>0</v>
      </c>
      <c r="AC26" s="56"/>
      <c r="AD26" s="56">
        <v>0</v>
      </c>
      <c r="AE26" s="56"/>
      <c r="AF26" s="56">
        <f t="shared" si="0"/>
        <v>126992</v>
      </c>
      <c r="AG26" s="104">
        <v>6000</v>
      </c>
      <c r="AH26" s="56">
        <v>9000</v>
      </c>
      <c r="AI26" s="56"/>
      <c r="AJ26" s="56">
        <f t="shared" si="1"/>
        <v>141992</v>
      </c>
      <c r="AK26" s="85"/>
      <c r="AL26" s="56">
        <v>0</v>
      </c>
      <c r="AM26" s="56"/>
      <c r="AN26" s="88">
        <v>144967.35</v>
      </c>
      <c r="AO26" s="88">
        <v>0</v>
      </c>
      <c r="AP26" s="88">
        <v>146169.12</v>
      </c>
      <c r="AQ26" s="56"/>
      <c r="AR26" s="56">
        <v>0</v>
      </c>
      <c r="AS26" s="56"/>
      <c r="AT26" s="56">
        <v>0</v>
      </c>
      <c r="AU26" s="56"/>
      <c r="AV26" s="56">
        <f t="shared" si="2"/>
        <v>146169.12</v>
      </c>
      <c r="AW26" s="56"/>
      <c r="AX26" s="106">
        <v>15232</v>
      </c>
      <c r="AY26" s="56"/>
      <c r="AZ26" s="88">
        <v>125000</v>
      </c>
      <c r="BA26" s="56">
        <v>125000</v>
      </c>
      <c r="BB26" s="214"/>
      <c r="BC26" s="56"/>
      <c r="BD26" s="84">
        <f t="shared" si="3"/>
        <v>1201.7699999999895</v>
      </c>
      <c r="BE26" s="56"/>
      <c r="BF26" s="56"/>
      <c r="BG26" s="56"/>
      <c r="BH26" s="72">
        <v>1</v>
      </c>
      <c r="BJ26">
        <v>1</v>
      </c>
    </row>
    <row r="27" spans="1:62" ht="20.100000000000001" customHeight="1" outlineLevel="1">
      <c r="A27" s="77" t="s">
        <v>43</v>
      </c>
      <c r="B27" s="77" t="s">
        <v>575</v>
      </c>
      <c r="C27" s="77" t="str">
        <f t="shared" si="5"/>
        <v>AW·</v>
      </c>
      <c r="D27" s="78" t="s">
        <v>46</v>
      </c>
      <c r="E27" s="78" t="str">
        <f t="shared" si="4"/>
        <v>000</v>
      </c>
      <c r="F27" s="3">
        <v>633945</v>
      </c>
      <c r="G27" s="155" t="s">
        <v>577</v>
      </c>
      <c r="H27" s="87"/>
      <c r="I27" s="13">
        <v>0</v>
      </c>
      <c r="J27" s="13">
        <v>0</v>
      </c>
      <c r="L27" s="56">
        <v>2887</v>
      </c>
      <c r="M27" s="56"/>
      <c r="N27" s="56">
        <v>0</v>
      </c>
      <c r="O27" s="56"/>
      <c r="P27" s="56">
        <v>0</v>
      </c>
      <c r="Q27" s="56"/>
      <c r="R27" s="56">
        <v>0</v>
      </c>
      <c r="S27" s="56"/>
      <c r="T27" s="56">
        <v>0</v>
      </c>
      <c r="U27" s="56"/>
      <c r="V27" s="56">
        <v>0</v>
      </c>
      <c r="W27" s="56"/>
      <c r="X27" s="56">
        <v>2927</v>
      </c>
      <c r="Y27" s="56"/>
      <c r="Z27" s="56">
        <v>0</v>
      </c>
      <c r="AA27" s="56"/>
      <c r="AB27" s="56">
        <v>0</v>
      </c>
      <c r="AC27" s="56"/>
      <c r="AD27" s="56">
        <v>0</v>
      </c>
      <c r="AE27" s="56"/>
      <c r="AF27" s="56">
        <f t="shared" si="0"/>
        <v>0</v>
      </c>
      <c r="AG27" s="56">
        <v>0</v>
      </c>
      <c r="AH27" s="56">
        <v>0</v>
      </c>
      <c r="AI27" s="56"/>
      <c r="AJ27" s="56">
        <f t="shared" si="1"/>
        <v>0</v>
      </c>
      <c r="AK27" s="85"/>
      <c r="AL27" s="56">
        <v>0</v>
      </c>
      <c r="AM27" s="56"/>
      <c r="AN27" s="88">
        <v>432</v>
      </c>
      <c r="AO27" s="88">
        <v>0</v>
      </c>
      <c r="AP27" s="88">
        <v>0</v>
      </c>
      <c r="AQ27" s="56"/>
      <c r="AR27" s="56">
        <v>0</v>
      </c>
      <c r="AS27" s="56"/>
      <c r="AT27" s="56">
        <v>0</v>
      </c>
      <c r="AU27" s="56"/>
      <c r="AV27" s="56">
        <f t="shared" si="2"/>
        <v>0</v>
      </c>
      <c r="AW27" s="56"/>
      <c r="AX27" s="56">
        <v>0</v>
      </c>
      <c r="AY27" s="56"/>
      <c r="AZ27" s="88">
        <v>0</v>
      </c>
      <c r="BA27" s="56">
        <v>0</v>
      </c>
      <c r="BB27" s="214"/>
      <c r="BC27" s="56"/>
      <c r="BD27" s="84">
        <f t="shared" si="3"/>
        <v>-432</v>
      </c>
      <c r="BE27" s="56"/>
      <c r="BF27" s="56"/>
      <c r="BG27" s="56"/>
      <c r="BH27" s="72"/>
    </row>
    <row r="28" spans="1:62" ht="20.100000000000001" customHeight="1" outlineLevel="1">
      <c r="A28" s="77" t="s">
        <v>43</v>
      </c>
      <c r="B28" s="77" t="s">
        <v>575</v>
      </c>
      <c r="C28" s="77" t="str">
        <f t="shared" si="5"/>
        <v>AW·</v>
      </c>
      <c r="D28" s="78" t="s">
        <v>46</v>
      </c>
      <c r="E28" s="78" t="str">
        <f t="shared" si="4"/>
        <v>000</v>
      </c>
      <c r="F28" s="3">
        <v>643011</v>
      </c>
      <c r="G28" s="155" t="s">
        <v>578</v>
      </c>
      <c r="H28" s="87"/>
      <c r="I28" s="13">
        <v>21943</v>
      </c>
      <c r="J28" s="13">
        <v>23106</v>
      </c>
      <c r="L28" s="56">
        <v>23961</v>
      </c>
      <c r="M28" s="56"/>
      <c r="N28" s="56">
        <v>26955</v>
      </c>
      <c r="O28" s="56"/>
      <c r="P28" s="56">
        <v>28569</v>
      </c>
      <c r="Q28" s="56"/>
      <c r="R28" s="56">
        <v>28569</v>
      </c>
      <c r="S28" s="56"/>
      <c r="T28" s="56">
        <v>0</v>
      </c>
      <c r="U28" s="56"/>
      <c r="V28" s="56">
        <v>28569</v>
      </c>
      <c r="W28" s="56"/>
      <c r="X28" s="56">
        <v>26373.14</v>
      </c>
      <c r="Y28" s="56"/>
      <c r="Z28" s="56">
        <v>28955</v>
      </c>
      <c r="AA28" s="56"/>
      <c r="AB28" s="56">
        <v>0</v>
      </c>
      <c r="AC28" s="56"/>
      <c r="AD28" s="56">
        <v>0</v>
      </c>
      <c r="AE28" s="56"/>
      <c r="AF28" s="56">
        <f t="shared" si="0"/>
        <v>28955</v>
      </c>
      <c r="AG28" s="56">
        <v>7000</v>
      </c>
      <c r="AH28" s="56">
        <v>0</v>
      </c>
      <c r="AI28" s="56"/>
      <c r="AJ28" s="56">
        <f t="shared" si="1"/>
        <v>35955</v>
      </c>
      <c r="AK28" s="85"/>
      <c r="AL28" s="56">
        <v>0</v>
      </c>
      <c r="AM28" s="56"/>
      <c r="AN28" s="88">
        <v>34761.410000000003</v>
      </c>
      <c r="AO28" s="88">
        <v>0</v>
      </c>
      <c r="AP28" s="88">
        <v>27847.49</v>
      </c>
      <c r="AQ28" s="56"/>
      <c r="AR28" s="56">
        <v>0</v>
      </c>
      <c r="AS28" s="56"/>
      <c r="AT28" s="56">
        <v>0</v>
      </c>
      <c r="AU28" s="56"/>
      <c r="AV28" s="56">
        <f t="shared" si="2"/>
        <v>27847.49</v>
      </c>
      <c r="AW28" s="56"/>
      <c r="AX28" s="56">
        <v>0</v>
      </c>
      <c r="AY28" s="56"/>
      <c r="AZ28" s="88">
        <v>36000</v>
      </c>
      <c r="BA28" s="56">
        <v>36000</v>
      </c>
      <c r="BB28" s="214"/>
      <c r="BC28" s="56"/>
      <c r="BD28" s="84">
        <f t="shared" si="3"/>
        <v>-6913.9200000000019</v>
      </c>
      <c r="BE28" s="56"/>
      <c r="BF28" s="56"/>
      <c r="BG28" s="56"/>
      <c r="BH28" s="72"/>
    </row>
    <row r="29" spans="1:62" ht="20.100000000000001" customHeight="1" outlineLevel="1">
      <c r="A29" s="77" t="s">
        <v>43</v>
      </c>
      <c r="B29" s="156" t="s">
        <v>575</v>
      </c>
      <c r="C29" s="77" t="str">
        <f t="shared" si="5"/>
        <v>AW·</v>
      </c>
      <c r="D29" s="78" t="s">
        <v>46</v>
      </c>
      <c r="E29" s="78" t="str">
        <f t="shared" si="4"/>
        <v>000</v>
      </c>
      <c r="F29" s="3">
        <v>658211</v>
      </c>
      <c r="G29" s="155" t="s">
        <v>579</v>
      </c>
      <c r="H29" s="87"/>
      <c r="I29" s="13">
        <v>0</v>
      </c>
      <c r="J29" s="13">
        <v>0</v>
      </c>
      <c r="L29" s="56">
        <v>0</v>
      </c>
      <c r="M29" s="56"/>
      <c r="N29" s="56">
        <v>0</v>
      </c>
      <c r="O29" s="56"/>
      <c r="P29" s="56">
        <v>0</v>
      </c>
      <c r="Q29" s="56"/>
      <c r="R29" s="56">
        <v>0</v>
      </c>
      <c r="S29" s="56"/>
      <c r="T29" s="56">
        <v>0</v>
      </c>
      <c r="U29" s="56"/>
      <c r="V29" s="56">
        <v>0</v>
      </c>
      <c r="W29" s="56"/>
      <c r="X29" s="56">
        <v>14.45</v>
      </c>
      <c r="Y29" s="56"/>
      <c r="Z29" s="56">
        <v>500</v>
      </c>
      <c r="AA29" s="56"/>
      <c r="AB29" s="56">
        <v>0</v>
      </c>
      <c r="AC29" s="56"/>
      <c r="AD29" s="56">
        <v>0</v>
      </c>
      <c r="AE29" s="56"/>
      <c r="AF29" s="56">
        <f t="shared" si="0"/>
        <v>500</v>
      </c>
      <c r="AG29" s="56">
        <v>0</v>
      </c>
      <c r="AH29" s="56">
        <v>0</v>
      </c>
      <c r="AI29" s="56"/>
      <c r="AJ29" s="56">
        <f t="shared" si="1"/>
        <v>500</v>
      </c>
      <c r="AK29" s="85"/>
      <c r="AL29" s="56">
        <v>0</v>
      </c>
      <c r="AM29" s="56"/>
      <c r="AN29" s="88">
        <v>355.59</v>
      </c>
      <c r="AO29" s="88">
        <v>0</v>
      </c>
      <c r="AP29" s="88">
        <v>92.6</v>
      </c>
      <c r="AQ29" s="56"/>
      <c r="AR29" s="56">
        <v>0</v>
      </c>
      <c r="AS29" s="56"/>
      <c r="AT29" s="56">
        <v>0</v>
      </c>
      <c r="AU29" s="56"/>
      <c r="AV29" s="56">
        <f t="shared" si="2"/>
        <v>92.6</v>
      </c>
      <c r="AW29" s="56"/>
      <c r="AX29" s="56">
        <v>0</v>
      </c>
      <c r="AY29" s="56"/>
      <c r="AZ29" s="88">
        <v>200</v>
      </c>
      <c r="BA29" s="56">
        <v>200</v>
      </c>
      <c r="BB29" s="214"/>
      <c r="BC29" s="56"/>
      <c r="BD29" s="84">
        <f t="shared" si="3"/>
        <v>-262.99</v>
      </c>
      <c r="BE29" s="56"/>
      <c r="BF29" s="56"/>
      <c r="BG29" s="56"/>
      <c r="BH29" s="72"/>
    </row>
    <row r="30" spans="1:62" ht="20.100000000000001" customHeight="1" outlineLevel="1">
      <c r="A30" s="77" t="s">
        <v>43</v>
      </c>
      <c r="B30" s="156" t="s">
        <v>575</v>
      </c>
      <c r="C30" s="77" t="str">
        <f t="shared" si="5"/>
        <v>AW·</v>
      </c>
      <c r="D30" s="78" t="s">
        <v>46</v>
      </c>
      <c r="E30" s="78" t="str">
        <f t="shared" si="4"/>
        <v>000</v>
      </c>
      <c r="F30" s="3">
        <v>661021</v>
      </c>
      <c r="G30" s="155" t="s">
        <v>580</v>
      </c>
      <c r="H30" s="87"/>
      <c r="I30" s="13">
        <v>68149</v>
      </c>
      <c r="J30" s="13">
        <v>67357</v>
      </c>
      <c r="L30" s="56">
        <v>70958</v>
      </c>
      <c r="M30" s="56"/>
      <c r="N30" s="56">
        <v>80292</v>
      </c>
      <c r="O30" s="56"/>
      <c r="P30" s="56">
        <v>83063</v>
      </c>
      <c r="Q30" s="56"/>
      <c r="R30" s="56">
        <v>83063</v>
      </c>
      <c r="S30" s="56"/>
      <c r="T30" s="56">
        <v>0</v>
      </c>
      <c r="U30" s="56"/>
      <c r="V30" s="56">
        <v>83063</v>
      </c>
      <c r="W30" s="56"/>
      <c r="X30" s="56">
        <v>79980.55</v>
      </c>
      <c r="Y30" s="56"/>
      <c r="Z30" s="56">
        <v>83063</v>
      </c>
      <c r="AA30" s="56"/>
      <c r="AB30" s="56">
        <v>0</v>
      </c>
      <c r="AC30" s="56"/>
      <c r="AD30" s="56">
        <v>141</v>
      </c>
      <c r="AE30" s="56"/>
      <c r="AF30" s="56">
        <f t="shared" si="0"/>
        <v>83204</v>
      </c>
      <c r="AG30" s="56">
        <v>-7000</v>
      </c>
      <c r="AH30" s="56">
        <v>0</v>
      </c>
      <c r="AI30" s="56"/>
      <c r="AJ30" s="56">
        <f t="shared" si="1"/>
        <v>76204</v>
      </c>
      <c r="AK30" s="85"/>
      <c r="AL30" s="56">
        <v>7434</v>
      </c>
      <c r="AM30" s="56"/>
      <c r="AN30" s="88">
        <v>78613.27</v>
      </c>
      <c r="AO30" s="88">
        <v>0</v>
      </c>
      <c r="AP30" s="88">
        <v>88080.43</v>
      </c>
      <c r="AQ30" s="56"/>
      <c r="AR30" s="56">
        <v>0</v>
      </c>
      <c r="AS30" s="56"/>
      <c r="AT30" s="56">
        <v>99.51</v>
      </c>
      <c r="AU30" s="56"/>
      <c r="AV30" s="56">
        <f t="shared" si="2"/>
        <v>88179.939999999988</v>
      </c>
      <c r="AW30" s="56"/>
      <c r="AX30" s="56">
        <v>6000</v>
      </c>
      <c r="AY30" s="56"/>
      <c r="AZ30" s="88">
        <v>86100</v>
      </c>
      <c r="BA30" s="56">
        <v>90652</v>
      </c>
      <c r="BB30" s="214"/>
      <c r="BC30" s="56"/>
      <c r="BD30" s="84">
        <f t="shared" si="3"/>
        <v>9467.1599999999889</v>
      </c>
      <c r="BE30" s="56"/>
      <c r="BF30" s="56"/>
      <c r="BG30" s="56"/>
      <c r="BH30" s="72"/>
    </row>
    <row r="31" spans="1:62" ht="20.100000000000001" customHeight="1" outlineLevel="1">
      <c r="A31" s="77" t="s">
        <v>43</v>
      </c>
      <c r="B31" s="156" t="s">
        <v>575</v>
      </c>
      <c r="C31" s="77" t="str">
        <f t="shared" si="5"/>
        <v>AW·</v>
      </c>
      <c r="D31" s="78" t="s">
        <v>46</v>
      </c>
      <c r="E31" s="78" t="str">
        <f t="shared" si="4"/>
        <v>000</v>
      </c>
      <c r="F31" s="3">
        <v>661025</v>
      </c>
      <c r="G31" s="155" t="s">
        <v>581</v>
      </c>
      <c r="H31" s="87"/>
      <c r="I31" s="13">
        <v>0</v>
      </c>
      <c r="J31" s="13">
        <v>0</v>
      </c>
      <c r="L31" s="56">
        <v>0</v>
      </c>
      <c r="M31" s="56"/>
      <c r="N31" s="56">
        <v>0</v>
      </c>
      <c r="O31" s="56"/>
      <c r="P31" s="56">
        <v>0</v>
      </c>
      <c r="Q31" s="56"/>
      <c r="R31" s="56">
        <v>0</v>
      </c>
      <c r="S31" s="56"/>
      <c r="T31" s="56">
        <v>0</v>
      </c>
      <c r="U31" s="56"/>
      <c r="V31" s="56">
        <v>0</v>
      </c>
      <c r="W31" s="56"/>
      <c r="X31" s="56">
        <v>0</v>
      </c>
      <c r="Y31" s="56"/>
      <c r="Z31" s="56">
        <v>0</v>
      </c>
      <c r="AA31" s="56"/>
      <c r="AB31" s="56">
        <v>0</v>
      </c>
      <c r="AC31" s="56"/>
      <c r="AD31" s="56">
        <v>0</v>
      </c>
      <c r="AE31" s="56"/>
      <c r="AF31" s="56">
        <f t="shared" si="0"/>
        <v>0</v>
      </c>
      <c r="AG31" s="56">
        <v>0</v>
      </c>
      <c r="AH31" s="56">
        <v>0</v>
      </c>
      <c r="AI31" s="56"/>
      <c r="AJ31" s="56">
        <f t="shared" si="1"/>
        <v>0</v>
      </c>
      <c r="AK31" s="85"/>
      <c r="AL31" s="56">
        <v>0</v>
      </c>
      <c r="AM31" s="56"/>
      <c r="AN31" s="88">
        <f>SUM(AI31:AM31)</f>
        <v>0</v>
      </c>
      <c r="AO31" s="88">
        <v>0</v>
      </c>
      <c r="AP31" s="88">
        <v>0</v>
      </c>
      <c r="AQ31" s="56"/>
      <c r="AR31" s="56">
        <v>0</v>
      </c>
      <c r="AS31" s="56"/>
      <c r="AT31" s="56">
        <v>0</v>
      </c>
      <c r="AU31" s="56"/>
      <c r="AV31" s="56">
        <f t="shared" si="2"/>
        <v>0</v>
      </c>
      <c r="AW31" s="56"/>
      <c r="AX31" s="56">
        <v>0</v>
      </c>
      <c r="AY31" s="56"/>
      <c r="AZ31" s="88">
        <v>0</v>
      </c>
      <c r="BA31" s="56">
        <v>0</v>
      </c>
      <c r="BB31" s="214"/>
      <c r="BC31" s="56"/>
      <c r="BD31" s="84">
        <f t="shared" si="3"/>
        <v>0</v>
      </c>
      <c r="BE31" s="56"/>
      <c r="BF31" s="56"/>
      <c r="BG31" s="56"/>
      <c r="BH31" s="72"/>
    </row>
    <row r="32" spans="1:62" ht="20.100000000000001" customHeight="1" outlineLevel="1">
      <c r="A32" s="77" t="s">
        <v>43</v>
      </c>
      <c r="B32" s="156" t="s">
        <v>575</v>
      </c>
      <c r="C32" s="77" t="str">
        <f t="shared" si="5"/>
        <v>AW·</v>
      </c>
      <c r="D32" s="78" t="s">
        <v>46</v>
      </c>
      <c r="E32" s="78" t="str">
        <f t="shared" si="4"/>
        <v>000</v>
      </c>
      <c r="F32" s="3">
        <v>673021</v>
      </c>
      <c r="G32" s="155" t="s">
        <v>582</v>
      </c>
      <c r="H32" s="87"/>
      <c r="I32" s="13">
        <v>2122</v>
      </c>
      <c r="J32" s="13">
        <v>4735</v>
      </c>
      <c r="L32" s="56">
        <v>16785</v>
      </c>
      <c r="M32" s="56"/>
      <c r="N32" s="56">
        <v>17429</v>
      </c>
      <c r="O32" s="56"/>
      <c r="P32" s="56">
        <v>17429</v>
      </c>
      <c r="Q32" s="56"/>
      <c r="R32" s="56">
        <v>17429</v>
      </c>
      <c r="S32" s="56"/>
      <c r="T32" s="56">
        <v>0</v>
      </c>
      <c r="U32" s="56"/>
      <c r="V32" s="56">
        <v>17429</v>
      </c>
      <c r="W32" s="56"/>
      <c r="X32" s="56">
        <v>16723.82</v>
      </c>
      <c r="Y32" s="56"/>
      <c r="Z32" s="56">
        <v>17429</v>
      </c>
      <c r="AA32" s="56"/>
      <c r="AB32" s="56">
        <v>0</v>
      </c>
      <c r="AC32" s="56"/>
      <c r="AD32" s="56">
        <v>0</v>
      </c>
      <c r="AE32" s="56"/>
      <c r="AF32" s="56">
        <f t="shared" si="0"/>
        <v>17429</v>
      </c>
      <c r="AG32" s="56">
        <v>0</v>
      </c>
      <c r="AH32" s="56">
        <v>0</v>
      </c>
      <c r="AI32" s="56"/>
      <c r="AJ32" s="56">
        <f t="shared" si="1"/>
        <v>17429</v>
      </c>
      <c r="AK32" s="85"/>
      <c r="AL32" s="56">
        <v>-7434</v>
      </c>
      <c r="AM32" s="56"/>
      <c r="AN32" s="88">
        <v>9995</v>
      </c>
      <c r="AO32" s="88">
        <v>0</v>
      </c>
      <c r="AP32" s="88">
        <v>0</v>
      </c>
      <c r="AQ32" s="56"/>
      <c r="AR32" s="56">
        <v>0</v>
      </c>
      <c r="AS32" s="56"/>
      <c r="AT32" s="56">
        <v>0</v>
      </c>
      <c r="AU32" s="56"/>
      <c r="AV32" s="56">
        <f t="shared" si="2"/>
        <v>0</v>
      </c>
      <c r="AW32" s="56"/>
      <c r="AX32" s="56">
        <v>-6000</v>
      </c>
      <c r="AY32" s="56"/>
      <c r="AZ32" s="88">
        <v>9000</v>
      </c>
      <c r="BA32" s="56">
        <v>9000</v>
      </c>
      <c r="BB32" s="214"/>
      <c r="BC32" s="56"/>
      <c r="BD32" s="84">
        <f t="shared" si="3"/>
        <v>-9995</v>
      </c>
      <c r="BE32" s="56"/>
      <c r="BF32" s="56"/>
      <c r="BG32" s="56"/>
      <c r="BH32" s="72"/>
    </row>
    <row r="33" spans="1:62" ht="20.100000000000001" customHeight="1" outlineLevel="1">
      <c r="A33" s="77" t="s">
        <v>43</v>
      </c>
      <c r="B33" s="77" t="s">
        <v>301</v>
      </c>
      <c r="C33" s="77" t="str">
        <f t="shared" si="5"/>
        <v>AW·</v>
      </c>
      <c r="D33" s="78" t="s">
        <v>46</v>
      </c>
      <c r="E33" s="78" t="str">
        <f t="shared" si="4"/>
        <v>000</v>
      </c>
      <c r="F33" s="3">
        <v>611116</v>
      </c>
      <c r="G33" s="154" t="s">
        <v>583</v>
      </c>
      <c r="H33" s="87"/>
      <c r="I33" s="13">
        <v>65554</v>
      </c>
      <c r="J33" s="13">
        <v>55745</v>
      </c>
      <c r="L33" s="56">
        <v>0</v>
      </c>
      <c r="M33" s="56"/>
      <c r="N33" s="56">
        <v>0</v>
      </c>
      <c r="O33" s="56"/>
      <c r="P33" s="56">
        <v>0</v>
      </c>
      <c r="Q33" s="56"/>
      <c r="R33" s="56">
        <v>0</v>
      </c>
      <c r="S33" s="56"/>
      <c r="T33" s="56">
        <v>0</v>
      </c>
      <c r="U33" s="56"/>
      <c r="V33" s="56">
        <v>0</v>
      </c>
      <c r="W33" s="56"/>
      <c r="X33" s="56">
        <v>0</v>
      </c>
      <c r="Y33" s="56"/>
      <c r="Z33" s="56">
        <v>0</v>
      </c>
      <c r="AA33" s="56"/>
      <c r="AB33" s="56">
        <v>0</v>
      </c>
      <c r="AC33" s="56"/>
      <c r="AD33" s="56">
        <v>0</v>
      </c>
      <c r="AE33" s="56"/>
      <c r="AF33" s="56">
        <f t="shared" si="0"/>
        <v>0</v>
      </c>
      <c r="AG33" s="56">
        <v>0</v>
      </c>
      <c r="AH33" s="56">
        <v>0</v>
      </c>
      <c r="AI33" s="56"/>
      <c r="AJ33" s="56">
        <f t="shared" si="1"/>
        <v>0</v>
      </c>
      <c r="AK33" s="85"/>
      <c r="AL33" s="56">
        <v>0</v>
      </c>
      <c r="AM33" s="56"/>
      <c r="AN33" s="88">
        <f>SUM(AI33:AM33)</f>
        <v>0</v>
      </c>
      <c r="AO33" s="88">
        <v>0</v>
      </c>
      <c r="AP33" s="88">
        <v>0</v>
      </c>
      <c r="AQ33" s="56"/>
      <c r="AR33" s="56">
        <v>0</v>
      </c>
      <c r="AS33" s="56"/>
      <c r="AT33" s="56">
        <v>0</v>
      </c>
      <c r="AU33" s="56"/>
      <c r="AV33" s="56">
        <f t="shared" si="2"/>
        <v>0</v>
      </c>
      <c r="AW33" s="56"/>
      <c r="AX33" s="56">
        <v>0</v>
      </c>
      <c r="AY33" s="56"/>
      <c r="AZ33" s="88">
        <v>0</v>
      </c>
      <c r="BA33" s="56">
        <v>0</v>
      </c>
      <c r="BB33" s="214"/>
      <c r="BC33" s="56"/>
      <c r="BD33" s="84">
        <f t="shared" si="3"/>
        <v>0</v>
      </c>
      <c r="BE33" s="56"/>
      <c r="BF33" s="56"/>
      <c r="BG33" s="56"/>
      <c r="BH33" s="72">
        <v>1</v>
      </c>
      <c r="BJ33">
        <v>1</v>
      </c>
    </row>
    <row r="34" spans="1:62" ht="20.100000000000001" customHeight="1" outlineLevel="1">
      <c r="A34" s="77" t="s">
        <v>43</v>
      </c>
      <c r="B34" s="77" t="s">
        <v>301</v>
      </c>
      <c r="C34" s="77" t="str">
        <f t="shared" si="5"/>
        <v>AW·</v>
      </c>
      <c r="D34" s="78" t="s">
        <v>46</v>
      </c>
      <c r="E34" s="78" t="str">
        <f t="shared" si="4"/>
        <v>000</v>
      </c>
      <c r="F34" s="3">
        <v>611411</v>
      </c>
      <c r="G34" s="154" t="s">
        <v>584</v>
      </c>
      <c r="H34" s="87"/>
      <c r="I34" s="13">
        <v>35011</v>
      </c>
      <c r="J34" s="13">
        <v>35803</v>
      </c>
      <c r="L34" s="56">
        <v>28218</v>
      </c>
      <c r="M34" s="56"/>
      <c r="N34" s="56">
        <v>32250</v>
      </c>
      <c r="O34" s="56"/>
      <c r="P34" s="56">
        <v>32250</v>
      </c>
      <c r="Q34" s="56"/>
      <c r="R34" s="56">
        <v>39950</v>
      </c>
      <c r="S34" s="56"/>
      <c r="T34" s="56">
        <v>0</v>
      </c>
      <c r="U34" s="56"/>
      <c r="V34" s="56">
        <v>39950</v>
      </c>
      <c r="W34" s="56"/>
      <c r="X34" s="56">
        <v>27941.96</v>
      </c>
      <c r="Y34" s="56"/>
      <c r="Z34" s="56">
        <v>35000</v>
      </c>
      <c r="AA34" s="56"/>
      <c r="AB34" s="56">
        <v>0</v>
      </c>
      <c r="AC34" s="56"/>
      <c r="AD34" s="56">
        <v>0</v>
      </c>
      <c r="AE34" s="56"/>
      <c r="AF34" s="56">
        <f t="shared" si="0"/>
        <v>35000</v>
      </c>
      <c r="AG34" s="56">
        <v>0</v>
      </c>
      <c r="AH34" s="56">
        <v>2250</v>
      </c>
      <c r="AI34" s="56"/>
      <c r="AJ34" s="56">
        <f t="shared" si="1"/>
        <v>37250</v>
      </c>
      <c r="AK34" s="85"/>
      <c r="AL34" s="56">
        <v>0</v>
      </c>
      <c r="AM34" s="56"/>
      <c r="AN34" s="88">
        <f>33384.96+510</f>
        <v>33894.959999999999</v>
      </c>
      <c r="AO34" s="88">
        <v>0</v>
      </c>
      <c r="AP34" s="88">
        <v>39293.46</v>
      </c>
      <c r="AQ34" s="56"/>
      <c r="AR34" s="56">
        <v>0</v>
      </c>
      <c r="AS34" s="56"/>
      <c r="AT34" s="56">
        <v>0</v>
      </c>
      <c r="AU34" s="56"/>
      <c r="AV34" s="56">
        <f t="shared" si="2"/>
        <v>39293.46</v>
      </c>
      <c r="AW34" s="56"/>
      <c r="AX34" s="106">
        <v>4240</v>
      </c>
      <c r="AY34" s="56"/>
      <c r="AZ34" s="88">
        <v>35000</v>
      </c>
      <c r="BA34" s="56">
        <v>38000</v>
      </c>
      <c r="BB34" s="214"/>
      <c r="BC34" s="56"/>
      <c r="BD34" s="84">
        <f t="shared" si="3"/>
        <v>5398.5</v>
      </c>
      <c r="BE34" s="56"/>
      <c r="BF34" s="56"/>
      <c r="BG34" s="56"/>
      <c r="BH34" s="72">
        <v>1</v>
      </c>
      <c r="BJ34">
        <v>1</v>
      </c>
    </row>
    <row r="35" spans="1:62" ht="20.100000000000001" customHeight="1" outlineLevel="1">
      <c r="A35" s="77" t="s">
        <v>43</v>
      </c>
      <c r="B35" s="77" t="s">
        <v>61</v>
      </c>
      <c r="C35" s="77" t="str">
        <f t="shared" si="5"/>
        <v>AW·</v>
      </c>
      <c r="D35" s="78" t="s">
        <v>46</v>
      </c>
      <c r="E35" s="78" t="str">
        <f t="shared" si="4"/>
        <v>000</v>
      </c>
      <c r="F35" s="3">
        <v>611931</v>
      </c>
      <c r="G35" s="154" t="s">
        <v>585</v>
      </c>
      <c r="H35" s="87"/>
      <c r="I35" s="13">
        <v>0</v>
      </c>
      <c r="J35" s="13">
        <v>30077</v>
      </c>
      <c r="L35" s="56">
        <v>33589</v>
      </c>
      <c r="M35" s="56"/>
      <c r="N35" s="56">
        <v>30579</v>
      </c>
      <c r="O35" s="56"/>
      <c r="P35" s="56">
        <v>30579</v>
      </c>
      <c r="Q35" s="56"/>
      <c r="R35" s="56">
        <v>34401</v>
      </c>
      <c r="S35" s="56"/>
      <c r="T35" s="56">
        <v>0</v>
      </c>
      <c r="U35" s="56"/>
      <c r="V35" s="56">
        <v>34401</v>
      </c>
      <c r="W35" s="56"/>
      <c r="X35" s="56">
        <v>34400.959999999999</v>
      </c>
      <c r="Y35" s="56"/>
      <c r="Z35" s="56">
        <v>33013</v>
      </c>
      <c r="AA35" s="56"/>
      <c r="AB35" s="56">
        <v>0</v>
      </c>
      <c r="AC35" s="56"/>
      <c r="AD35" s="56">
        <v>0</v>
      </c>
      <c r="AE35" s="56"/>
      <c r="AF35" s="56">
        <f t="shared" si="0"/>
        <v>33013</v>
      </c>
      <c r="AG35" s="56">
        <v>0</v>
      </c>
      <c r="AH35" s="56">
        <v>2250</v>
      </c>
      <c r="AI35" s="56"/>
      <c r="AJ35" s="56">
        <f t="shared" si="1"/>
        <v>35263</v>
      </c>
      <c r="AK35" s="85"/>
      <c r="AL35" s="56">
        <v>0</v>
      </c>
      <c r="AM35" s="56"/>
      <c r="AN35" s="88">
        <v>35262.959999999999</v>
      </c>
      <c r="AO35" s="88">
        <v>0</v>
      </c>
      <c r="AP35" s="88">
        <v>33012.959999999999</v>
      </c>
      <c r="AQ35" s="56"/>
      <c r="AR35" s="56">
        <v>0</v>
      </c>
      <c r="AS35" s="56"/>
      <c r="AT35" s="56">
        <v>0</v>
      </c>
      <c r="AU35" s="56"/>
      <c r="AV35" s="56">
        <f t="shared" si="2"/>
        <v>33012.959999999999</v>
      </c>
      <c r="AW35" s="56"/>
      <c r="AX35" s="56">
        <v>0</v>
      </c>
      <c r="AY35" s="56"/>
      <c r="AZ35" s="88">
        <v>33013</v>
      </c>
      <c r="BA35" s="56">
        <v>33013</v>
      </c>
      <c r="BB35" s="214"/>
      <c r="BC35" s="56"/>
      <c r="BD35" s="84">
        <f t="shared" si="3"/>
        <v>-2250</v>
      </c>
      <c r="BE35" s="56"/>
      <c r="BF35" s="56"/>
      <c r="BG35" s="56"/>
      <c r="BH35" s="72">
        <v>1</v>
      </c>
      <c r="BJ35">
        <v>1</v>
      </c>
    </row>
    <row r="36" spans="1:62" ht="20.100000000000001" customHeight="1" outlineLevel="1">
      <c r="A36" s="77" t="s">
        <v>43</v>
      </c>
      <c r="B36" s="77" t="s">
        <v>61</v>
      </c>
      <c r="C36" s="77" t="str">
        <f t="shared" si="5"/>
        <v>AW·</v>
      </c>
      <c r="D36" s="78" t="s">
        <v>46</v>
      </c>
      <c r="E36" s="78" t="str">
        <f t="shared" si="4"/>
        <v>000</v>
      </c>
      <c r="F36" s="3">
        <v>611932</v>
      </c>
      <c r="G36" s="154" t="s">
        <v>586</v>
      </c>
      <c r="H36" s="87"/>
      <c r="I36" s="13">
        <v>44919</v>
      </c>
      <c r="J36" s="13">
        <v>30005</v>
      </c>
      <c r="L36" s="56">
        <v>2436</v>
      </c>
      <c r="M36" s="56"/>
      <c r="N36" s="56">
        <v>32459</v>
      </c>
      <c r="O36" s="56"/>
      <c r="P36" s="56">
        <v>0</v>
      </c>
      <c r="Q36" s="56"/>
      <c r="R36" s="56">
        <v>0</v>
      </c>
      <c r="S36" s="56"/>
      <c r="T36" s="56">
        <v>0</v>
      </c>
      <c r="U36" s="56"/>
      <c r="V36" s="56">
        <v>0</v>
      </c>
      <c r="W36" s="56"/>
      <c r="X36" s="56">
        <v>0</v>
      </c>
      <c r="Y36" s="56"/>
      <c r="Z36" s="56">
        <v>0</v>
      </c>
      <c r="AA36" s="56"/>
      <c r="AB36" s="56">
        <v>0</v>
      </c>
      <c r="AC36" s="56"/>
      <c r="AD36" s="56">
        <v>0</v>
      </c>
      <c r="AE36" s="56"/>
      <c r="AF36" s="56">
        <f t="shared" si="0"/>
        <v>0</v>
      </c>
      <c r="AG36" s="56">
        <v>0</v>
      </c>
      <c r="AH36" s="56">
        <v>0</v>
      </c>
      <c r="AI36" s="56"/>
      <c r="AJ36" s="56">
        <f t="shared" si="1"/>
        <v>0</v>
      </c>
      <c r="AK36" s="85"/>
      <c r="AL36" s="56">
        <v>0</v>
      </c>
      <c r="AM36" s="56"/>
      <c r="AN36" s="88">
        <f t="shared" ref="AN36:AN42" si="6">SUM(AI36:AM36)</f>
        <v>0</v>
      </c>
      <c r="AO36" s="88">
        <v>0</v>
      </c>
      <c r="AP36" s="88">
        <v>0</v>
      </c>
      <c r="AQ36" s="56"/>
      <c r="AR36" s="56">
        <v>0</v>
      </c>
      <c r="AS36" s="56"/>
      <c r="AT36" s="56">
        <v>0</v>
      </c>
      <c r="AU36" s="56"/>
      <c r="AV36" s="56">
        <f t="shared" si="2"/>
        <v>0</v>
      </c>
      <c r="AW36" s="56"/>
      <c r="AX36" s="56">
        <v>0</v>
      </c>
      <c r="AY36" s="56"/>
      <c r="AZ36" s="88">
        <v>0</v>
      </c>
      <c r="BA36" s="56">
        <v>0</v>
      </c>
      <c r="BB36" s="214"/>
      <c r="BC36" s="56"/>
      <c r="BD36" s="84">
        <f t="shared" si="3"/>
        <v>0</v>
      </c>
      <c r="BE36" s="56"/>
      <c r="BF36" s="56"/>
      <c r="BG36" s="56"/>
      <c r="BH36" s="72">
        <v>1</v>
      </c>
      <c r="BJ36">
        <v>1</v>
      </c>
    </row>
    <row r="37" spans="1:62" ht="20.100000000000001" customHeight="1" outlineLevel="1">
      <c r="A37" s="77" t="s">
        <v>43</v>
      </c>
      <c r="B37" s="77" t="s">
        <v>61</v>
      </c>
      <c r="C37" s="77" t="str">
        <f t="shared" si="5"/>
        <v>AW·</v>
      </c>
      <c r="D37" s="78" t="s">
        <v>46</v>
      </c>
      <c r="E37" s="78" t="str">
        <f t="shared" si="4"/>
        <v>000</v>
      </c>
      <c r="F37" s="3">
        <v>658211</v>
      </c>
      <c r="G37" s="154" t="s">
        <v>72</v>
      </c>
      <c r="H37" s="87"/>
      <c r="I37" s="13">
        <v>687</v>
      </c>
      <c r="J37" s="13">
        <v>1251</v>
      </c>
      <c r="L37" s="56">
        <v>0</v>
      </c>
      <c r="M37" s="56"/>
      <c r="N37" s="56">
        <v>0</v>
      </c>
      <c r="O37" s="56"/>
      <c r="P37" s="56">
        <v>0</v>
      </c>
      <c r="Q37" s="56"/>
      <c r="R37" s="56">
        <v>0</v>
      </c>
      <c r="S37" s="56"/>
      <c r="T37" s="56">
        <v>0</v>
      </c>
      <c r="U37" s="56"/>
      <c r="V37" s="56">
        <v>0</v>
      </c>
      <c r="W37" s="56"/>
      <c r="X37" s="56">
        <v>0</v>
      </c>
      <c r="Y37" s="56"/>
      <c r="Z37" s="56">
        <v>0</v>
      </c>
      <c r="AA37" s="56"/>
      <c r="AB37" s="56">
        <v>0</v>
      </c>
      <c r="AC37" s="56"/>
      <c r="AD37" s="56">
        <v>0</v>
      </c>
      <c r="AE37" s="56"/>
      <c r="AF37" s="56">
        <f t="shared" si="0"/>
        <v>0</v>
      </c>
      <c r="AG37" s="56">
        <v>0</v>
      </c>
      <c r="AH37" s="56">
        <v>0</v>
      </c>
      <c r="AI37" s="56"/>
      <c r="AJ37" s="56">
        <f t="shared" si="1"/>
        <v>0</v>
      </c>
      <c r="AK37" s="85"/>
      <c r="AL37" s="56">
        <v>0</v>
      </c>
      <c r="AM37" s="56"/>
      <c r="AN37" s="88">
        <f t="shared" si="6"/>
        <v>0</v>
      </c>
      <c r="AO37" s="88">
        <v>0</v>
      </c>
      <c r="AP37" s="88">
        <v>0</v>
      </c>
      <c r="AQ37" s="56"/>
      <c r="AR37" s="56">
        <v>0</v>
      </c>
      <c r="AS37" s="56"/>
      <c r="AT37" s="56">
        <v>0</v>
      </c>
      <c r="AU37" s="56"/>
      <c r="AV37" s="56">
        <f t="shared" si="2"/>
        <v>0</v>
      </c>
      <c r="AW37" s="56"/>
      <c r="AX37" s="56">
        <v>0</v>
      </c>
      <c r="AY37" s="56"/>
      <c r="AZ37" s="88">
        <v>0</v>
      </c>
      <c r="BA37" s="56">
        <v>0</v>
      </c>
      <c r="BB37" s="214"/>
      <c r="BC37" s="56"/>
      <c r="BD37" s="84">
        <f t="shared" si="3"/>
        <v>0</v>
      </c>
      <c r="BE37" s="56"/>
      <c r="BF37" s="56"/>
      <c r="BG37" s="56"/>
      <c r="BH37" s="72"/>
    </row>
    <row r="38" spans="1:62" ht="20.100000000000001" customHeight="1" outlineLevel="1">
      <c r="A38" s="77" t="s">
        <v>43</v>
      </c>
      <c r="B38" s="77" t="s">
        <v>61</v>
      </c>
      <c r="C38" s="77" t="str">
        <f t="shared" si="5"/>
        <v>AW·</v>
      </c>
      <c r="D38" s="78" t="s">
        <v>46</v>
      </c>
      <c r="E38" s="78" t="str">
        <f t="shared" si="4"/>
        <v>000</v>
      </c>
      <c r="F38" s="3">
        <v>661001</v>
      </c>
      <c r="G38" s="154" t="s">
        <v>73</v>
      </c>
      <c r="H38" s="87"/>
      <c r="I38" s="13">
        <v>236</v>
      </c>
      <c r="J38" s="13">
        <v>1146</v>
      </c>
      <c r="L38" s="56">
        <v>56</v>
      </c>
      <c r="M38" s="56"/>
      <c r="N38" s="56">
        <v>0</v>
      </c>
      <c r="O38" s="56"/>
      <c r="P38" s="56">
        <v>0</v>
      </c>
      <c r="Q38" s="56"/>
      <c r="R38" s="56">
        <v>0</v>
      </c>
      <c r="S38" s="56"/>
      <c r="T38" s="56">
        <v>0</v>
      </c>
      <c r="U38" s="56"/>
      <c r="V38" s="56">
        <v>0</v>
      </c>
      <c r="W38" s="56"/>
      <c r="X38" s="56">
        <v>0</v>
      </c>
      <c r="Y38" s="56"/>
      <c r="Z38" s="56">
        <v>0</v>
      </c>
      <c r="AA38" s="56"/>
      <c r="AB38" s="56">
        <v>0</v>
      </c>
      <c r="AC38" s="56"/>
      <c r="AD38" s="56">
        <v>0</v>
      </c>
      <c r="AE38" s="56"/>
      <c r="AF38" s="56">
        <f t="shared" si="0"/>
        <v>0</v>
      </c>
      <c r="AG38" s="56">
        <v>0</v>
      </c>
      <c r="AH38" s="56">
        <v>0</v>
      </c>
      <c r="AI38" s="56"/>
      <c r="AJ38" s="56">
        <f t="shared" si="1"/>
        <v>0</v>
      </c>
      <c r="AK38" s="85"/>
      <c r="AL38" s="56">
        <v>0</v>
      </c>
      <c r="AM38" s="56"/>
      <c r="AN38" s="88">
        <f t="shared" si="6"/>
        <v>0</v>
      </c>
      <c r="AO38" s="88">
        <v>0</v>
      </c>
      <c r="AP38" s="88">
        <v>0</v>
      </c>
      <c r="AQ38" s="56"/>
      <c r="AR38" s="56">
        <v>0</v>
      </c>
      <c r="AS38" s="56"/>
      <c r="AT38" s="56">
        <v>0</v>
      </c>
      <c r="AU38" s="56"/>
      <c r="AV38" s="56">
        <f t="shared" si="2"/>
        <v>0</v>
      </c>
      <c r="AW38" s="56"/>
      <c r="AX38" s="56">
        <v>0</v>
      </c>
      <c r="AY38" s="56"/>
      <c r="AZ38" s="88">
        <v>0</v>
      </c>
      <c r="BA38" s="56">
        <v>0</v>
      </c>
      <c r="BB38" s="214"/>
      <c r="BC38" s="56"/>
      <c r="BD38" s="84">
        <f t="shared" si="3"/>
        <v>0</v>
      </c>
      <c r="BE38" s="56"/>
      <c r="BF38" s="56"/>
      <c r="BG38" s="56"/>
      <c r="BH38" s="72"/>
    </row>
    <row r="39" spans="1:62" ht="20.100000000000001" customHeight="1" outlineLevel="1">
      <c r="A39" s="77" t="s">
        <v>43</v>
      </c>
      <c r="B39" s="77" t="s">
        <v>61</v>
      </c>
      <c r="C39" s="77" t="str">
        <f t="shared" si="5"/>
        <v>AW·</v>
      </c>
      <c r="D39" s="78" t="s">
        <v>46</v>
      </c>
      <c r="E39" s="78" t="str">
        <f t="shared" si="4"/>
        <v>000</v>
      </c>
      <c r="F39" s="3">
        <v>673001</v>
      </c>
      <c r="G39" s="154" t="s">
        <v>57</v>
      </c>
      <c r="H39" s="87"/>
      <c r="I39" s="13">
        <v>0</v>
      </c>
      <c r="J39" s="13">
        <v>0</v>
      </c>
      <c r="L39" s="56">
        <v>0</v>
      </c>
      <c r="M39" s="56"/>
      <c r="N39" s="56">
        <v>0</v>
      </c>
      <c r="O39" s="56"/>
      <c r="P39" s="56">
        <v>0</v>
      </c>
      <c r="Q39" s="56"/>
      <c r="R39" s="56">
        <v>0</v>
      </c>
      <c r="S39" s="56"/>
      <c r="T39" s="56">
        <v>0</v>
      </c>
      <c r="U39" s="56"/>
      <c r="V39" s="56">
        <v>0</v>
      </c>
      <c r="W39" s="56"/>
      <c r="X39" s="56">
        <v>0</v>
      </c>
      <c r="Y39" s="56"/>
      <c r="Z39" s="56">
        <v>0</v>
      </c>
      <c r="AA39" s="56"/>
      <c r="AB39" s="56">
        <v>0</v>
      </c>
      <c r="AC39" s="56"/>
      <c r="AD39" s="56">
        <v>0</v>
      </c>
      <c r="AE39" s="56"/>
      <c r="AF39" s="56">
        <f t="shared" si="0"/>
        <v>0</v>
      </c>
      <c r="AG39" s="56">
        <v>0</v>
      </c>
      <c r="AH39" s="56">
        <v>0</v>
      </c>
      <c r="AI39" s="56"/>
      <c r="AJ39" s="56">
        <f t="shared" si="1"/>
        <v>0</v>
      </c>
      <c r="AK39" s="85"/>
      <c r="AL39" s="56">
        <v>0</v>
      </c>
      <c r="AM39" s="56"/>
      <c r="AN39" s="88">
        <f t="shared" si="6"/>
        <v>0</v>
      </c>
      <c r="AO39" s="88">
        <v>0</v>
      </c>
      <c r="AP39" s="88">
        <v>0</v>
      </c>
      <c r="AQ39" s="56"/>
      <c r="AR39" s="56">
        <v>0</v>
      </c>
      <c r="AS39" s="56"/>
      <c r="AT39" s="56">
        <v>0</v>
      </c>
      <c r="AU39" s="56"/>
      <c r="AV39" s="56">
        <f t="shared" si="2"/>
        <v>0</v>
      </c>
      <c r="AW39" s="56"/>
      <c r="AX39" s="56">
        <v>0</v>
      </c>
      <c r="AY39" s="56"/>
      <c r="AZ39" s="88">
        <v>0</v>
      </c>
      <c r="BA39" s="56">
        <v>0</v>
      </c>
      <c r="BB39" s="214"/>
      <c r="BC39" s="56"/>
      <c r="BD39" s="84">
        <f t="shared" si="3"/>
        <v>0</v>
      </c>
      <c r="BE39" s="56"/>
      <c r="BF39" s="56"/>
      <c r="BG39" s="56"/>
      <c r="BH39" s="72"/>
    </row>
    <row r="40" spans="1:62" ht="20.100000000000001" customHeight="1" outlineLevel="1">
      <c r="A40" s="77" t="s">
        <v>43</v>
      </c>
      <c r="B40" s="77" t="s">
        <v>548</v>
      </c>
      <c r="C40" s="77" t="str">
        <f t="shared" si="5"/>
        <v>AW·</v>
      </c>
      <c r="D40" s="78" t="s">
        <v>46</v>
      </c>
      <c r="E40" s="78" t="str">
        <f t="shared" si="4"/>
        <v>000</v>
      </c>
      <c r="F40" s="3">
        <v>644212</v>
      </c>
      <c r="G40" s="102" t="s">
        <v>587</v>
      </c>
      <c r="H40" s="87"/>
      <c r="I40" s="13">
        <v>1280</v>
      </c>
      <c r="J40" s="13">
        <v>0</v>
      </c>
      <c r="L40" s="56">
        <v>0</v>
      </c>
      <c r="M40" s="56"/>
      <c r="N40" s="56">
        <v>0</v>
      </c>
      <c r="O40" s="56"/>
      <c r="P40" s="56">
        <v>0</v>
      </c>
      <c r="Q40" s="56"/>
      <c r="R40" s="56">
        <v>0</v>
      </c>
      <c r="S40" s="56"/>
      <c r="T40" s="56">
        <v>0</v>
      </c>
      <c r="U40" s="56"/>
      <c r="V40" s="56">
        <v>0</v>
      </c>
      <c r="W40" s="56"/>
      <c r="X40" s="56">
        <v>0</v>
      </c>
      <c r="Y40" s="56"/>
      <c r="Z40" s="56">
        <v>0</v>
      </c>
      <c r="AA40" s="56"/>
      <c r="AB40" s="56">
        <v>0</v>
      </c>
      <c r="AC40" s="56"/>
      <c r="AD40" s="56">
        <v>0</v>
      </c>
      <c r="AE40" s="56"/>
      <c r="AF40" s="56">
        <f t="shared" si="0"/>
        <v>0</v>
      </c>
      <c r="AG40" s="56">
        <v>0</v>
      </c>
      <c r="AH40" s="56">
        <v>0</v>
      </c>
      <c r="AI40" s="56"/>
      <c r="AJ40" s="56">
        <f t="shared" si="1"/>
        <v>0</v>
      </c>
      <c r="AK40" s="85"/>
      <c r="AL40" s="56">
        <v>0</v>
      </c>
      <c r="AM40" s="56"/>
      <c r="AN40" s="88">
        <f t="shared" si="6"/>
        <v>0</v>
      </c>
      <c r="AO40" s="88">
        <v>0</v>
      </c>
      <c r="AP40" s="88">
        <v>0</v>
      </c>
      <c r="AQ40" s="56"/>
      <c r="AR40" s="56">
        <v>0</v>
      </c>
      <c r="AS40" s="56"/>
      <c r="AT40" s="56">
        <v>0</v>
      </c>
      <c r="AU40" s="56"/>
      <c r="AV40" s="56">
        <f t="shared" si="2"/>
        <v>0</v>
      </c>
      <c r="AW40" s="56"/>
      <c r="AX40" s="56">
        <v>0</v>
      </c>
      <c r="AY40" s="56"/>
      <c r="AZ40" s="88">
        <v>0</v>
      </c>
      <c r="BA40" s="56">
        <v>0</v>
      </c>
      <c r="BB40" s="214"/>
      <c r="BC40" s="56"/>
      <c r="BD40" s="84">
        <f t="shared" si="3"/>
        <v>0</v>
      </c>
      <c r="BE40" s="56"/>
      <c r="BF40" s="56"/>
      <c r="BG40" s="56"/>
      <c r="BH40" s="72"/>
    </row>
    <row r="41" spans="1:62" ht="20.100000000000001" customHeight="1" outlineLevel="1">
      <c r="A41" s="77" t="s">
        <v>43</v>
      </c>
      <c r="B41" s="77" t="s">
        <v>548</v>
      </c>
      <c r="C41" s="77" t="str">
        <f t="shared" si="5"/>
        <v>AW·</v>
      </c>
      <c r="D41" s="78" t="s">
        <v>46</v>
      </c>
      <c r="E41" s="78" t="str">
        <f t="shared" si="4"/>
        <v>000</v>
      </c>
      <c r="F41" s="3">
        <v>644212</v>
      </c>
      <c r="G41" s="102" t="s">
        <v>588</v>
      </c>
      <c r="H41" s="87"/>
      <c r="I41" s="13">
        <v>0</v>
      </c>
      <c r="J41" s="13">
        <v>0</v>
      </c>
      <c r="L41" s="56">
        <v>0</v>
      </c>
      <c r="M41" s="56"/>
      <c r="N41" s="56">
        <v>0</v>
      </c>
      <c r="O41" s="56"/>
      <c r="P41" s="56">
        <v>0</v>
      </c>
      <c r="Q41" s="56"/>
      <c r="R41" s="56">
        <v>0</v>
      </c>
      <c r="S41" s="56"/>
      <c r="T41" s="56">
        <v>0</v>
      </c>
      <c r="U41" s="56"/>
      <c r="V41" s="56">
        <v>0</v>
      </c>
      <c r="W41" s="56"/>
      <c r="X41" s="56">
        <v>0</v>
      </c>
      <c r="Y41" s="56"/>
      <c r="Z41" s="56">
        <v>0</v>
      </c>
      <c r="AA41" s="56"/>
      <c r="AB41" s="56">
        <v>0</v>
      </c>
      <c r="AC41" s="56"/>
      <c r="AD41" s="56">
        <v>0</v>
      </c>
      <c r="AE41" s="56"/>
      <c r="AF41" s="56">
        <f t="shared" si="0"/>
        <v>0</v>
      </c>
      <c r="AG41" s="56">
        <v>0</v>
      </c>
      <c r="AH41" s="56">
        <v>0</v>
      </c>
      <c r="AI41" s="56"/>
      <c r="AJ41" s="56">
        <f t="shared" si="1"/>
        <v>0</v>
      </c>
      <c r="AK41" s="85"/>
      <c r="AL41" s="56">
        <v>0</v>
      </c>
      <c r="AM41" s="56"/>
      <c r="AN41" s="88">
        <f t="shared" si="6"/>
        <v>0</v>
      </c>
      <c r="AO41" s="88">
        <v>0</v>
      </c>
      <c r="AP41" s="88">
        <v>0</v>
      </c>
      <c r="AQ41" s="56"/>
      <c r="AR41" s="56">
        <v>0</v>
      </c>
      <c r="AS41" s="56"/>
      <c r="AT41" s="56">
        <v>0</v>
      </c>
      <c r="AU41" s="56"/>
      <c r="AV41" s="56">
        <f t="shared" si="2"/>
        <v>0</v>
      </c>
      <c r="AW41" s="56"/>
      <c r="AX41" s="56">
        <v>0</v>
      </c>
      <c r="AY41" s="56"/>
      <c r="AZ41" s="88">
        <v>0</v>
      </c>
      <c r="BA41" s="56">
        <v>0</v>
      </c>
      <c r="BB41" s="214"/>
      <c r="BC41" s="56"/>
      <c r="BD41" s="84">
        <f t="shared" si="3"/>
        <v>0</v>
      </c>
      <c r="BE41" s="56"/>
      <c r="BF41" s="56"/>
      <c r="BG41" s="56"/>
      <c r="BH41" s="72"/>
    </row>
    <row r="42" spans="1:62" ht="20.100000000000001" customHeight="1" outlineLevel="1">
      <c r="A42" s="77" t="s">
        <v>43</v>
      </c>
      <c r="B42" s="77" t="s">
        <v>91</v>
      </c>
      <c r="C42" s="77" t="str">
        <f t="shared" si="5"/>
        <v>AW·</v>
      </c>
      <c r="D42" s="78" t="s">
        <v>46</v>
      </c>
      <c r="E42" s="78" t="str">
        <f t="shared" si="4"/>
        <v>000</v>
      </c>
      <c r="F42" s="3">
        <v>611712</v>
      </c>
      <c r="G42" s="102" t="s">
        <v>589</v>
      </c>
      <c r="H42" s="87"/>
      <c r="I42" s="13">
        <v>0</v>
      </c>
      <c r="J42" s="13">
        <v>0</v>
      </c>
      <c r="L42" s="56">
        <v>0</v>
      </c>
      <c r="M42" s="56"/>
      <c r="N42" s="56">
        <v>0</v>
      </c>
      <c r="O42" s="56"/>
      <c r="P42" s="56">
        <v>0</v>
      </c>
      <c r="Q42" s="56"/>
      <c r="R42" s="56">
        <v>0</v>
      </c>
      <c r="S42" s="56"/>
      <c r="T42" s="56">
        <v>0</v>
      </c>
      <c r="U42" s="56"/>
      <c r="V42" s="56">
        <v>0</v>
      </c>
      <c r="W42" s="56"/>
      <c r="X42" s="56">
        <v>0</v>
      </c>
      <c r="Y42" s="56"/>
      <c r="Z42" s="56">
        <v>0</v>
      </c>
      <c r="AA42" s="56"/>
      <c r="AB42" s="56">
        <v>0</v>
      </c>
      <c r="AC42" s="56"/>
      <c r="AD42" s="56">
        <v>0</v>
      </c>
      <c r="AE42" s="56"/>
      <c r="AF42" s="56">
        <f t="shared" si="0"/>
        <v>0</v>
      </c>
      <c r="AG42" s="56">
        <v>0</v>
      </c>
      <c r="AH42" s="56">
        <v>0</v>
      </c>
      <c r="AI42" s="56"/>
      <c r="AJ42" s="56">
        <f t="shared" si="1"/>
        <v>0</v>
      </c>
      <c r="AK42" s="85"/>
      <c r="AL42" s="56">
        <v>0</v>
      </c>
      <c r="AM42" s="56"/>
      <c r="AN42" s="88">
        <f t="shared" si="6"/>
        <v>0</v>
      </c>
      <c r="AO42" s="88">
        <v>0</v>
      </c>
      <c r="AP42" s="88">
        <v>0</v>
      </c>
      <c r="AQ42" s="56"/>
      <c r="AR42" s="56">
        <v>0</v>
      </c>
      <c r="AS42" s="56"/>
      <c r="AT42" s="56">
        <v>0</v>
      </c>
      <c r="AU42" s="56"/>
      <c r="AV42" s="56">
        <f t="shared" si="2"/>
        <v>0</v>
      </c>
      <c r="AW42" s="56"/>
      <c r="AX42" s="56">
        <v>0</v>
      </c>
      <c r="AY42" s="56"/>
      <c r="AZ42" s="88">
        <v>0</v>
      </c>
      <c r="BA42" s="56">
        <v>0</v>
      </c>
      <c r="BB42" s="214"/>
      <c r="BC42" s="56"/>
      <c r="BD42" s="84">
        <f t="shared" si="3"/>
        <v>0</v>
      </c>
      <c r="BE42" s="56"/>
      <c r="BF42" s="56"/>
      <c r="BG42" s="56"/>
      <c r="BH42" s="72">
        <v>1</v>
      </c>
      <c r="BJ42">
        <v>1</v>
      </c>
    </row>
    <row r="43" spans="1:62" ht="20.100000000000001" customHeight="1">
      <c r="B43" s="77"/>
      <c r="C43" s="77"/>
      <c r="D43" s="90"/>
      <c r="E43" s="90"/>
      <c r="F43" s="3"/>
      <c r="G43" s="110" t="s">
        <v>590</v>
      </c>
      <c r="H43" s="81"/>
      <c r="I43" s="92">
        <v>3213545</v>
      </c>
      <c r="J43" s="93">
        <v>3726038</v>
      </c>
      <c r="L43" s="125">
        <v>1131073</v>
      </c>
      <c r="M43" s="126"/>
      <c r="N43" s="125">
        <v>1093993</v>
      </c>
      <c r="O43" s="126"/>
      <c r="P43" s="125">
        <v>1083947</v>
      </c>
      <c r="Q43" s="126"/>
      <c r="R43" s="125">
        <v>1105609</v>
      </c>
      <c r="S43" s="95"/>
      <c r="T43" s="94">
        <v>0</v>
      </c>
      <c r="U43" s="126"/>
      <c r="V43" s="125">
        <v>1105609</v>
      </c>
      <c r="W43" s="126"/>
      <c r="X43" s="125">
        <f>SUBTOTAL(9,X11:X42)</f>
        <v>1140453.9000000001</v>
      </c>
      <c r="Y43" s="126"/>
      <c r="Z43" s="125">
        <f>SUBTOTAL(9,Z11:Z42)</f>
        <v>1230539</v>
      </c>
      <c r="AA43" s="126"/>
      <c r="AB43" s="125">
        <f>SUBTOTAL(9,AB11:AB42)</f>
        <v>0</v>
      </c>
      <c r="AC43" s="126"/>
      <c r="AD43" s="125">
        <f>SUBTOTAL(9,AD11:AD42)</f>
        <v>38404</v>
      </c>
      <c r="AE43" s="126"/>
      <c r="AF43" s="125">
        <f>SUBTOTAL(9,AF11:AF42)</f>
        <v>1268943</v>
      </c>
      <c r="AG43" s="125">
        <f>SUBTOTAL(9,AG11:AG42)</f>
        <v>6000</v>
      </c>
      <c r="AH43" s="125">
        <f>SUBTOTAL(9,AH11:AH42)</f>
        <v>13500</v>
      </c>
      <c r="AI43" s="126"/>
      <c r="AJ43" s="125">
        <f>SUBTOTAL(9,AJ11:AJ42)</f>
        <v>1288443</v>
      </c>
      <c r="AK43" s="96"/>
      <c r="AL43" s="125">
        <f>SUBTOTAL(9,AL11:AL42)</f>
        <v>0</v>
      </c>
      <c r="AM43" s="126"/>
      <c r="AN43" s="127">
        <f>SUBTOTAL(9,AN11:AN42)</f>
        <v>1175528.7999999998</v>
      </c>
      <c r="AO43" s="127">
        <f>SUBTOTAL(9,AO11:AO42)</f>
        <v>0</v>
      </c>
      <c r="AP43" s="127">
        <f>SUBTOTAL(9,AP11:AP42)</f>
        <v>1259696.1399999999</v>
      </c>
      <c r="AQ43" s="126"/>
      <c r="AR43" s="125">
        <f>SUBTOTAL(9,AR11:AR42)</f>
        <v>0</v>
      </c>
      <c r="AS43" s="126"/>
      <c r="AT43" s="125">
        <f>SUBTOTAL(9,AT11:AT42)</f>
        <v>37606.5</v>
      </c>
      <c r="AU43" s="126"/>
      <c r="AV43" s="125">
        <f>SUBTOTAL(9,AV11:AV42)</f>
        <v>1297290.8099999998</v>
      </c>
      <c r="AW43" s="126"/>
      <c r="AX43" s="125">
        <f>SUBTOTAL(9,AX11:AX42)</f>
        <v>19472</v>
      </c>
      <c r="AY43" s="126"/>
      <c r="AZ43" s="127">
        <f>SUBTOTAL(9,AZ11:AZ42)</f>
        <v>1138699</v>
      </c>
      <c r="BA43" s="125">
        <f>SUBTOTAL(9,BA11:BA42)</f>
        <v>1184672</v>
      </c>
      <c r="BB43" s="214"/>
      <c r="BC43" s="56"/>
      <c r="BD43" s="98">
        <f t="shared" si="3"/>
        <v>84167.340000000084</v>
      </c>
      <c r="BE43" s="126"/>
      <c r="BF43" s="126"/>
      <c r="BG43" s="126"/>
    </row>
  </sheetData>
  <autoFilter ref="A9:BH43"/>
  <mergeCells count="8">
    <mergeCell ref="A8:D8"/>
    <mergeCell ref="AB5:AD5"/>
    <mergeCell ref="AG2:AH2"/>
    <mergeCell ref="AG3:AH3"/>
    <mergeCell ref="AG4:AH4"/>
    <mergeCell ref="AB4:AD4"/>
    <mergeCell ref="A6:F6"/>
    <mergeCell ref="A7:F7"/>
  </mergeCells>
  <phoneticPr fontId="3" type="noConversion"/>
  <conditionalFormatting sqref="F1:F1048576">
    <cfRule type="cellIs" dxfId="19" priority="1" stopIfTrue="1" operator="between">
      <formula>610000</formula>
      <formula>619999</formula>
    </cfRule>
  </conditionalFormatting>
  <pageMargins left="0.54" right="0.25" top="0.24" bottom="0.49" header="0.25" footer="0"/>
  <pageSetup scale="77" fitToHeight="0" orientation="landscape" r:id="rId1"/>
  <headerFooter alignWithMargins="0">
    <oddFooter>&amp;C&amp;8Detail of Expenditures Budget By Department, Page &amp;P of &amp;N</oddFooter>
  </headerFooter>
  <legacyDrawing r:id="rId2"/>
</worksheet>
</file>

<file path=xl/worksheets/sheet19.xml><?xml version="1.0" encoding="utf-8"?>
<worksheet xmlns="http://schemas.openxmlformats.org/spreadsheetml/2006/main" xmlns:r="http://schemas.openxmlformats.org/officeDocument/2006/relationships">
  <sheetPr codeName="Sheet13" enableFormatConditionsCalculation="0">
    <tabColor indexed="17"/>
    <pageSetUpPr fitToPage="1"/>
  </sheetPr>
  <dimension ref="A1:BJ20"/>
  <sheetViews>
    <sheetView zoomScale="87" zoomScaleNormal="90" workbookViewId="0">
      <pane xSplit="8" ySplit="9" topLeftCell="AN10" activePane="bottomRight" state="frozen"/>
      <selection activeCell="A28" sqref="A28"/>
      <selection pane="topRight" activeCell="A28" sqref="A28"/>
      <selection pane="bottomLeft" activeCell="A28" sqref="A28"/>
      <selection pane="bottomRight"/>
    </sheetView>
  </sheetViews>
  <sheetFormatPr defaultRowHeight="12.75" outlineLevelRow="1" outlineLevelCol="1"/>
  <cols>
    <col min="1" max="1" width="7" style="39" customWidth="1" outlineLevel="1"/>
    <col min="2" max="2" width="6.140625" style="39" customWidth="1" outlineLevel="1"/>
    <col min="3" max="3" width="3.7109375" style="39" customWidth="1" outlineLevel="1"/>
    <col min="4" max="5" width="4.85546875" style="168" customWidth="1" outlineLevel="1"/>
    <col min="6" max="6" width="8.7109375" style="40" customWidth="1" outlineLevel="1"/>
    <col min="7" max="7" width="28.5703125" style="4" customWidth="1"/>
    <col min="8" max="8" width="16.5703125" style="4" hidden="1" customWidth="1"/>
    <col min="9" max="10" width="15.140625" style="4" hidden="1" customWidth="1" collapsed="1"/>
    <col min="11" max="11" width="39.5703125" style="4" hidden="1" customWidth="1"/>
    <col min="12" max="12" width="15.140625" style="7" bestFit="1" customWidth="1" collapsed="1"/>
    <col min="13" max="13" width="31.7109375" style="7" hidden="1" customWidth="1"/>
    <col min="14" max="14" width="35.5703125" style="7" hidden="1" customWidth="1" collapsed="1"/>
    <col min="15" max="15" width="0.140625" style="7" customWidth="1"/>
    <col min="16" max="16" width="25.28515625" style="7" hidden="1" customWidth="1" outlineLevel="1" collapsed="1"/>
    <col min="17" max="17" width="23.42578125" style="7" hidden="1" customWidth="1" outlineLevel="1"/>
    <col min="18" max="18" width="20.5703125" style="7" hidden="1" customWidth="1" outlineLevel="1" collapsed="1"/>
    <col min="19" max="19" width="18" style="7" hidden="1" customWidth="1" outlineLevel="1"/>
    <col min="20" max="20" width="19.5703125" style="7" hidden="1" customWidth="1" outlineLevel="1"/>
    <col min="21" max="21" width="18.42578125" style="7" hidden="1" customWidth="1" outlineLevel="1"/>
    <col min="22" max="22" width="13.140625" style="7" hidden="1" customWidth="1"/>
    <col min="23" max="23" width="14.140625" style="7" hidden="1" customWidth="1"/>
    <col min="24" max="24" width="14.5703125" style="7" customWidth="1" collapsed="1"/>
    <col min="25" max="25" width="0.85546875" style="7" hidden="1" customWidth="1"/>
    <col min="26" max="26" width="16.140625" style="7" hidden="1" customWidth="1"/>
    <col min="27" max="27" width="0.140625" style="7" hidden="1" customWidth="1"/>
    <col min="28" max="28" width="16.140625" style="7" hidden="1" customWidth="1" outlineLevel="1"/>
    <col min="29" max="29" width="0.42578125" style="7" hidden="1" customWidth="1" outlineLevel="1"/>
    <col min="30" max="30" width="17.85546875" style="7" hidden="1" customWidth="1" outlineLevel="1"/>
    <col min="31" max="31" width="0.42578125" style="7" hidden="1" customWidth="1" outlineLevel="1"/>
    <col min="32" max="32" width="16.140625" style="7" hidden="1" customWidth="1" collapsed="1"/>
    <col min="33" max="33" width="16" style="7" hidden="1" customWidth="1" outlineLevel="1"/>
    <col min="34" max="34" width="17" style="7" hidden="1" customWidth="1" outlineLevel="1"/>
    <col min="35" max="35" width="10.5703125" style="7" hidden="1" customWidth="1" outlineLevel="1"/>
    <col min="36" max="36" width="16.140625" style="7" hidden="1" customWidth="1" collapsed="1"/>
    <col min="37" max="37" width="0.7109375" style="7" hidden="1" customWidth="1"/>
    <col min="38" max="38" width="16.140625" style="7" hidden="1" customWidth="1" outlineLevel="1"/>
    <col min="39" max="39" width="4.140625" style="7" hidden="1" customWidth="1" outlineLevel="1"/>
    <col min="40" max="40" width="16.140625" style="17" customWidth="1" collapsed="1"/>
    <col min="41" max="41" width="16.140625" style="17" hidden="1" customWidth="1" collapsed="1"/>
    <col min="42" max="42" width="16.140625" style="17" customWidth="1" collapsed="1"/>
    <col min="43" max="43" width="0.7109375" style="7" hidden="1" customWidth="1" outlineLevel="1"/>
    <col min="44" max="44" width="22.140625" style="7" hidden="1" customWidth="1" outlineLevel="1"/>
    <col min="45" max="45" width="0.42578125" style="7" hidden="1" customWidth="1" outlineLevel="1"/>
    <col min="46" max="46" width="17.85546875" style="7" hidden="1" customWidth="1" outlineLevel="1"/>
    <col min="47" max="47" width="0.42578125" style="7" hidden="1" customWidth="1" outlineLevel="1"/>
    <col min="48" max="48" width="18" style="7" hidden="1" customWidth="1" collapsed="1"/>
    <col min="49" max="49" width="0.5703125" style="7" hidden="1" customWidth="1"/>
    <col min="50" max="50" width="18" style="7" hidden="1" customWidth="1"/>
    <col min="51" max="51" width="0.5703125" style="7" customWidth="1"/>
    <col min="52" max="52" width="15.140625" style="7" customWidth="1"/>
    <col min="53" max="53" width="15.7109375" style="7" bestFit="1" customWidth="1"/>
    <col min="54" max="54" width="15.140625" style="7" customWidth="1"/>
    <col min="55" max="55" width="23.140625" style="7" customWidth="1"/>
    <col min="56" max="56" width="19.85546875" style="7" bestFit="1" customWidth="1"/>
    <col min="57" max="59" width="12.42578125" style="7" customWidth="1"/>
    <col min="60" max="60" width="3.85546875" style="76" customWidth="1"/>
    <col min="61" max="61" width="14.5703125" style="12" bestFit="1" customWidth="1"/>
  </cols>
  <sheetData>
    <row r="1" spans="1:62" ht="15">
      <c r="A1" s="1" t="s">
        <v>0</v>
      </c>
      <c r="B1" s="2"/>
      <c r="C1" s="2"/>
      <c r="D1" s="1"/>
      <c r="E1" s="1"/>
      <c r="F1" s="3"/>
      <c r="H1" s="5"/>
      <c r="I1" s="6"/>
      <c r="T1" s="8"/>
      <c r="Z1" s="9"/>
      <c r="AB1" s="9"/>
      <c r="AD1" s="9"/>
      <c r="AF1" s="9"/>
      <c r="AH1" s="10" t="e">
        <f>+#REF!</f>
        <v>#REF!</v>
      </c>
      <c r="AJ1" s="9"/>
      <c r="AK1" s="9"/>
      <c r="AN1" s="9"/>
      <c r="AO1" s="9"/>
      <c r="AP1" s="9"/>
      <c r="AR1" s="9"/>
      <c r="AT1" s="9"/>
      <c r="AV1" s="9"/>
      <c r="AW1" s="9"/>
      <c r="AX1" s="9"/>
      <c r="AY1" s="9"/>
      <c r="AZ1" s="9"/>
      <c r="BA1" s="9"/>
      <c r="BB1" s="9"/>
      <c r="BC1" s="9"/>
      <c r="BD1" s="9"/>
      <c r="BE1" s="9"/>
      <c r="BF1" s="9"/>
      <c r="BG1" s="9"/>
      <c r="BH1" s="11"/>
    </row>
    <row r="2" spans="1:62" ht="15">
      <c r="A2" s="1" t="s">
        <v>1053</v>
      </c>
      <c r="B2" s="2"/>
      <c r="C2" s="2"/>
      <c r="D2" s="1"/>
      <c r="E2" s="1"/>
      <c r="F2" s="3"/>
      <c r="H2" s="5"/>
      <c r="I2" s="13"/>
      <c r="J2" s="14"/>
      <c r="K2" s="14"/>
      <c r="L2" s="15"/>
      <c r="M2" s="15"/>
      <c r="N2" s="15"/>
      <c r="O2" s="15"/>
      <c r="P2" s="15"/>
      <c r="R2" s="15"/>
      <c r="T2" s="8"/>
      <c r="V2" s="15"/>
      <c r="X2" s="15"/>
      <c r="Z2" s="15"/>
      <c r="AB2" s="15"/>
      <c r="AD2" s="15"/>
      <c r="AF2" s="15"/>
      <c r="AG2" s="238" t="s">
        <v>1</v>
      </c>
      <c r="AH2" s="238"/>
      <c r="AI2" s="17"/>
      <c r="AJ2" s="18"/>
      <c r="AK2" s="15"/>
      <c r="AL2" s="10" t="e">
        <f>+#REF!</f>
        <v>#REF!</v>
      </c>
      <c r="AN2" s="18"/>
      <c r="AO2" s="18"/>
      <c r="AP2" s="18"/>
      <c r="AR2" s="15"/>
      <c r="AT2" s="15"/>
      <c r="AV2" s="15"/>
      <c r="AW2" s="15"/>
      <c r="AX2" s="15"/>
      <c r="AY2" s="15"/>
      <c r="AZ2" s="15"/>
      <c r="BA2" s="15"/>
      <c r="BB2" s="15"/>
      <c r="BC2" s="15"/>
      <c r="BD2" s="15"/>
      <c r="BE2" s="15"/>
      <c r="BF2" s="15"/>
      <c r="BG2" s="15"/>
      <c r="BH2" s="19"/>
    </row>
    <row r="3" spans="1:62">
      <c r="A3" s="20" t="str">
        <f>IF(G7=1,"DETAIL OF EXPENDITURES BUDGET BY DEPARTMENT WITH COMPARATIVE AMOUNTS", "SUMMARY OF EXPENDITURES BUDGET BY DEPARTMENT WITH COMPARATIVE AMOUNTS")</f>
        <v>DETAIL OF EXPENDITURES BUDGET BY DEPARTMENT WITH COMPARATIVE AMOUNTS</v>
      </c>
      <c r="B3" s="21"/>
      <c r="C3" s="21"/>
      <c r="D3" s="22"/>
      <c r="E3" s="22"/>
      <c r="F3" s="3"/>
      <c r="H3" s="5"/>
      <c r="I3" s="23"/>
      <c r="J3" s="15"/>
      <c r="L3" s="15"/>
      <c r="M3" s="10"/>
      <c r="N3" s="10"/>
      <c r="O3" s="10"/>
      <c r="P3" s="24"/>
      <c r="R3" s="24"/>
      <c r="V3" s="24"/>
      <c r="W3" s="24"/>
      <c r="X3" s="15"/>
      <c r="Y3" s="24"/>
      <c r="AA3" s="24"/>
      <c r="AB3" s="24" t="e">
        <f>+#REF!</f>
        <v>#REF!</v>
      </c>
      <c r="AC3" s="24"/>
      <c r="AD3" s="24" t="e">
        <f>+#REF!</f>
        <v>#REF!</v>
      </c>
      <c r="AE3" s="24"/>
      <c r="AF3" s="10" t="e">
        <f>+#REF!</f>
        <v>#REF!</v>
      </c>
      <c r="AG3" s="239" t="s">
        <v>2</v>
      </c>
      <c r="AH3" s="239"/>
      <c r="AI3" s="25"/>
      <c r="AJ3" s="25" t="e">
        <f>+#REF!</f>
        <v>#REF!</v>
      </c>
      <c r="AK3" s="24"/>
      <c r="AL3" s="16" t="s">
        <v>1</v>
      </c>
      <c r="AM3" s="25"/>
      <c r="AN3" s="25"/>
      <c r="AO3" s="25"/>
      <c r="AP3" s="25"/>
      <c r="AQ3" s="24"/>
      <c r="AR3" s="24" t="e">
        <f>+#REF!</f>
        <v>#REF!</v>
      </c>
      <c r="AS3" s="24"/>
      <c r="AT3" s="24" t="e">
        <f>+#REF!</f>
        <v>#REF!</v>
      </c>
      <c r="AU3" s="24"/>
      <c r="AV3" s="24" t="e">
        <f>+#REF!</f>
        <v>#REF!</v>
      </c>
      <c r="AW3" s="24"/>
      <c r="AX3" s="24" t="e">
        <f>+#REF!</f>
        <v>#REF!</v>
      </c>
      <c r="AY3" s="24"/>
      <c r="AZ3" s="24"/>
      <c r="BA3" s="24"/>
      <c r="BB3" s="24"/>
      <c r="BC3" s="24"/>
      <c r="BD3" s="26"/>
      <c r="BE3" s="26"/>
      <c r="BF3" s="26"/>
      <c r="BG3" s="26"/>
      <c r="BH3" s="27"/>
    </row>
    <row r="4" spans="1:62" ht="15">
      <c r="A4" s="28" t="s">
        <v>1070</v>
      </c>
      <c r="B4" s="29"/>
      <c r="C4" s="29"/>
      <c r="D4" s="28"/>
      <c r="E4" s="28"/>
      <c r="F4" s="3"/>
      <c r="H4" s="30"/>
      <c r="I4" s="31" t="e">
        <f>+#REF!</f>
        <v>#REF!</v>
      </c>
      <c r="J4" s="31" t="e">
        <f>+#REF!</f>
        <v>#REF!</v>
      </c>
      <c r="L4" s="31"/>
      <c r="M4" s="32"/>
      <c r="N4" s="33"/>
      <c r="O4" s="32"/>
      <c r="P4" s="33"/>
      <c r="R4" s="33"/>
      <c r="T4" s="33"/>
      <c r="X4" s="31"/>
      <c r="Z4" s="10"/>
      <c r="AB4" s="241"/>
      <c r="AC4" s="241"/>
      <c r="AD4" s="241"/>
      <c r="AE4" s="35"/>
      <c r="AF4" s="34"/>
      <c r="AG4" s="240"/>
      <c r="AH4" s="240"/>
      <c r="AI4" s="17"/>
      <c r="AJ4" s="16"/>
      <c r="AK4" s="24"/>
      <c r="AL4" s="16"/>
      <c r="AM4" s="17"/>
      <c r="AN4" s="31"/>
      <c r="AO4" s="31"/>
      <c r="AP4" s="31"/>
      <c r="AR4" s="34" t="s">
        <v>5</v>
      </c>
      <c r="AU4" s="35"/>
      <c r="AV4" s="34"/>
      <c r="AW4" s="34"/>
      <c r="AX4" s="34" t="s">
        <v>5</v>
      </c>
      <c r="AY4" s="34"/>
      <c r="AZ4" s="34"/>
      <c r="BA4" s="34"/>
      <c r="BB4" s="34"/>
      <c r="BC4" s="34"/>
      <c r="BD4" s="37"/>
      <c r="BE4" s="37"/>
      <c r="BF4" s="37"/>
      <c r="BG4" s="37"/>
      <c r="BH4" s="38"/>
    </row>
    <row r="5" spans="1:62" ht="15">
      <c r="B5" s="29"/>
      <c r="C5" s="29"/>
      <c r="D5" s="28"/>
      <c r="E5" s="28"/>
      <c r="G5" s="28"/>
      <c r="H5" s="5"/>
      <c r="I5" s="41" t="s">
        <v>6</v>
      </c>
      <c r="J5" s="42" t="s">
        <v>7</v>
      </c>
      <c r="L5" s="16" t="s">
        <v>8</v>
      </c>
      <c r="M5" s="16"/>
      <c r="N5" s="16" t="s">
        <v>9</v>
      </c>
      <c r="O5" s="16"/>
      <c r="P5" s="16" t="s">
        <v>9</v>
      </c>
      <c r="Q5" s="17"/>
      <c r="R5" s="43"/>
      <c r="S5" s="17"/>
      <c r="T5" s="16"/>
      <c r="U5" s="17"/>
      <c r="V5" s="16" t="s">
        <v>9</v>
      </c>
      <c r="X5" s="16" t="s">
        <v>9</v>
      </c>
      <c r="Z5" s="34" t="s">
        <v>1</v>
      </c>
      <c r="AB5" s="243" t="s">
        <v>10</v>
      </c>
      <c r="AC5" s="243"/>
      <c r="AD5" s="243"/>
      <c r="AE5" s="35"/>
      <c r="AF5" s="34" t="s">
        <v>1</v>
      </c>
      <c r="AG5" s="17"/>
      <c r="AH5" s="16" t="s">
        <v>11</v>
      </c>
      <c r="AI5" s="17"/>
      <c r="AJ5" s="16" t="s">
        <v>1</v>
      </c>
      <c r="AK5" s="24"/>
      <c r="AL5" s="43" t="s">
        <v>12</v>
      </c>
      <c r="AM5" s="17"/>
      <c r="AN5" s="16" t="s">
        <v>1</v>
      </c>
      <c r="AO5" s="45" t="s">
        <v>1</v>
      </c>
      <c r="AP5" s="46" t="s">
        <v>5</v>
      </c>
      <c r="AQ5" s="47"/>
      <c r="AR5" s="48" t="s">
        <v>10</v>
      </c>
      <c r="AS5" s="47"/>
      <c r="AT5" s="47"/>
      <c r="AU5" s="47"/>
      <c r="AV5" s="46" t="s">
        <v>5</v>
      </c>
      <c r="AW5" s="34"/>
      <c r="AX5" s="49" t="s">
        <v>3</v>
      </c>
      <c r="AY5" s="34"/>
      <c r="AZ5" s="16" t="s">
        <v>1054</v>
      </c>
      <c r="BA5" s="16" t="s">
        <v>1054</v>
      </c>
      <c r="BB5" s="34" t="s">
        <v>1069</v>
      </c>
      <c r="BC5" s="34"/>
      <c r="BD5" s="50" t="s">
        <v>13</v>
      </c>
      <c r="BE5" s="37"/>
      <c r="BF5" s="37"/>
      <c r="BG5" s="37"/>
      <c r="BH5" s="51"/>
    </row>
    <row r="6" spans="1:62">
      <c r="A6" s="242"/>
      <c r="B6" s="242"/>
      <c r="C6" s="242"/>
      <c r="D6" s="242"/>
      <c r="E6" s="242"/>
      <c r="F6" s="242"/>
      <c r="G6" s="22"/>
      <c r="H6" s="5"/>
      <c r="I6" s="52" t="s">
        <v>14</v>
      </c>
      <c r="J6" s="52" t="s">
        <v>14</v>
      </c>
      <c r="L6" s="43" t="s">
        <v>14</v>
      </c>
      <c r="M6" s="43"/>
      <c r="N6" s="43" t="s">
        <v>15</v>
      </c>
      <c r="O6" s="43"/>
      <c r="P6" s="43" t="s">
        <v>4</v>
      </c>
      <c r="Q6" s="17"/>
      <c r="R6" s="43" t="s">
        <v>4</v>
      </c>
      <c r="S6" s="43"/>
      <c r="T6" s="43" t="s">
        <v>16</v>
      </c>
      <c r="U6" s="43"/>
      <c r="V6" s="43" t="s">
        <v>4</v>
      </c>
      <c r="W6" s="43"/>
      <c r="X6" s="43" t="s">
        <v>14</v>
      </c>
      <c r="Y6" s="43"/>
      <c r="Z6" s="34" t="s">
        <v>17</v>
      </c>
      <c r="AA6" s="43"/>
      <c r="AB6" s="53" t="s">
        <v>16</v>
      </c>
      <c r="AC6" s="53"/>
      <c r="AD6" s="34"/>
      <c r="AE6" s="53"/>
      <c r="AF6" s="34" t="s">
        <v>17</v>
      </c>
      <c r="AG6" s="43" t="s">
        <v>16</v>
      </c>
      <c r="AH6" s="16" t="s">
        <v>18</v>
      </c>
      <c r="AI6" s="43"/>
      <c r="AJ6" s="16" t="s">
        <v>19</v>
      </c>
      <c r="AK6" s="24"/>
      <c r="AL6" s="43" t="s">
        <v>16</v>
      </c>
      <c r="AM6" s="43"/>
      <c r="AN6" s="43" t="s">
        <v>14</v>
      </c>
      <c r="AO6" s="45" t="s">
        <v>20</v>
      </c>
      <c r="AP6" s="43" t="s">
        <v>14</v>
      </c>
      <c r="AQ6" s="54"/>
      <c r="AR6" s="54" t="s">
        <v>16</v>
      </c>
      <c r="AS6" s="54"/>
      <c r="AT6" s="46"/>
      <c r="AU6" s="54"/>
      <c r="AV6" s="46" t="s">
        <v>19</v>
      </c>
      <c r="AW6" s="34"/>
      <c r="AX6" s="55" t="s">
        <v>16</v>
      </c>
      <c r="AY6" s="34"/>
      <c r="AZ6" s="16" t="s">
        <v>17</v>
      </c>
      <c r="BA6" s="16" t="s">
        <v>17</v>
      </c>
      <c r="BB6" s="34" t="s">
        <v>19</v>
      </c>
      <c r="BC6" s="56"/>
      <c r="BD6" s="50" t="s">
        <v>21</v>
      </c>
      <c r="BE6" s="37"/>
      <c r="BF6" s="37"/>
      <c r="BG6" s="37"/>
      <c r="BH6" s="57"/>
    </row>
    <row r="7" spans="1:62" ht="15">
      <c r="A7" s="237"/>
      <c r="B7" s="237"/>
      <c r="C7" s="237"/>
      <c r="D7" s="237"/>
      <c r="E7" s="237"/>
      <c r="F7" s="237"/>
      <c r="G7" s="59">
        <v>1</v>
      </c>
      <c r="H7" s="60"/>
      <c r="I7" s="52" t="s">
        <v>22</v>
      </c>
      <c r="J7" s="52" t="s">
        <v>22</v>
      </c>
      <c r="L7" s="43" t="s">
        <v>22</v>
      </c>
      <c r="M7" s="43"/>
      <c r="N7" s="43" t="s">
        <v>23</v>
      </c>
      <c r="O7" s="43"/>
      <c r="P7" s="43" t="s">
        <v>24</v>
      </c>
      <c r="Q7" s="43"/>
      <c r="R7" s="43" t="s">
        <v>24</v>
      </c>
      <c r="S7" s="43"/>
      <c r="T7" s="43" t="s">
        <v>25</v>
      </c>
      <c r="U7" s="43"/>
      <c r="V7" s="43" t="s">
        <v>24</v>
      </c>
      <c r="W7" s="43"/>
      <c r="X7" s="43" t="s">
        <v>22</v>
      </c>
      <c r="Y7" s="43"/>
      <c r="Z7" s="53" t="s">
        <v>15</v>
      </c>
      <c r="AA7" s="43"/>
      <c r="AB7" s="53" t="s">
        <v>26</v>
      </c>
      <c r="AC7" s="53"/>
      <c r="AD7" s="53"/>
      <c r="AE7" s="53"/>
      <c r="AF7" s="53" t="s">
        <v>4</v>
      </c>
      <c r="AG7" s="43" t="s">
        <v>26</v>
      </c>
      <c r="AH7" s="43" t="s">
        <v>27</v>
      </c>
      <c r="AI7" s="43"/>
      <c r="AJ7" s="43" t="s">
        <v>4</v>
      </c>
      <c r="AK7" s="24"/>
      <c r="AL7" s="43" t="s">
        <v>26</v>
      </c>
      <c r="AM7" s="43"/>
      <c r="AN7" s="43" t="s">
        <v>22</v>
      </c>
      <c r="AO7" s="61" t="s">
        <v>22</v>
      </c>
      <c r="AP7" s="43" t="s">
        <v>22</v>
      </c>
      <c r="AQ7" s="54"/>
      <c r="AR7" s="54" t="s">
        <v>26</v>
      </c>
      <c r="AS7" s="54"/>
      <c r="AT7" s="54"/>
      <c r="AU7" s="54"/>
      <c r="AV7" s="54" t="s">
        <v>4</v>
      </c>
      <c r="AW7" s="53"/>
      <c r="AX7" s="55" t="s">
        <v>26</v>
      </c>
      <c r="AY7" s="53"/>
      <c r="AZ7" s="16" t="s">
        <v>15</v>
      </c>
      <c r="BA7" s="43" t="s">
        <v>4</v>
      </c>
      <c r="BB7" s="34" t="s">
        <v>15</v>
      </c>
      <c r="BC7" s="56"/>
      <c r="BD7" s="50" t="s">
        <v>28</v>
      </c>
      <c r="BE7" s="62"/>
      <c r="BF7" s="62"/>
      <c r="BG7" s="62"/>
      <c r="BH7" s="57"/>
      <c r="BI7" s="63"/>
    </row>
    <row r="8" spans="1:62" ht="15">
      <c r="A8" s="237" t="s">
        <v>29</v>
      </c>
      <c r="B8" s="237"/>
      <c r="C8" s="237"/>
      <c r="D8" s="237"/>
      <c r="E8" s="237"/>
      <c r="F8" s="64" t="s">
        <v>30</v>
      </c>
      <c r="G8" s="64" t="s">
        <v>31</v>
      </c>
      <c r="H8" s="60"/>
      <c r="I8" s="65" t="s">
        <v>32</v>
      </c>
      <c r="J8" s="65" t="s">
        <v>32</v>
      </c>
      <c r="L8" s="66" t="s">
        <v>32</v>
      </c>
      <c r="M8" s="36"/>
      <c r="N8" s="36" t="s">
        <v>2</v>
      </c>
      <c r="O8" s="36"/>
      <c r="P8" s="36" t="s">
        <v>33</v>
      </c>
      <c r="Q8" s="36"/>
      <c r="R8" s="36" t="s">
        <v>34</v>
      </c>
      <c r="S8" s="36"/>
      <c r="T8" s="36" t="s">
        <v>35</v>
      </c>
      <c r="U8" s="36"/>
      <c r="V8" s="36" t="s">
        <v>36</v>
      </c>
      <c r="W8" s="36"/>
      <c r="X8" s="66" t="s">
        <v>32</v>
      </c>
      <c r="Y8" s="36"/>
      <c r="Z8" s="44" t="s">
        <v>24</v>
      </c>
      <c r="AA8" s="36"/>
      <c r="AB8" s="44" t="s">
        <v>35</v>
      </c>
      <c r="AC8" s="44"/>
      <c r="AD8" s="44" t="s">
        <v>37</v>
      </c>
      <c r="AE8" s="44"/>
      <c r="AF8" s="44" t="s">
        <v>38</v>
      </c>
      <c r="AG8" s="36" t="s">
        <v>35</v>
      </c>
      <c r="AH8" s="36" t="s">
        <v>39</v>
      </c>
      <c r="AI8" s="36"/>
      <c r="AJ8" s="36" t="s">
        <v>40</v>
      </c>
      <c r="AK8" s="24"/>
      <c r="AL8" s="36" t="s">
        <v>35</v>
      </c>
      <c r="AM8" s="36"/>
      <c r="AN8" s="36" t="s">
        <v>32</v>
      </c>
      <c r="AO8" s="67" t="s">
        <v>32</v>
      </c>
      <c r="AP8" s="36" t="s">
        <v>32</v>
      </c>
      <c r="AQ8" s="48"/>
      <c r="AR8" s="48" t="s">
        <v>35</v>
      </c>
      <c r="AS8" s="48"/>
      <c r="AT8" s="48" t="s">
        <v>37</v>
      </c>
      <c r="AU8" s="48"/>
      <c r="AV8" s="48" t="s">
        <v>38</v>
      </c>
      <c r="AW8" s="44"/>
      <c r="AX8" s="49" t="s">
        <v>35</v>
      </c>
      <c r="AY8" s="44"/>
      <c r="AZ8" s="36" t="s">
        <v>2</v>
      </c>
      <c r="BA8" s="36" t="s">
        <v>40</v>
      </c>
      <c r="BB8" s="44" t="s">
        <v>2</v>
      </c>
      <c r="BC8" s="56"/>
      <c r="BD8" s="50" t="s">
        <v>41</v>
      </c>
      <c r="BE8" s="68"/>
      <c r="BF8" s="68"/>
      <c r="BG8" s="68"/>
      <c r="BH8" s="69"/>
    </row>
    <row r="9" spans="1:62" ht="15">
      <c r="A9" s="58"/>
      <c r="B9" s="58"/>
      <c r="C9" s="58"/>
      <c r="D9" s="64"/>
      <c r="E9" s="64"/>
      <c r="F9" s="64"/>
      <c r="G9" s="70"/>
      <c r="H9" s="60"/>
      <c r="J9" s="71"/>
      <c r="AK9" s="24"/>
      <c r="AZ9" s="34"/>
      <c r="BB9" s="34"/>
      <c r="BC9" s="56"/>
      <c r="BH9" s="72">
        <v>2</v>
      </c>
    </row>
    <row r="10" spans="1:62" ht="20.100000000000001" customHeight="1" outlineLevel="1">
      <c r="A10" s="75" t="s">
        <v>547</v>
      </c>
      <c r="B10" s="77"/>
      <c r="C10" s="77"/>
      <c r="D10" s="90"/>
      <c r="E10" s="90"/>
      <c r="F10" s="3"/>
      <c r="H10" s="87"/>
      <c r="L10" s="44"/>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5"/>
      <c r="AL10" s="83"/>
      <c r="AM10" s="83"/>
      <c r="AN10" s="100"/>
      <c r="AO10" s="100"/>
      <c r="AP10" s="100"/>
      <c r="AQ10" s="83"/>
      <c r="AR10" s="83"/>
      <c r="AS10" s="83"/>
      <c r="AT10" s="83"/>
      <c r="AU10" s="83"/>
      <c r="AV10" s="83"/>
      <c r="AW10" s="83"/>
      <c r="AX10" s="83"/>
      <c r="AY10" s="83"/>
      <c r="AZ10" s="83"/>
      <c r="BA10" s="83"/>
      <c r="BB10" s="83"/>
      <c r="BC10" s="56"/>
      <c r="BD10" s="83"/>
      <c r="BE10" s="83"/>
      <c r="BF10" s="83"/>
      <c r="BG10" s="83"/>
      <c r="BH10" s="19"/>
    </row>
    <row r="11" spans="1:62" ht="20.100000000000001" customHeight="1" outlineLevel="1">
      <c r="A11" s="77" t="s">
        <v>43</v>
      </c>
      <c r="B11" s="77" t="s">
        <v>548</v>
      </c>
      <c r="C11" s="77" t="s">
        <v>1085</v>
      </c>
      <c r="D11" s="78" t="s">
        <v>46</v>
      </c>
      <c r="E11" s="78" t="str">
        <f>+D11</f>
        <v>000</v>
      </c>
      <c r="F11" s="79">
        <v>611961</v>
      </c>
      <c r="G11" s="102" t="s">
        <v>549</v>
      </c>
      <c r="H11" s="87"/>
      <c r="I11" s="82">
        <v>86218</v>
      </c>
      <c r="J11" s="82">
        <v>93565</v>
      </c>
      <c r="L11" s="83">
        <v>108143</v>
      </c>
      <c r="M11" s="83"/>
      <c r="N11" s="83">
        <v>99907</v>
      </c>
      <c r="O11" s="83"/>
      <c r="P11" s="83">
        <v>99907</v>
      </c>
      <c r="Q11" s="83"/>
      <c r="R11" s="83">
        <v>110100</v>
      </c>
      <c r="S11" s="83"/>
      <c r="T11" s="83">
        <v>0</v>
      </c>
      <c r="U11" s="83"/>
      <c r="V11" s="83">
        <v>110100</v>
      </c>
      <c r="W11" s="83"/>
      <c r="X11" s="83">
        <v>123688.58</v>
      </c>
      <c r="Y11" s="83"/>
      <c r="Z11" s="83">
        <v>108000</v>
      </c>
      <c r="AA11" s="83"/>
      <c r="AB11" s="83"/>
      <c r="AC11" s="83"/>
      <c r="AD11" s="83"/>
      <c r="AE11" s="83"/>
      <c r="AF11" s="84">
        <f t="shared" ref="AF11:AF18" si="0">SUM(Z11:AE11)</f>
        <v>108000</v>
      </c>
      <c r="AG11" s="83">
        <v>0</v>
      </c>
      <c r="AH11" s="83">
        <v>7875</v>
      </c>
      <c r="AI11" s="83"/>
      <c r="AJ11" s="84">
        <f t="shared" ref="AJ11:AJ18" si="1">SUM(AE11:AI11)</f>
        <v>115875</v>
      </c>
      <c r="AK11" s="85"/>
      <c r="AL11" s="83">
        <v>0</v>
      </c>
      <c r="AM11" s="83"/>
      <c r="AN11" s="86">
        <v>113267.81</v>
      </c>
      <c r="AO11" s="86">
        <v>0</v>
      </c>
      <c r="AP11" s="86">
        <v>100189.62</v>
      </c>
      <c r="AQ11" s="83"/>
      <c r="AR11" s="83">
        <v>0</v>
      </c>
      <c r="AS11" s="83"/>
      <c r="AT11" s="83">
        <v>0</v>
      </c>
      <c r="AU11" s="83"/>
      <c r="AV11" s="84">
        <f t="shared" ref="AV11:AV18" si="2">SUM(AP11:AU11)</f>
        <v>100189.62</v>
      </c>
      <c r="AW11" s="84"/>
      <c r="AX11" s="84">
        <v>0</v>
      </c>
      <c r="AY11" s="84"/>
      <c r="AZ11" s="86">
        <v>85000</v>
      </c>
      <c r="BA11" s="84">
        <v>85000</v>
      </c>
      <c r="BB11" s="214"/>
      <c r="BC11" s="56"/>
      <c r="BD11" s="84">
        <f t="shared" ref="BD11:BD19" si="3">+AP11-AN11</f>
        <v>-13078.190000000002</v>
      </c>
      <c r="BE11" s="84"/>
      <c r="BF11" s="84"/>
      <c r="BG11" s="84"/>
      <c r="BH11" s="72">
        <v>1</v>
      </c>
      <c r="BJ11">
        <v>1</v>
      </c>
    </row>
    <row r="12" spans="1:62" ht="20.100000000000001" customHeight="1" outlineLevel="1">
      <c r="A12" s="77" t="s">
        <v>43</v>
      </c>
      <c r="B12" s="77" t="s">
        <v>548</v>
      </c>
      <c r="C12" s="77" t="s">
        <v>1085</v>
      </c>
      <c r="D12" s="78" t="s">
        <v>46</v>
      </c>
      <c r="E12" s="78" t="str">
        <f t="shared" ref="E12:E18" si="4">+D12</f>
        <v>000</v>
      </c>
      <c r="F12" s="3">
        <v>643011</v>
      </c>
      <c r="G12" s="102" t="s">
        <v>258</v>
      </c>
      <c r="H12" s="87"/>
      <c r="I12" s="13">
        <v>562</v>
      </c>
      <c r="J12" s="13">
        <v>210</v>
      </c>
      <c r="L12" s="56">
        <v>369</v>
      </c>
      <c r="M12" s="56"/>
      <c r="N12" s="56">
        <v>1000</v>
      </c>
      <c r="O12" s="56"/>
      <c r="P12" s="56">
        <v>1000</v>
      </c>
      <c r="Q12" s="56"/>
      <c r="R12" s="56">
        <v>1000</v>
      </c>
      <c r="S12" s="56"/>
      <c r="T12" s="56">
        <v>0</v>
      </c>
      <c r="U12" s="56"/>
      <c r="V12" s="56">
        <v>1000</v>
      </c>
      <c r="W12" s="56"/>
      <c r="X12" s="56">
        <v>786.85</v>
      </c>
      <c r="Y12" s="56"/>
      <c r="Z12" s="56">
        <v>1000</v>
      </c>
      <c r="AA12" s="56"/>
      <c r="AB12" s="56"/>
      <c r="AC12" s="56"/>
      <c r="AD12" s="56"/>
      <c r="AE12" s="56"/>
      <c r="AF12" s="56">
        <f t="shared" si="0"/>
        <v>1000</v>
      </c>
      <c r="AG12" s="56">
        <v>0</v>
      </c>
      <c r="AH12" s="56">
        <v>0</v>
      </c>
      <c r="AI12" s="56"/>
      <c r="AJ12" s="56">
        <f t="shared" si="1"/>
        <v>1000</v>
      </c>
      <c r="AK12" s="85"/>
      <c r="AL12" s="56">
        <v>0</v>
      </c>
      <c r="AM12" s="56"/>
      <c r="AN12" s="88">
        <v>116</v>
      </c>
      <c r="AO12" s="88">
        <v>0</v>
      </c>
      <c r="AP12" s="88">
        <v>557.16</v>
      </c>
      <c r="AQ12" s="56"/>
      <c r="AR12" s="56">
        <v>0</v>
      </c>
      <c r="AS12" s="56"/>
      <c r="AT12" s="56">
        <v>0</v>
      </c>
      <c r="AU12" s="56"/>
      <c r="AV12" s="56">
        <f t="shared" si="2"/>
        <v>557.16</v>
      </c>
      <c r="AW12" s="56"/>
      <c r="AX12" s="56">
        <v>0</v>
      </c>
      <c r="AY12" s="56"/>
      <c r="AZ12" s="88">
        <v>1000</v>
      </c>
      <c r="BA12" s="56">
        <v>1000</v>
      </c>
      <c r="BB12" s="214"/>
      <c r="BC12" s="56"/>
      <c r="BD12" s="84">
        <f t="shared" si="3"/>
        <v>441.15999999999997</v>
      </c>
      <c r="BE12" s="56"/>
      <c r="BF12" s="56"/>
      <c r="BG12" s="56"/>
      <c r="BH12" s="72"/>
    </row>
    <row r="13" spans="1:62" ht="20.100000000000001" customHeight="1" outlineLevel="1">
      <c r="A13" s="77" t="s">
        <v>43</v>
      </c>
      <c r="B13" s="77" t="s">
        <v>548</v>
      </c>
      <c r="C13" s="77" t="s">
        <v>1085</v>
      </c>
      <c r="D13" s="78" t="s">
        <v>46</v>
      </c>
      <c r="E13" s="78" t="str">
        <f t="shared" si="4"/>
        <v>000</v>
      </c>
      <c r="F13" s="3">
        <v>633945</v>
      </c>
      <c r="G13" s="102" t="s">
        <v>550</v>
      </c>
      <c r="H13" s="87"/>
      <c r="I13" s="13">
        <v>1966</v>
      </c>
      <c r="J13" s="13">
        <v>0</v>
      </c>
      <c r="L13" s="56">
        <v>0</v>
      </c>
      <c r="M13" s="56"/>
      <c r="N13" s="56">
        <v>1500</v>
      </c>
      <c r="O13" s="56"/>
      <c r="P13" s="56">
        <v>1500</v>
      </c>
      <c r="Q13" s="56"/>
      <c r="R13" s="56">
        <v>1500</v>
      </c>
      <c r="S13" s="56"/>
      <c r="T13" s="56">
        <v>0</v>
      </c>
      <c r="U13" s="56"/>
      <c r="V13" s="56">
        <v>1500</v>
      </c>
      <c r="W13" s="56"/>
      <c r="X13" s="56">
        <v>0</v>
      </c>
      <c r="Y13" s="56"/>
      <c r="Z13" s="56">
        <v>1500</v>
      </c>
      <c r="AA13" s="56"/>
      <c r="AB13" s="56"/>
      <c r="AC13" s="56"/>
      <c r="AD13" s="56"/>
      <c r="AE13" s="56"/>
      <c r="AF13" s="56">
        <f t="shared" si="0"/>
        <v>1500</v>
      </c>
      <c r="AG13" s="56">
        <v>0</v>
      </c>
      <c r="AH13" s="56">
        <v>0</v>
      </c>
      <c r="AI13" s="56"/>
      <c r="AJ13" s="56">
        <f t="shared" si="1"/>
        <v>1500</v>
      </c>
      <c r="AK13" s="85"/>
      <c r="AL13" s="56">
        <v>0</v>
      </c>
      <c r="AM13" s="56"/>
      <c r="AN13" s="88">
        <v>0</v>
      </c>
      <c r="AO13" s="88">
        <v>0</v>
      </c>
      <c r="AP13" s="88">
        <v>0</v>
      </c>
      <c r="AQ13" s="56"/>
      <c r="AR13" s="56">
        <v>0</v>
      </c>
      <c r="AS13" s="56"/>
      <c r="AT13" s="56">
        <v>0</v>
      </c>
      <c r="AU13" s="56"/>
      <c r="AV13" s="56">
        <f t="shared" si="2"/>
        <v>0</v>
      </c>
      <c r="AW13" s="56"/>
      <c r="AX13" s="56">
        <v>0</v>
      </c>
      <c r="AY13" s="56"/>
      <c r="AZ13" s="88">
        <v>1500</v>
      </c>
      <c r="BA13" s="56">
        <v>0</v>
      </c>
      <c r="BB13" s="214"/>
      <c r="BC13" s="56"/>
      <c r="BD13" s="84">
        <f t="shared" si="3"/>
        <v>0</v>
      </c>
      <c r="BE13" s="56"/>
      <c r="BF13" s="56"/>
      <c r="BG13" s="56"/>
      <c r="BH13" s="72"/>
    </row>
    <row r="14" spans="1:62" ht="20.100000000000001" customHeight="1" outlineLevel="1">
      <c r="A14" s="77" t="s">
        <v>43</v>
      </c>
      <c r="B14" s="77" t="s">
        <v>548</v>
      </c>
      <c r="C14" s="77" t="s">
        <v>1085</v>
      </c>
      <c r="D14" s="78" t="s">
        <v>46</v>
      </c>
      <c r="E14" s="78" t="str">
        <f t="shared" si="4"/>
        <v>000</v>
      </c>
      <c r="F14" s="3">
        <v>644221</v>
      </c>
      <c r="G14" s="102" t="s">
        <v>551</v>
      </c>
      <c r="H14" s="87"/>
      <c r="I14" s="13">
        <v>158552</v>
      </c>
      <c r="J14" s="13">
        <v>153883</v>
      </c>
      <c r="L14" s="56">
        <v>150454</v>
      </c>
      <c r="M14" s="56"/>
      <c r="N14" s="56">
        <v>165000</v>
      </c>
      <c r="O14" s="56"/>
      <c r="P14" s="56">
        <v>177030</v>
      </c>
      <c r="Q14" s="56"/>
      <c r="R14" s="56">
        <v>177030</v>
      </c>
      <c r="S14" s="56"/>
      <c r="T14" s="56">
        <v>0</v>
      </c>
      <c r="U14" s="56"/>
      <c r="V14" s="56">
        <v>177030</v>
      </c>
      <c r="W14" s="56"/>
      <c r="X14" s="56">
        <v>142281.4</v>
      </c>
      <c r="Y14" s="56"/>
      <c r="Z14" s="56">
        <v>177030</v>
      </c>
      <c r="AA14" s="56"/>
      <c r="AB14" s="56"/>
      <c r="AC14" s="56"/>
      <c r="AD14" s="56"/>
      <c r="AE14" s="56"/>
      <c r="AF14" s="56">
        <f t="shared" si="0"/>
        <v>177030</v>
      </c>
      <c r="AG14" s="56">
        <v>0</v>
      </c>
      <c r="AH14" s="56">
        <v>0</v>
      </c>
      <c r="AI14" s="56"/>
      <c r="AJ14" s="56">
        <f t="shared" si="1"/>
        <v>177030</v>
      </c>
      <c r="AK14" s="85"/>
      <c r="AL14" s="56">
        <v>0</v>
      </c>
      <c r="AM14" s="56"/>
      <c r="AN14" s="88">
        <v>170804.3</v>
      </c>
      <c r="AO14" s="88">
        <v>0</v>
      </c>
      <c r="AP14" s="88">
        <v>134015.59</v>
      </c>
      <c r="AQ14" s="56"/>
      <c r="AR14" s="56">
        <v>0</v>
      </c>
      <c r="AS14" s="56"/>
      <c r="AT14" s="56">
        <v>0</v>
      </c>
      <c r="AU14" s="56"/>
      <c r="AV14" s="56">
        <f t="shared" si="2"/>
        <v>134015.59</v>
      </c>
      <c r="AW14" s="56"/>
      <c r="AX14" s="56">
        <v>0</v>
      </c>
      <c r="AY14" s="56"/>
      <c r="AZ14" s="88">
        <v>180000</v>
      </c>
      <c r="BA14" s="56">
        <v>180000</v>
      </c>
      <c r="BB14" s="214"/>
      <c r="BC14" s="56"/>
      <c r="BD14" s="84">
        <f t="shared" si="3"/>
        <v>-36788.709999999992</v>
      </c>
      <c r="BE14" s="56"/>
      <c r="BF14" s="56"/>
      <c r="BG14" s="56"/>
      <c r="BH14" s="72"/>
    </row>
    <row r="15" spans="1:62" ht="20.100000000000001" customHeight="1" outlineLevel="1">
      <c r="A15" s="77" t="s">
        <v>43</v>
      </c>
      <c r="B15" s="77" t="s">
        <v>548</v>
      </c>
      <c r="C15" s="77" t="s">
        <v>1085</v>
      </c>
      <c r="D15" s="78" t="s">
        <v>46</v>
      </c>
      <c r="E15" s="78" t="str">
        <f t="shared" si="4"/>
        <v>000</v>
      </c>
      <c r="F15" s="3">
        <v>653021</v>
      </c>
      <c r="G15" s="102" t="s">
        <v>71</v>
      </c>
      <c r="H15" s="87"/>
      <c r="I15" s="13"/>
      <c r="J15" s="13"/>
      <c r="L15" s="56">
        <v>0</v>
      </c>
      <c r="M15" s="56"/>
      <c r="N15" s="56"/>
      <c r="O15" s="56"/>
      <c r="P15" s="56"/>
      <c r="Q15" s="56"/>
      <c r="R15" s="56"/>
      <c r="S15" s="56"/>
      <c r="T15" s="56"/>
      <c r="U15" s="56"/>
      <c r="V15" s="56"/>
      <c r="W15" s="56"/>
      <c r="X15" s="56">
        <v>0</v>
      </c>
      <c r="Y15" s="56"/>
      <c r="Z15" s="56"/>
      <c r="AA15" s="56"/>
      <c r="AB15" s="56"/>
      <c r="AC15" s="56"/>
      <c r="AD15" s="56"/>
      <c r="AE15" s="56"/>
      <c r="AF15" s="56"/>
      <c r="AG15" s="56"/>
      <c r="AH15" s="56"/>
      <c r="AI15" s="56"/>
      <c r="AJ15" s="56"/>
      <c r="AK15" s="85"/>
      <c r="AL15" s="56"/>
      <c r="AM15" s="56"/>
      <c r="AN15" s="88">
        <v>0</v>
      </c>
      <c r="AO15" s="88"/>
      <c r="AP15" s="88">
        <v>256.01</v>
      </c>
      <c r="AQ15" s="56"/>
      <c r="AR15" s="56"/>
      <c r="AS15" s="56"/>
      <c r="AT15" s="56"/>
      <c r="AU15" s="56"/>
      <c r="AV15" s="56"/>
      <c r="AW15" s="56"/>
      <c r="AX15" s="56"/>
      <c r="AY15" s="56"/>
      <c r="AZ15" s="88">
        <v>0</v>
      </c>
      <c r="BA15" s="56">
        <v>235</v>
      </c>
      <c r="BB15" s="214"/>
      <c r="BC15" s="56"/>
      <c r="BD15" s="84">
        <f t="shared" si="3"/>
        <v>256.01</v>
      </c>
      <c r="BE15" s="56"/>
      <c r="BF15" s="56"/>
      <c r="BG15" s="56"/>
      <c r="BH15" s="72"/>
    </row>
    <row r="16" spans="1:62" ht="20.100000000000001" customHeight="1" outlineLevel="1">
      <c r="A16" s="77" t="s">
        <v>43</v>
      </c>
      <c r="B16" s="77" t="s">
        <v>548</v>
      </c>
      <c r="C16" s="77" t="s">
        <v>1085</v>
      </c>
      <c r="D16" s="78" t="s">
        <v>46</v>
      </c>
      <c r="E16" s="78" t="str">
        <f t="shared" si="4"/>
        <v>000</v>
      </c>
      <c r="F16" s="3">
        <v>658211</v>
      </c>
      <c r="G16" s="102" t="s">
        <v>72</v>
      </c>
      <c r="H16" s="87"/>
      <c r="I16" s="13">
        <v>315</v>
      </c>
      <c r="J16" s="13">
        <v>248</v>
      </c>
      <c r="L16" s="56">
        <v>363</v>
      </c>
      <c r="M16" s="56"/>
      <c r="N16" s="56">
        <v>300</v>
      </c>
      <c r="O16" s="56"/>
      <c r="P16" s="56">
        <v>300</v>
      </c>
      <c r="Q16" s="56"/>
      <c r="R16" s="56">
        <v>300</v>
      </c>
      <c r="S16" s="56"/>
      <c r="T16" s="56">
        <v>0</v>
      </c>
      <c r="U16" s="56"/>
      <c r="V16" s="56">
        <v>300</v>
      </c>
      <c r="W16" s="56"/>
      <c r="X16" s="56">
        <v>484.99</v>
      </c>
      <c r="Y16" s="56"/>
      <c r="Z16" s="56">
        <v>500</v>
      </c>
      <c r="AA16" s="56"/>
      <c r="AB16" s="56"/>
      <c r="AC16" s="56"/>
      <c r="AD16" s="56"/>
      <c r="AE16" s="56"/>
      <c r="AF16" s="56">
        <f t="shared" si="0"/>
        <v>500</v>
      </c>
      <c r="AG16" s="56">
        <v>0</v>
      </c>
      <c r="AH16" s="56">
        <v>0</v>
      </c>
      <c r="AI16" s="56"/>
      <c r="AJ16" s="56">
        <f t="shared" si="1"/>
        <v>500</v>
      </c>
      <c r="AK16" s="85"/>
      <c r="AL16" s="56">
        <v>0</v>
      </c>
      <c r="AM16" s="56"/>
      <c r="AN16" s="88">
        <v>450.63</v>
      </c>
      <c r="AO16" s="88">
        <v>0</v>
      </c>
      <c r="AP16" s="88">
        <v>255.55</v>
      </c>
      <c r="AQ16" s="56"/>
      <c r="AR16" s="56">
        <v>0</v>
      </c>
      <c r="AS16" s="56"/>
      <c r="AT16" s="56">
        <v>0</v>
      </c>
      <c r="AU16" s="56"/>
      <c r="AV16" s="56">
        <f t="shared" si="2"/>
        <v>255.55</v>
      </c>
      <c r="AW16" s="56"/>
      <c r="AX16" s="56">
        <v>0</v>
      </c>
      <c r="AY16" s="56"/>
      <c r="AZ16" s="88">
        <v>500</v>
      </c>
      <c r="BA16" s="56">
        <v>500</v>
      </c>
      <c r="BB16" s="214"/>
      <c r="BC16" s="56"/>
      <c r="BD16" s="84">
        <f t="shared" si="3"/>
        <v>-195.07999999999998</v>
      </c>
      <c r="BE16" s="56"/>
      <c r="BF16" s="56"/>
      <c r="BG16" s="56"/>
      <c r="BH16" s="72"/>
    </row>
    <row r="17" spans="1:60" ht="20.100000000000001" customHeight="1" outlineLevel="1">
      <c r="A17" s="77" t="s">
        <v>43</v>
      </c>
      <c r="B17" s="77" t="s">
        <v>548</v>
      </c>
      <c r="C17" s="77" t="s">
        <v>1085</v>
      </c>
      <c r="D17" s="78" t="s">
        <v>46</v>
      </c>
      <c r="E17" s="78" t="str">
        <f t="shared" si="4"/>
        <v>000</v>
      </c>
      <c r="F17" s="3">
        <v>661001</v>
      </c>
      <c r="G17" s="102" t="s">
        <v>552</v>
      </c>
      <c r="H17" s="87"/>
      <c r="I17" s="13">
        <v>135652</v>
      </c>
      <c r="J17" s="13">
        <v>156110</v>
      </c>
      <c r="L17" s="56">
        <v>181133</v>
      </c>
      <c r="M17" s="56"/>
      <c r="N17" s="56">
        <v>170000</v>
      </c>
      <c r="O17" s="56"/>
      <c r="P17" s="56">
        <v>173239</v>
      </c>
      <c r="Q17" s="56"/>
      <c r="R17" s="56">
        <v>173239</v>
      </c>
      <c r="S17" s="56"/>
      <c r="T17" s="56">
        <v>0</v>
      </c>
      <c r="U17" s="56"/>
      <c r="V17" s="56">
        <v>173239</v>
      </c>
      <c r="W17" s="56"/>
      <c r="X17" s="56">
        <v>187261.15</v>
      </c>
      <c r="Y17" s="56"/>
      <c r="Z17" s="56">
        <v>178000</v>
      </c>
      <c r="AA17" s="56"/>
      <c r="AB17" s="56"/>
      <c r="AC17" s="56"/>
      <c r="AD17" s="56"/>
      <c r="AE17" s="56"/>
      <c r="AF17" s="56">
        <f t="shared" si="0"/>
        <v>178000</v>
      </c>
      <c r="AG17" s="56">
        <v>0</v>
      </c>
      <c r="AH17" s="56">
        <v>0</v>
      </c>
      <c r="AI17" s="56"/>
      <c r="AJ17" s="56">
        <f t="shared" si="1"/>
        <v>178000</v>
      </c>
      <c r="AK17" s="85"/>
      <c r="AL17" s="56">
        <v>0</v>
      </c>
      <c r="AM17" s="56"/>
      <c r="AN17" s="88">
        <v>227887.37</v>
      </c>
      <c r="AO17" s="88">
        <v>0</v>
      </c>
      <c r="AP17" s="88">
        <f>257211.75+2262.69</f>
        <v>259474.44</v>
      </c>
      <c r="AQ17" s="56"/>
      <c r="AR17" s="56">
        <v>0</v>
      </c>
      <c r="AS17" s="56"/>
      <c r="AT17" s="56">
        <v>418.6</v>
      </c>
      <c r="AU17" s="56"/>
      <c r="AV17" s="56">
        <f t="shared" si="2"/>
        <v>259893.04</v>
      </c>
      <c r="AW17" s="56"/>
      <c r="AX17" s="56">
        <v>0</v>
      </c>
      <c r="AY17" s="56"/>
      <c r="AZ17" s="88">
        <v>205000</v>
      </c>
      <c r="BA17" s="56">
        <v>197500</v>
      </c>
      <c r="BB17" s="214"/>
      <c r="BC17" s="56"/>
      <c r="BD17" s="84">
        <f t="shared" si="3"/>
        <v>31587.070000000007</v>
      </c>
      <c r="BE17" s="56"/>
      <c r="BF17" s="56"/>
      <c r="BG17" s="56"/>
      <c r="BH17" s="72"/>
    </row>
    <row r="18" spans="1:60" ht="20.100000000000001" customHeight="1" outlineLevel="1">
      <c r="A18" s="77" t="s">
        <v>43</v>
      </c>
      <c r="B18" s="77" t="s">
        <v>548</v>
      </c>
      <c r="C18" s="77" t="s">
        <v>1085</v>
      </c>
      <c r="D18" s="78" t="s">
        <v>46</v>
      </c>
      <c r="E18" s="78" t="str">
        <f t="shared" si="4"/>
        <v>000</v>
      </c>
      <c r="F18" s="3">
        <v>673001</v>
      </c>
      <c r="G18" s="102" t="s">
        <v>57</v>
      </c>
      <c r="H18" s="87"/>
      <c r="I18" s="13">
        <v>4584</v>
      </c>
      <c r="J18" s="13">
        <v>4670</v>
      </c>
      <c r="L18" s="56">
        <v>5321</v>
      </c>
      <c r="M18" s="56"/>
      <c r="N18" s="56">
        <v>10000</v>
      </c>
      <c r="O18" s="56"/>
      <c r="P18" s="56">
        <v>22500</v>
      </c>
      <c r="Q18" s="56"/>
      <c r="R18" s="56">
        <v>22500</v>
      </c>
      <c r="S18" s="56"/>
      <c r="T18" s="56">
        <v>0</v>
      </c>
      <c r="U18" s="56"/>
      <c r="V18" s="56">
        <v>22500</v>
      </c>
      <c r="W18" s="56"/>
      <c r="X18" s="56">
        <v>17492</v>
      </c>
      <c r="Y18" s="56"/>
      <c r="Z18" s="56">
        <v>30000</v>
      </c>
      <c r="AA18" s="56"/>
      <c r="AB18" s="56"/>
      <c r="AC18" s="56"/>
      <c r="AD18" s="56"/>
      <c r="AE18" s="56"/>
      <c r="AF18" s="56">
        <f t="shared" si="0"/>
        <v>30000</v>
      </c>
      <c r="AG18" s="56">
        <v>0</v>
      </c>
      <c r="AH18" s="56">
        <v>0</v>
      </c>
      <c r="AI18" s="56"/>
      <c r="AJ18" s="56">
        <f t="shared" si="1"/>
        <v>30000</v>
      </c>
      <c r="AK18" s="85"/>
      <c r="AL18" s="56">
        <v>0</v>
      </c>
      <c r="AM18" s="56"/>
      <c r="AN18" s="88">
        <v>8165</v>
      </c>
      <c r="AO18" s="88">
        <v>0</v>
      </c>
      <c r="AP18" s="88">
        <v>0</v>
      </c>
      <c r="AQ18" s="56"/>
      <c r="AR18" s="56">
        <v>0</v>
      </c>
      <c r="AS18" s="56"/>
      <c r="AT18" s="56">
        <v>0</v>
      </c>
      <c r="AU18" s="56"/>
      <c r="AV18" s="56">
        <f t="shared" si="2"/>
        <v>0</v>
      </c>
      <c r="AW18" s="56"/>
      <c r="AX18" s="56">
        <v>0</v>
      </c>
      <c r="AY18" s="56"/>
      <c r="AZ18" s="88">
        <v>0</v>
      </c>
      <c r="BA18" s="56">
        <v>9000</v>
      </c>
      <c r="BB18" s="214"/>
      <c r="BC18" s="56"/>
      <c r="BD18" s="84">
        <f t="shared" si="3"/>
        <v>-8165</v>
      </c>
      <c r="BE18" s="56"/>
      <c r="BF18" s="56"/>
      <c r="BG18" s="56"/>
      <c r="BH18" s="72"/>
    </row>
    <row r="19" spans="1:60" ht="20.100000000000001" customHeight="1">
      <c r="B19" s="77"/>
      <c r="C19" s="77"/>
      <c r="D19" s="90"/>
      <c r="E19" s="90"/>
      <c r="F19" s="3"/>
      <c r="G19" s="110" t="s">
        <v>553</v>
      </c>
      <c r="H19" s="81"/>
      <c r="I19" s="92">
        <v>387849</v>
      </c>
      <c r="J19" s="93">
        <v>408686</v>
      </c>
      <c r="L19" s="125">
        <v>445783</v>
      </c>
      <c r="M19" s="126"/>
      <c r="N19" s="125">
        <v>447707</v>
      </c>
      <c r="O19" s="126"/>
      <c r="P19" s="125">
        <v>475476</v>
      </c>
      <c r="Q19" s="126"/>
      <c r="R19" s="125">
        <v>485669</v>
      </c>
      <c r="S19" s="95"/>
      <c r="T19" s="94">
        <v>0</v>
      </c>
      <c r="U19" s="126"/>
      <c r="V19" s="125">
        <v>485669</v>
      </c>
      <c r="W19" s="126"/>
      <c r="X19" s="125">
        <f>SUBTOTAL(9,X11:X18)</f>
        <v>471994.97</v>
      </c>
      <c r="Y19" s="126"/>
      <c r="Z19" s="125">
        <f>SUBTOTAL(9,Z11:Z18)</f>
        <v>496030</v>
      </c>
      <c r="AA19" s="126"/>
      <c r="AB19" s="125">
        <f>SUBTOTAL(9,AB11:AB18)</f>
        <v>0</v>
      </c>
      <c r="AC19" s="126"/>
      <c r="AD19" s="125">
        <f>SUBTOTAL(9,AD11:AD18)</f>
        <v>0</v>
      </c>
      <c r="AE19" s="126"/>
      <c r="AF19" s="125">
        <f>SUBTOTAL(9,AF11:AF18)</f>
        <v>496030</v>
      </c>
      <c r="AG19" s="125">
        <f>SUBTOTAL(9,AG11:AG18)</f>
        <v>0</v>
      </c>
      <c r="AH19" s="125">
        <f>SUBTOTAL(9,AH11:AH18)</f>
        <v>7875</v>
      </c>
      <c r="AI19" s="126"/>
      <c r="AJ19" s="125">
        <f>SUBTOTAL(9,AJ11:AJ18)</f>
        <v>503905</v>
      </c>
      <c r="AK19" s="96"/>
      <c r="AL19" s="125">
        <f>SUBTOTAL(9,AL11:AL18)</f>
        <v>0</v>
      </c>
      <c r="AM19" s="126"/>
      <c r="AN19" s="127">
        <f>SUBTOTAL(9,AN11:AN18)</f>
        <v>520691.11</v>
      </c>
      <c r="AO19" s="127">
        <f>SUBTOTAL(9,AO11:AO18)</f>
        <v>0</v>
      </c>
      <c r="AP19" s="127">
        <f>SUBTOTAL(9,AP11:AP18)</f>
        <v>494748.37</v>
      </c>
      <c r="AQ19" s="126"/>
      <c r="AR19" s="125">
        <f>SUBTOTAL(9,AR11:AR18)</f>
        <v>0</v>
      </c>
      <c r="AS19" s="126"/>
      <c r="AT19" s="125">
        <f>SUBTOTAL(9,AT11:AT18)</f>
        <v>418.6</v>
      </c>
      <c r="AU19" s="126"/>
      <c r="AV19" s="125">
        <f>SUBTOTAL(9,AV11:AV18)</f>
        <v>494910.95999999996</v>
      </c>
      <c r="AW19" s="126"/>
      <c r="AX19" s="125">
        <f>SUBTOTAL(9,AX11:AX18)</f>
        <v>0</v>
      </c>
      <c r="AY19" s="126"/>
      <c r="AZ19" s="127">
        <f>SUBTOTAL(9,AZ11:AZ18)</f>
        <v>473000</v>
      </c>
      <c r="BA19" s="125">
        <f>SUBTOTAL(9,BA11:BA18)</f>
        <v>473235</v>
      </c>
      <c r="BB19" s="214"/>
      <c r="BC19" s="56"/>
      <c r="BD19" s="98">
        <f t="shared" si="3"/>
        <v>-25942.739999999991</v>
      </c>
      <c r="BE19" s="126"/>
      <c r="BF19" s="126"/>
      <c r="BG19" s="126"/>
    </row>
    <row r="20" spans="1:60" ht="9" customHeight="1">
      <c r="A20" s="77"/>
      <c r="B20" s="77"/>
      <c r="C20" s="77"/>
      <c r="D20" s="90"/>
      <c r="E20" s="90"/>
      <c r="F20" s="3"/>
      <c r="G20" s="80"/>
      <c r="H20" s="87"/>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5"/>
      <c r="AL20" s="83"/>
      <c r="AM20" s="83"/>
      <c r="AN20" s="100"/>
      <c r="AO20" s="100"/>
      <c r="AP20" s="100"/>
      <c r="AQ20" s="83"/>
      <c r="AR20" s="83"/>
      <c r="AS20" s="83"/>
      <c r="AT20" s="83"/>
      <c r="AU20" s="83"/>
      <c r="AV20" s="83"/>
      <c r="AW20" s="83"/>
      <c r="AX20" s="83"/>
      <c r="AY20" s="83"/>
      <c r="AZ20" s="34"/>
      <c r="BA20" s="83"/>
      <c r="BB20" s="34"/>
      <c r="BC20" s="56"/>
      <c r="BD20" s="83"/>
      <c r="BE20" s="83"/>
      <c r="BF20" s="83"/>
      <c r="BG20" s="83"/>
      <c r="BH20" s="19"/>
    </row>
  </sheetData>
  <autoFilter ref="A9:BH20"/>
  <mergeCells count="8">
    <mergeCell ref="A6:F6"/>
    <mergeCell ref="A7:F7"/>
    <mergeCell ref="AB5:AD5"/>
    <mergeCell ref="A8:E8"/>
    <mergeCell ref="AG2:AH2"/>
    <mergeCell ref="AG3:AH3"/>
    <mergeCell ref="AG4:AH4"/>
    <mergeCell ref="AB4:AD4"/>
  </mergeCells>
  <phoneticPr fontId="3" type="noConversion"/>
  <conditionalFormatting sqref="F1:F1048576">
    <cfRule type="cellIs" dxfId="18" priority="1" stopIfTrue="1" operator="between">
      <formula>610000</formula>
      <formula>619999</formula>
    </cfRule>
  </conditionalFormatting>
  <pageMargins left="0.54" right="0.25" top="0.24" bottom="0.49" header="0.25" footer="0"/>
  <pageSetup scale="77" fitToHeight="0" orientation="landscape" r:id="rId1"/>
  <headerFooter alignWithMargins="0">
    <oddFooter>&amp;C&amp;8Detail of Expenditures Budget By Department, Page &amp;P of &amp;N</oddFooter>
  </headerFooter>
  <legacyDrawing r:id="rId2"/>
</worksheet>
</file>

<file path=xl/worksheets/sheet20.xml><?xml version="1.0" encoding="utf-8"?>
<worksheet xmlns="http://schemas.openxmlformats.org/spreadsheetml/2006/main" xmlns:r="http://schemas.openxmlformats.org/officeDocument/2006/relationships">
  <sheetPr codeName="Sheet22" enableFormatConditionsCalculation="0">
    <tabColor indexed="17"/>
    <pageSetUpPr fitToPage="1"/>
  </sheetPr>
  <dimension ref="A1:BK45"/>
  <sheetViews>
    <sheetView zoomScale="85" zoomScaleNormal="90" workbookViewId="0">
      <pane xSplit="8" ySplit="9" topLeftCell="X10" activePane="bottomRight" state="frozen"/>
      <selection activeCell="A28" sqref="A28"/>
      <selection pane="topRight" activeCell="A28" sqref="A28"/>
      <selection pane="bottomLeft" activeCell="A28" sqref="A28"/>
      <selection pane="bottomRight"/>
    </sheetView>
  </sheetViews>
  <sheetFormatPr defaultRowHeight="12.75" outlineLevelRow="1" outlineLevelCol="1"/>
  <cols>
    <col min="1" max="1" width="7" style="39" customWidth="1" outlineLevel="1"/>
    <col min="2" max="2" width="6.140625" style="39" customWidth="1" outlineLevel="1"/>
    <col min="3" max="3" width="3.7109375" style="39" customWidth="1" outlineLevel="1"/>
    <col min="4" max="5" width="4.85546875" style="168" customWidth="1" outlineLevel="1"/>
    <col min="6" max="6" width="8.7109375" style="40" customWidth="1" outlineLevel="1"/>
    <col min="7" max="7" width="28.5703125" style="4" customWidth="1"/>
    <col min="8" max="8" width="16.5703125" style="4" hidden="1" customWidth="1"/>
    <col min="9" max="10" width="15.140625" style="4" hidden="1" customWidth="1" collapsed="1"/>
    <col min="11" max="11" width="39.5703125" style="4" hidden="1" customWidth="1"/>
    <col min="12" max="12" width="15.140625" style="7" bestFit="1" customWidth="1" collapsed="1"/>
    <col min="13" max="13" width="31.7109375" style="7" hidden="1" customWidth="1"/>
    <col min="14" max="14" width="35.5703125" style="7" hidden="1" customWidth="1" collapsed="1"/>
    <col min="15" max="15" width="0.140625" style="7" customWidth="1"/>
    <col min="16" max="16" width="25.28515625" style="7" hidden="1" customWidth="1" outlineLevel="1" collapsed="1"/>
    <col min="17" max="17" width="23.42578125" style="7" hidden="1" customWidth="1" outlineLevel="1"/>
    <col min="18" max="18" width="20.5703125" style="7" hidden="1" customWidth="1" outlineLevel="1" collapsed="1"/>
    <col min="19" max="19" width="18" style="7" hidden="1" customWidth="1" outlineLevel="1"/>
    <col min="20" max="20" width="19.5703125" style="7" hidden="1" customWidth="1" outlineLevel="1"/>
    <col min="21" max="21" width="18.42578125" style="7" hidden="1" customWidth="1" outlineLevel="1"/>
    <col min="22" max="22" width="13.140625" style="7" hidden="1" customWidth="1"/>
    <col min="23" max="23" width="14.140625" style="7" hidden="1" customWidth="1"/>
    <col min="24" max="24" width="14.5703125" style="7" customWidth="1" collapsed="1"/>
    <col min="25" max="25" width="0.85546875" style="7" hidden="1" customWidth="1"/>
    <col min="26" max="26" width="16.140625" style="7" hidden="1" customWidth="1"/>
    <col min="27" max="27" width="0.140625" style="7" hidden="1" customWidth="1"/>
    <col min="28" max="28" width="16.140625" style="7" hidden="1" customWidth="1" outlineLevel="1"/>
    <col min="29" max="29" width="0.42578125" style="7" hidden="1" customWidth="1" outlineLevel="1"/>
    <col min="30" max="30" width="17.85546875" style="7" hidden="1" customWidth="1" outlineLevel="1"/>
    <col min="31" max="31" width="0.42578125" style="7" hidden="1" customWidth="1" outlineLevel="1"/>
    <col min="32" max="32" width="16.140625" style="7" hidden="1" customWidth="1" collapsed="1"/>
    <col min="33" max="33" width="16" style="7" hidden="1" customWidth="1" outlineLevel="1"/>
    <col min="34" max="34" width="17" style="7" hidden="1" customWidth="1" outlineLevel="1"/>
    <col min="35" max="35" width="10.5703125" style="7" hidden="1" customWidth="1" outlineLevel="1"/>
    <col min="36" max="36" width="16.140625" style="7" hidden="1" customWidth="1" collapsed="1"/>
    <col min="37" max="37" width="0.7109375" style="7" hidden="1" customWidth="1"/>
    <col min="38" max="38" width="16.140625" style="7" hidden="1" customWidth="1" outlineLevel="1"/>
    <col min="39" max="39" width="4.140625" style="7" hidden="1" customWidth="1" outlineLevel="1"/>
    <col min="40" max="40" width="16.140625" style="17" customWidth="1" collapsed="1"/>
    <col min="41" max="41" width="16.140625" style="17" hidden="1" customWidth="1" collapsed="1"/>
    <col min="42" max="42" width="16.140625" style="17" customWidth="1" collapsed="1"/>
    <col min="43" max="43" width="0.7109375" style="7" hidden="1" customWidth="1" outlineLevel="1"/>
    <col min="44" max="44" width="22.140625" style="7" hidden="1" customWidth="1" outlineLevel="1"/>
    <col min="45" max="45" width="0.42578125" style="7" hidden="1" customWidth="1" outlineLevel="1"/>
    <col min="46" max="46" width="17.85546875" style="7" hidden="1" customWidth="1" outlineLevel="1"/>
    <col min="47" max="47" width="0.42578125" style="7" hidden="1" customWidth="1" outlineLevel="1"/>
    <col min="48" max="48" width="18" style="7" hidden="1" customWidth="1" collapsed="1"/>
    <col min="49" max="49" width="0.5703125" style="7" hidden="1" customWidth="1"/>
    <col min="50" max="50" width="18" style="7" hidden="1" customWidth="1"/>
    <col min="51" max="51" width="0.5703125" style="7" customWidth="1"/>
    <col min="52" max="52" width="15.140625" style="7" customWidth="1"/>
    <col min="53" max="53" width="15.7109375" style="7" bestFit="1" customWidth="1"/>
    <col min="54" max="54" width="15.140625" style="7" customWidth="1"/>
    <col min="55" max="55" width="23.140625" style="7" customWidth="1"/>
    <col min="56" max="56" width="19.85546875" style="7" bestFit="1" customWidth="1"/>
    <col min="57" max="59" width="12.42578125" style="7" customWidth="1"/>
    <col min="60" max="60" width="3.85546875" style="76" customWidth="1"/>
    <col min="61" max="61" width="14.5703125" style="12" bestFit="1" customWidth="1"/>
  </cols>
  <sheetData>
    <row r="1" spans="1:62" ht="15">
      <c r="A1" s="1" t="s">
        <v>0</v>
      </c>
      <c r="B1" s="2"/>
      <c r="C1" s="2"/>
      <c r="D1" s="1"/>
      <c r="E1" s="1"/>
      <c r="F1" s="3"/>
      <c r="H1" s="5"/>
      <c r="I1" s="6"/>
      <c r="T1" s="8"/>
      <c r="Z1" s="9"/>
      <c r="AB1" s="9"/>
      <c r="AD1" s="9"/>
      <c r="AF1" s="9"/>
      <c r="AH1" s="10" t="e">
        <f>+#REF!</f>
        <v>#REF!</v>
      </c>
      <c r="AJ1" s="9"/>
      <c r="AK1" s="9"/>
      <c r="AN1" s="9"/>
      <c r="AO1" s="9"/>
      <c r="AP1" s="9"/>
      <c r="AR1" s="9"/>
      <c r="AT1" s="9"/>
      <c r="AV1" s="9"/>
      <c r="AW1" s="9"/>
      <c r="AX1" s="9"/>
      <c r="AY1" s="9"/>
      <c r="AZ1" s="9"/>
      <c r="BA1" s="9"/>
      <c r="BB1" s="9"/>
      <c r="BC1" s="9"/>
      <c r="BD1" s="9"/>
      <c r="BE1" s="9"/>
      <c r="BF1" s="9"/>
      <c r="BG1" s="9"/>
      <c r="BH1" s="11"/>
    </row>
    <row r="2" spans="1:62" ht="15">
      <c r="A2" s="1" t="s">
        <v>1053</v>
      </c>
      <c r="B2" s="2"/>
      <c r="C2" s="2"/>
      <c r="D2" s="1"/>
      <c r="E2" s="1"/>
      <c r="F2" s="3"/>
      <c r="H2" s="5"/>
      <c r="I2" s="13"/>
      <c r="J2" s="14"/>
      <c r="K2" s="14"/>
      <c r="L2" s="15"/>
      <c r="M2" s="15"/>
      <c r="N2" s="15"/>
      <c r="O2" s="15"/>
      <c r="P2" s="15"/>
      <c r="R2" s="15"/>
      <c r="T2" s="8"/>
      <c r="V2" s="15"/>
      <c r="X2" s="15"/>
      <c r="Z2" s="15"/>
      <c r="AB2" s="15"/>
      <c r="AD2" s="15"/>
      <c r="AF2" s="15"/>
      <c r="AG2" s="238" t="s">
        <v>1</v>
      </c>
      <c r="AH2" s="238"/>
      <c r="AI2" s="17"/>
      <c r="AJ2" s="18"/>
      <c r="AK2" s="15"/>
      <c r="AL2" s="10" t="e">
        <f>+#REF!</f>
        <v>#REF!</v>
      </c>
      <c r="AN2" s="18"/>
      <c r="AO2" s="18"/>
      <c r="AP2" s="18"/>
      <c r="AR2" s="15"/>
      <c r="AT2" s="15"/>
      <c r="AV2" s="15"/>
      <c r="AW2" s="15"/>
      <c r="AX2" s="15"/>
      <c r="AY2" s="15"/>
      <c r="AZ2" s="15"/>
      <c r="BA2" s="15"/>
      <c r="BB2" s="15"/>
      <c r="BC2" s="15"/>
      <c r="BD2" s="15"/>
      <c r="BE2" s="15"/>
      <c r="BF2" s="15"/>
      <c r="BG2" s="15"/>
      <c r="BH2" s="19"/>
    </row>
    <row r="3" spans="1:62">
      <c r="A3" s="20" t="str">
        <f>IF(G7=1,"DETAIL OF EXPENDITURES BUDGET BY DEPARTMENT WITH COMPARATIVE AMOUNTS", "SUMMARY OF EXPENDITURES BUDGET BY DEPARTMENT WITH COMPARATIVE AMOUNTS")</f>
        <v>DETAIL OF EXPENDITURES BUDGET BY DEPARTMENT WITH COMPARATIVE AMOUNTS</v>
      </c>
      <c r="B3" s="21"/>
      <c r="C3" s="21"/>
      <c r="D3" s="22"/>
      <c r="E3" s="22"/>
      <c r="F3" s="3"/>
      <c r="H3" s="5"/>
      <c r="I3" s="23"/>
      <c r="J3" s="15"/>
      <c r="L3" s="15"/>
      <c r="M3" s="10"/>
      <c r="N3" s="10"/>
      <c r="O3" s="10"/>
      <c r="P3" s="24"/>
      <c r="R3" s="24"/>
      <c r="V3" s="24"/>
      <c r="W3" s="24"/>
      <c r="X3" s="15"/>
      <c r="Y3" s="24"/>
      <c r="AA3" s="24"/>
      <c r="AB3" s="24" t="e">
        <f>+#REF!</f>
        <v>#REF!</v>
      </c>
      <c r="AC3" s="24"/>
      <c r="AD3" s="24" t="e">
        <f>+#REF!</f>
        <v>#REF!</v>
      </c>
      <c r="AE3" s="24"/>
      <c r="AF3" s="10" t="e">
        <f>+#REF!</f>
        <v>#REF!</v>
      </c>
      <c r="AG3" s="239" t="s">
        <v>2</v>
      </c>
      <c r="AH3" s="239"/>
      <c r="AI3" s="25"/>
      <c r="AJ3" s="25" t="e">
        <f>+#REF!</f>
        <v>#REF!</v>
      </c>
      <c r="AK3" s="24"/>
      <c r="AL3" s="16" t="s">
        <v>1</v>
      </c>
      <c r="AM3" s="25"/>
      <c r="AN3" s="25"/>
      <c r="AO3" s="25"/>
      <c r="AP3" s="25"/>
      <c r="AQ3" s="24"/>
      <c r="AR3" s="24" t="e">
        <f>+#REF!</f>
        <v>#REF!</v>
      </c>
      <c r="AS3" s="24"/>
      <c r="AT3" s="24" t="e">
        <f>+#REF!</f>
        <v>#REF!</v>
      </c>
      <c r="AU3" s="24"/>
      <c r="AV3" s="24" t="e">
        <f>+#REF!</f>
        <v>#REF!</v>
      </c>
      <c r="AW3" s="24"/>
      <c r="AX3" s="24" t="e">
        <f>+#REF!</f>
        <v>#REF!</v>
      </c>
      <c r="AY3" s="24"/>
      <c r="AZ3" s="24"/>
      <c r="BA3" s="24"/>
      <c r="BB3" s="24"/>
      <c r="BC3" s="24"/>
      <c r="BD3" s="26"/>
      <c r="BE3" s="26"/>
      <c r="BF3" s="26"/>
      <c r="BG3" s="26"/>
      <c r="BH3" s="27"/>
    </row>
    <row r="4" spans="1:62" ht="15">
      <c r="A4" s="28" t="s">
        <v>1070</v>
      </c>
      <c r="B4" s="29"/>
      <c r="C4" s="29"/>
      <c r="D4" s="28"/>
      <c r="E4" s="28"/>
      <c r="F4" s="3"/>
      <c r="H4" s="30"/>
      <c r="I4" s="31"/>
      <c r="J4" s="31"/>
      <c r="L4" s="31"/>
      <c r="M4" s="32"/>
      <c r="N4" s="33"/>
      <c r="O4" s="32"/>
      <c r="P4" s="33"/>
      <c r="R4" s="33"/>
      <c r="T4" s="33"/>
      <c r="X4" s="31"/>
      <c r="Z4" s="10"/>
      <c r="AB4" s="241"/>
      <c r="AC4" s="241"/>
      <c r="AD4" s="241"/>
      <c r="AE4" s="35"/>
      <c r="AF4" s="34"/>
      <c r="AG4" s="240"/>
      <c r="AH4" s="240"/>
      <c r="AI4" s="17"/>
      <c r="AJ4" s="16"/>
      <c r="AK4" s="24"/>
      <c r="AL4" s="16"/>
      <c r="AM4" s="17"/>
      <c r="AN4" s="31"/>
      <c r="AO4" s="31"/>
      <c r="AP4" s="31"/>
      <c r="AR4" s="34" t="s">
        <v>5</v>
      </c>
      <c r="AU4" s="35"/>
      <c r="AV4" s="34"/>
      <c r="AW4" s="34"/>
      <c r="AX4" s="34" t="s">
        <v>5</v>
      </c>
      <c r="AY4" s="34"/>
      <c r="AZ4" s="34"/>
      <c r="BA4" s="34"/>
      <c r="BB4" s="34"/>
      <c r="BC4" s="34"/>
      <c r="BD4" s="37"/>
      <c r="BE4" s="37"/>
      <c r="BF4" s="37"/>
      <c r="BG4" s="37"/>
      <c r="BH4" s="38"/>
    </row>
    <row r="5" spans="1:62" ht="15">
      <c r="B5" s="29"/>
      <c r="C5" s="29"/>
      <c r="D5" s="28"/>
      <c r="E5" s="28"/>
      <c r="G5" s="28"/>
      <c r="H5" s="5"/>
      <c r="I5" s="41" t="s">
        <v>6</v>
      </c>
      <c r="J5" s="42" t="s">
        <v>7</v>
      </c>
      <c r="L5" s="16" t="s">
        <v>8</v>
      </c>
      <c r="M5" s="16"/>
      <c r="N5" s="16" t="s">
        <v>9</v>
      </c>
      <c r="O5" s="16"/>
      <c r="P5" s="16" t="s">
        <v>9</v>
      </c>
      <c r="Q5" s="17"/>
      <c r="R5" s="43"/>
      <c r="S5" s="17"/>
      <c r="T5" s="16"/>
      <c r="U5" s="17"/>
      <c r="V5" s="16" t="s">
        <v>9</v>
      </c>
      <c r="X5" s="16" t="s">
        <v>9</v>
      </c>
      <c r="Z5" s="34" t="s">
        <v>1</v>
      </c>
      <c r="AB5" s="243" t="s">
        <v>10</v>
      </c>
      <c r="AC5" s="243"/>
      <c r="AD5" s="243"/>
      <c r="AE5" s="35"/>
      <c r="AF5" s="34" t="s">
        <v>1</v>
      </c>
      <c r="AG5" s="17"/>
      <c r="AH5" s="16" t="s">
        <v>11</v>
      </c>
      <c r="AI5" s="17"/>
      <c r="AJ5" s="16" t="s">
        <v>1</v>
      </c>
      <c r="AK5" s="24"/>
      <c r="AL5" s="43" t="s">
        <v>12</v>
      </c>
      <c r="AM5" s="17"/>
      <c r="AN5" s="16" t="s">
        <v>1</v>
      </c>
      <c r="AO5" s="45" t="s">
        <v>1</v>
      </c>
      <c r="AP5" s="46" t="s">
        <v>5</v>
      </c>
      <c r="AQ5" s="47"/>
      <c r="AR5" s="48" t="s">
        <v>10</v>
      </c>
      <c r="AS5" s="47"/>
      <c r="AT5" s="47"/>
      <c r="AU5" s="47"/>
      <c r="AV5" s="46" t="s">
        <v>5</v>
      </c>
      <c r="AW5" s="34"/>
      <c r="AX5" s="49" t="s">
        <v>3</v>
      </c>
      <c r="AY5" s="34"/>
      <c r="AZ5" s="34" t="s">
        <v>1054</v>
      </c>
      <c r="BA5" s="34" t="s">
        <v>1054</v>
      </c>
      <c r="BB5" s="34" t="s">
        <v>1069</v>
      </c>
      <c r="BC5" s="34"/>
      <c r="BD5" s="50" t="s">
        <v>13</v>
      </c>
      <c r="BE5" s="37"/>
      <c r="BF5" s="37"/>
      <c r="BG5" s="37"/>
      <c r="BH5" s="51"/>
    </row>
    <row r="6" spans="1:62">
      <c r="A6" s="242"/>
      <c r="B6" s="242"/>
      <c r="C6" s="242"/>
      <c r="D6" s="242"/>
      <c r="E6" s="242"/>
      <c r="F6" s="242"/>
      <c r="G6" s="22"/>
      <c r="H6" s="5"/>
      <c r="I6" s="52" t="s">
        <v>14</v>
      </c>
      <c r="J6" s="52" t="s">
        <v>14</v>
      </c>
      <c r="L6" s="43" t="s">
        <v>14</v>
      </c>
      <c r="M6" s="43"/>
      <c r="N6" s="43" t="s">
        <v>15</v>
      </c>
      <c r="O6" s="43"/>
      <c r="P6" s="43" t="s">
        <v>4</v>
      </c>
      <c r="Q6" s="17"/>
      <c r="R6" s="43" t="s">
        <v>4</v>
      </c>
      <c r="S6" s="43"/>
      <c r="T6" s="43" t="s">
        <v>16</v>
      </c>
      <c r="U6" s="43"/>
      <c r="V6" s="43" t="s">
        <v>4</v>
      </c>
      <c r="W6" s="43"/>
      <c r="X6" s="43" t="s">
        <v>14</v>
      </c>
      <c r="Y6" s="43"/>
      <c r="Z6" s="34" t="s">
        <v>17</v>
      </c>
      <c r="AA6" s="43"/>
      <c r="AB6" s="53" t="s">
        <v>16</v>
      </c>
      <c r="AC6" s="53"/>
      <c r="AD6" s="34"/>
      <c r="AE6" s="53"/>
      <c r="AF6" s="34" t="s">
        <v>17</v>
      </c>
      <c r="AG6" s="43" t="s">
        <v>16</v>
      </c>
      <c r="AH6" s="16" t="s">
        <v>18</v>
      </c>
      <c r="AI6" s="43"/>
      <c r="AJ6" s="16" t="s">
        <v>19</v>
      </c>
      <c r="AK6" s="24"/>
      <c r="AL6" s="43" t="s">
        <v>16</v>
      </c>
      <c r="AM6" s="43"/>
      <c r="AN6" s="43" t="s">
        <v>14</v>
      </c>
      <c r="AO6" s="45" t="s">
        <v>20</v>
      </c>
      <c r="AP6" s="43" t="s">
        <v>14</v>
      </c>
      <c r="AQ6" s="54"/>
      <c r="AR6" s="54" t="s">
        <v>16</v>
      </c>
      <c r="AS6" s="54"/>
      <c r="AT6" s="46"/>
      <c r="AU6" s="54"/>
      <c r="AV6" s="46" t="s">
        <v>19</v>
      </c>
      <c r="AW6" s="34"/>
      <c r="AX6" s="55" t="s">
        <v>16</v>
      </c>
      <c r="AY6" s="34"/>
      <c r="AZ6" s="34" t="s">
        <v>17</v>
      </c>
      <c r="BA6" s="34" t="s">
        <v>17</v>
      </c>
      <c r="BB6" s="34" t="s">
        <v>19</v>
      </c>
      <c r="BC6" s="56"/>
      <c r="BD6" s="50" t="s">
        <v>21</v>
      </c>
      <c r="BE6" s="37"/>
      <c r="BF6" s="37"/>
      <c r="BG6" s="37"/>
      <c r="BH6" s="57"/>
    </row>
    <row r="7" spans="1:62" ht="15">
      <c r="A7" s="237"/>
      <c r="B7" s="237"/>
      <c r="C7" s="237"/>
      <c r="D7" s="237"/>
      <c r="E7" s="237"/>
      <c r="F7" s="237"/>
      <c r="G7" s="59">
        <v>1</v>
      </c>
      <c r="H7" s="60"/>
      <c r="I7" s="52" t="s">
        <v>22</v>
      </c>
      <c r="J7" s="52" t="s">
        <v>22</v>
      </c>
      <c r="L7" s="43" t="s">
        <v>22</v>
      </c>
      <c r="M7" s="43"/>
      <c r="N7" s="43" t="s">
        <v>23</v>
      </c>
      <c r="O7" s="43"/>
      <c r="P7" s="43" t="s">
        <v>24</v>
      </c>
      <c r="Q7" s="43"/>
      <c r="R7" s="43" t="s">
        <v>24</v>
      </c>
      <c r="S7" s="43"/>
      <c r="T7" s="43" t="s">
        <v>25</v>
      </c>
      <c r="U7" s="43"/>
      <c r="V7" s="43" t="s">
        <v>24</v>
      </c>
      <c r="W7" s="43"/>
      <c r="X7" s="43" t="s">
        <v>22</v>
      </c>
      <c r="Y7" s="43"/>
      <c r="Z7" s="53" t="s">
        <v>15</v>
      </c>
      <c r="AA7" s="43"/>
      <c r="AB7" s="53" t="s">
        <v>26</v>
      </c>
      <c r="AC7" s="53"/>
      <c r="AD7" s="53"/>
      <c r="AE7" s="53"/>
      <c r="AF7" s="53" t="s">
        <v>4</v>
      </c>
      <c r="AG7" s="43" t="s">
        <v>26</v>
      </c>
      <c r="AH7" s="43" t="s">
        <v>27</v>
      </c>
      <c r="AI7" s="43"/>
      <c r="AJ7" s="43" t="s">
        <v>4</v>
      </c>
      <c r="AK7" s="24"/>
      <c r="AL7" s="43" t="s">
        <v>26</v>
      </c>
      <c r="AM7" s="43"/>
      <c r="AN7" s="43" t="s">
        <v>22</v>
      </c>
      <c r="AO7" s="61" t="s">
        <v>22</v>
      </c>
      <c r="AP7" s="43" t="s">
        <v>22</v>
      </c>
      <c r="AQ7" s="54"/>
      <c r="AR7" s="54" t="s">
        <v>26</v>
      </c>
      <c r="AS7" s="54"/>
      <c r="AT7" s="54"/>
      <c r="AU7" s="54"/>
      <c r="AV7" s="54" t="s">
        <v>4</v>
      </c>
      <c r="AW7" s="53"/>
      <c r="AX7" s="55" t="s">
        <v>26</v>
      </c>
      <c r="AY7" s="53"/>
      <c r="AZ7" s="34" t="s">
        <v>15</v>
      </c>
      <c r="BA7" s="53" t="s">
        <v>4</v>
      </c>
      <c r="BB7" s="34" t="s">
        <v>15</v>
      </c>
      <c r="BC7" s="56"/>
      <c r="BD7" s="50" t="s">
        <v>28</v>
      </c>
      <c r="BE7" s="62"/>
      <c r="BF7" s="62"/>
      <c r="BG7" s="62"/>
      <c r="BH7" s="57"/>
      <c r="BI7" s="63"/>
    </row>
    <row r="8" spans="1:62" ht="15">
      <c r="A8" s="237" t="s">
        <v>29</v>
      </c>
      <c r="B8" s="237"/>
      <c r="C8" s="237"/>
      <c r="D8" s="237"/>
      <c r="E8" s="237"/>
      <c r="F8" s="64" t="s">
        <v>30</v>
      </c>
      <c r="G8" s="64" t="s">
        <v>31</v>
      </c>
      <c r="H8" s="60"/>
      <c r="I8" s="65" t="s">
        <v>32</v>
      </c>
      <c r="J8" s="65" t="s">
        <v>32</v>
      </c>
      <c r="L8" s="66" t="s">
        <v>32</v>
      </c>
      <c r="M8" s="36"/>
      <c r="N8" s="36" t="s">
        <v>2</v>
      </c>
      <c r="O8" s="36"/>
      <c r="P8" s="36" t="s">
        <v>33</v>
      </c>
      <c r="Q8" s="36"/>
      <c r="R8" s="36" t="s">
        <v>34</v>
      </c>
      <c r="S8" s="36"/>
      <c r="T8" s="36" t="s">
        <v>35</v>
      </c>
      <c r="U8" s="36"/>
      <c r="V8" s="36" t="s">
        <v>36</v>
      </c>
      <c r="W8" s="36"/>
      <c r="X8" s="66" t="s">
        <v>32</v>
      </c>
      <c r="Y8" s="36"/>
      <c r="Z8" s="44" t="s">
        <v>24</v>
      </c>
      <c r="AA8" s="36"/>
      <c r="AB8" s="44" t="s">
        <v>35</v>
      </c>
      <c r="AC8" s="44"/>
      <c r="AD8" s="44" t="s">
        <v>37</v>
      </c>
      <c r="AE8" s="44"/>
      <c r="AF8" s="44" t="s">
        <v>38</v>
      </c>
      <c r="AG8" s="36" t="s">
        <v>35</v>
      </c>
      <c r="AH8" s="36" t="s">
        <v>39</v>
      </c>
      <c r="AI8" s="36"/>
      <c r="AJ8" s="36" t="s">
        <v>40</v>
      </c>
      <c r="AK8" s="24"/>
      <c r="AL8" s="36" t="s">
        <v>35</v>
      </c>
      <c r="AM8" s="36"/>
      <c r="AN8" s="36" t="s">
        <v>32</v>
      </c>
      <c r="AO8" s="67" t="s">
        <v>32</v>
      </c>
      <c r="AP8" s="36" t="s">
        <v>32</v>
      </c>
      <c r="AQ8" s="48"/>
      <c r="AR8" s="48" t="s">
        <v>35</v>
      </c>
      <c r="AS8" s="48"/>
      <c r="AT8" s="48" t="s">
        <v>37</v>
      </c>
      <c r="AU8" s="48"/>
      <c r="AV8" s="48" t="s">
        <v>38</v>
      </c>
      <c r="AW8" s="44"/>
      <c r="AX8" s="49" t="s">
        <v>35</v>
      </c>
      <c r="AY8" s="44"/>
      <c r="AZ8" s="44" t="s">
        <v>2</v>
      </c>
      <c r="BA8" s="44" t="s">
        <v>40</v>
      </c>
      <c r="BB8" s="44" t="s">
        <v>2</v>
      </c>
      <c r="BC8" s="56"/>
      <c r="BD8" s="50" t="s">
        <v>41</v>
      </c>
      <c r="BE8" s="68"/>
      <c r="BF8" s="68"/>
      <c r="BG8" s="68"/>
      <c r="BH8" s="69"/>
    </row>
    <row r="9" spans="1:62" ht="15">
      <c r="A9" s="58"/>
      <c r="B9" s="58"/>
      <c r="C9" s="58"/>
      <c r="D9" s="64"/>
      <c r="E9" s="64"/>
      <c r="F9" s="64"/>
      <c r="G9" s="70"/>
      <c r="H9" s="60"/>
      <c r="J9" s="71"/>
      <c r="AK9" s="24"/>
      <c r="AZ9" s="34"/>
      <c r="BB9" s="34"/>
      <c r="BC9" s="56"/>
      <c r="BH9" s="72">
        <v>2</v>
      </c>
    </row>
    <row r="10" spans="1:62" ht="20.100000000000001" customHeight="1" outlineLevel="1">
      <c r="A10" s="75" t="s">
        <v>719</v>
      </c>
      <c r="B10" s="77"/>
      <c r="C10" s="77"/>
      <c r="D10" s="90"/>
      <c r="E10" s="90"/>
      <c r="F10" s="3"/>
      <c r="H10" s="87"/>
      <c r="L10" s="44"/>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5"/>
      <c r="AL10" s="83"/>
      <c r="AM10" s="83"/>
      <c r="AN10" s="100"/>
      <c r="AO10" s="100"/>
      <c r="AP10" s="100"/>
      <c r="AQ10" s="83"/>
      <c r="AR10" s="83"/>
      <c r="AS10" s="83"/>
      <c r="AT10" s="83"/>
      <c r="AU10" s="83"/>
      <c r="AV10" s="83"/>
      <c r="AW10" s="83"/>
      <c r="AX10" s="83"/>
      <c r="AY10" s="83"/>
      <c r="AZ10" s="83"/>
      <c r="BA10" s="83"/>
      <c r="BB10" s="83"/>
      <c r="BC10" s="56"/>
      <c r="BD10" s="83"/>
      <c r="BE10" s="83"/>
      <c r="BF10" s="83"/>
      <c r="BG10" s="83"/>
      <c r="BH10" s="19"/>
    </row>
    <row r="11" spans="1:62" ht="20.100000000000001" customHeight="1" outlineLevel="1">
      <c r="A11" s="77" t="s">
        <v>43</v>
      </c>
      <c r="B11" s="77" t="s">
        <v>137</v>
      </c>
      <c r="C11" s="77" t="s">
        <v>1098</v>
      </c>
      <c r="D11" s="78" t="s">
        <v>46</v>
      </c>
      <c r="E11" s="78" t="str">
        <f>+D11</f>
        <v>000</v>
      </c>
      <c r="F11" s="3">
        <v>653021</v>
      </c>
      <c r="G11" s="102" t="s">
        <v>720</v>
      </c>
      <c r="H11" s="87"/>
      <c r="I11" s="82">
        <v>0</v>
      </c>
      <c r="J11" s="82">
        <v>150</v>
      </c>
      <c r="L11" s="83">
        <v>206</v>
      </c>
      <c r="M11" s="83"/>
      <c r="N11" s="83">
        <v>240</v>
      </c>
      <c r="O11" s="56"/>
      <c r="P11" s="56">
        <v>240</v>
      </c>
      <c r="Q11" s="56"/>
      <c r="R11" s="56">
        <v>240</v>
      </c>
      <c r="S11" s="83"/>
      <c r="T11" s="83">
        <v>0</v>
      </c>
      <c r="U11" s="56"/>
      <c r="V11" s="83">
        <v>240</v>
      </c>
      <c r="W11" s="56"/>
      <c r="X11" s="83">
        <v>197.64</v>
      </c>
      <c r="Y11" s="56"/>
      <c r="Z11" s="83">
        <v>240</v>
      </c>
      <c r="AA11" s="56"/>
      <c r="AB11" s="83"/>
      <c r="AC11" s="56"/>
      <c r="AD11" s="83"/>
      <c r="AE11" s="56"/>
      <c r="AF11" s="84">
        <f t="shared" ref="AF11:AF23" si="0">SUM(Z11:AE11)</f>
        <v>240</v>
      </c>
      <c r="AG11" s="83">
        <v>0</v>
      </c>
      <c r="AH11" s="83">
        <v>0</v>
      </c>
      <c r="AI11" s="56"/>
      <c r="AJ11" s="84">
        <f t="shared" ref="AJ11:AJ23" si="1">SUM(AE11:AI11)</f>
        <v>240</v>
      </c>
      <c r="AK11" s="85"/>
      <c r="AL11" s="83">
        <v>0</v>
      </c>
      <c r="AM11" s="56"/>
      <c r="AN11" s="86">
        <f t="shared" ref="AN11:AN23" si="2">SUM(AI11:AM11)</f>
        <v>240</v>
      </c>
      <c r="AO11" s="86">
        <v>0</v>
      </c>
      <c r="AP11" s="86">
        <v>0</v>
      </c>
      <c r="AQ11" s="56"/>
      <c r="AR11" s="83">
        <v>0</v>
      </c>
      <c r="AS11" s="56"/>
      <c r="AT11" s="83">
        <v>0</v>
      </c>
      <c r="AU11" s="56"/>
      <c r="AV11" s="84">
        <f t="shared" ref="AV11:AV23" si="3">SUM(AP11:AU11)</f>
        <v>0</v>
      </c>
      <c r="AW11" s="84"/>
      <c r="AX11" s="84">
        <v>0</v>
      </c>
      <c r="AY11" s="84"/>
      <c r="AZ11" s="86">
        <v>0</v>
      </c>
      <c r="BA11" s="84">
        <v>0</v>
      </c>
      <c r="BB11" s="214"/>
      <c r="BC11" s="56"/>
      <c r="BD11" s="84">
        <f t="shared" ref="BD11:BD23" si="4">+AP11-AN11</f>
        <v>-240</v>
      </c>
      <c r="BE11" s="84"/>
      <c r="BF11" s="84"/>
      <c r="BG11" s="84"/>
      <c r="BH11" s="72"/>
    </row>
    <row r="12" spans="1:62" ht="20.100000000000001" customHeight="1" outlineLevel="1">
      <c r="A12" s="77" t="s">
        <v>43</v>
      </c>
      <c r="B12" s="77" t="s">
        <v>533</v>
      </c>
      <c r="C12" s="77" t="s">
        <v>1098</v>
      </c>
      <c r="D12" s="78" t="s">
        <v>46</v>
      </c>
      <c r="E12" s="78" t="str">
        <f t="shared" ref="E12:E27" si="5">+D12</f>
        <v>000</v>
      </c>
      <c r="F12" s="3">
        <v>611411</v>
      </c>
      <c r="G12" s="102" t="s">
        <v>80</v>
      </c>
      <c r="H12" s="87"/>
      <c r="I12" s="13">
        <v>170936</v>
      </c>
      <c r="J12" s="13">
        <v>170188</v>
      </c>
      <c r="L12" s="56">
        <v>202882</v>
      </c>
      <c r="M12" s="56"/>
      <c r="N12" s="56">
        <v>197353</v>
      </c>
      <c r="O12" s="56"/>
      <c r="P12" s="56">
        <v>197353</v>
      </c>
      <c r="Q12" s="56"/>
      <c r="R12" s="56">
        <v>220228</v>
      </c>
      <c r="S12" s="56"/>
      <c r="T12" s="56">
        <v>0</v>
      </c>
      <c r="U12" s="56"/>
      <c r="V12" s="56">
        <v>220228</v>
      </c>
      <c r="W12" s="56"/>
      <c r="X12" s="56">
        <v>225304.69</v>
      </c>
      <c r="Y12" s="56"/>
      <c r="Z12" s="56">
        <v>195600</v>
      </c>
      <c r="AA12" s="56"/>
      <c r="AB12" s="56"/>
      <c r="AC12" s="56"/>
      <c r="AD12" s="56"/>
      <c r="AE12" s="56"/>
      <c r="AF12" s="56">
        <f t="shared" si="0"/>
        <v>195600</v>
      </c>
      <c r="AG12" s="104">
        <v>42000</v>
      </c>
      <c r="AH12" s="56">
        <v>11250</v>
      </c>
      <c r="AI12" s="56"/>
      <c r="AJ12" s="56">
        <f t="shared" si="1"/>
        <v>248850</v>
      </c>
      <c r="AK12" s="85"/>
      <c r="AL12" s="56">
        <v>0</v>
      </c>
      <c r="AM12" s="56"/>
      <c r="AN12" s="88">
        <f t="shared" si="2"/>
        <v>248850</v>
      </c>
      <c r="AO12" s="88">
        <v>0</v>
      </c>
      <c r="AP12" s="88">
        <v>208682.71</v>
      </c>
      <c r="AQ12" s="56"/>
      <c r="AR12" s="56">
        <v>0</v>
      </c>
      <c r="AS12" s="56"/>
      <c r="AT12" s="56">
        <v>0</v>
      </c>
      <c r="AU12" s="56"/>
      <c r="AV12" s="56">
        <f t="shared" si="3"/>
        <v>208682.71</v>
      </c>
      <c r="AW12" s="56"/>
      <c r="AX12" s="56">
        <v>0</v>
      </c>
      <c r="AY12" s="56"/>
      <c r="AZ12" s="88">
        <v>197500</v>
      </c>
      <c r="BA12" s="56">
        <v>239920</v>
      </c>
      <c r="BB12" s="214"/>
      <c r="BC12" s="56"/>
      <c r="BD12" s="84">
        <f t="shared" si="4"/>
        <v>-40167.290000000008</v>
      </c>
      <c r="BE12" s="56"/>
      <c r="BF12" s="56"/>
      <c r="BG12" s="56"/>
      <c r="BH12" s="72">
        <v>1</v>
      </c>
      <c r="BJ12">
        <v>1</v>
      </c>
    </row>
    <row r="13" spans="1:62" ht="20.100000000000001" customHeight="1" outlineLevel="1">
      <c r="A13" s="77" t="s">
        <v>43</v>
      </c>
      <c r="B13" s="77" t="s">
        <v>533</v>
      </c>
      <c r="C13" s="77" t="s">
        <v>1098</v>
      </c>
      <c r="D13" s="78" t="s">
        <v>46</v>
      </c>
      <c r="E13" s="78" t="str">
        <f>+D13</f>
        <v>000</v>
      </c>
      <c r="F13" s="3">
        <v>633211</v>
      </c>
      <c r="G13" s="102" t="s">
        <v>724</v>
      </c>
      <c r="H13" s="87"/>
      <c r="I13" s="13">
        <v>0</v>
      </c>
      <c r="J13" s="13">
        <v>0</v>
      </c>
      <c r="L13" s="56">
        <v>0</v>
      </c>
      <c r="M13" s="56"/>
      <c r="N13" s="56"/>
      <c r="O13" s="56"/>
      <c r="P13" s="56"/>
      <c r="Q13" s="56"/>
      <c r="R13" s="56"/>
      <c r="S13" s="56"/>
      <c r="T13" s="56"/>
      <c r="U13" s="56"/>
      <c r="V13" s="56"/>
      <c r="W13" s="56"/>
      <c r="X13" s="56">
        <v>0</v>
      </c>
      <c r="Y13" s="56"/>
      <c r="Z13" s="56"/>
      <c r="AA13" s="56"/>
      <c r="AB13" s="56"/>
      <c r="AC13" s="56"/>
      <c r="AD13" s="56"/>
      <c r="AE13" s="56"/>
      <c r="AF13" s="56"/>
      <c r="AG13" s="56"/>
      <c r="AH13" s="56"/>
      <c r="AI13" s="56"/>
      <c r="AJ13" s="56"/>
      <c r="AK13" s="85"/>
      <c r="AL13" s="56"/>
      <c r="AM13" s="56"/>
      <c r="AN13" s="88">
        <v>0</v>
      </c>
      <c r="AO13" s="88"/>
      <c r="AP13" s="88">
        <v>7620</v>
      </c>
      <c r="AQ13" s="56"/>
      <c r="AR13" s="56">
        <v>0</v>
      </c>
      <c r="AS13" s="56"/>
      <c r="AT13" s="56">
        <v>0</v>
      </c>
      <c r="AU13" s="56"/>
      <c r="AV13" s="56">
        <v>0</v>
      </c>
      <c r="AW13" s="56"/>
      <c r="AX13" s="89">
        <f>1800+5820</f>
        <v>7620</v>
      </c>
      <c r="AY13" s="56"/>
      <c r="AZ13" s="88">
        <v>7620</v>
      </c>
      <c r="BA13" s="56">
        <v>4620</v>
      </c>
      <c r="BB13" s="214"/>
      <c r="BC13" s="56"/>
      <c r="BD13" s="84"/>
      <c r="BE13" s="56"/>
      <c r="BF13" s="56"/>
      <c r="BG13" s="56"/>
      <c r="BH13" s="72"/>
    </row>
    <row r="14" spans="1:62" ht="20.100000000000001" customHeight="1" outlineLevel="1">
      <c r="A14" s="77" t="s">
        <v>43</v>
      </c>
      <c r="B14" s="77" t="s">
        <v>533</v>
      </c>
      <c r="C14" s="77" t="s">
        <v>1098</v>
      </c>
      <c r="D14" s="78" t="s">
        <v>46</v>
      </c>
      <c r="E14" s="78" t="str">
        <f t="shared" si="5"/>
        <v>000</v>
      </c>
      <c r="F14" s="3">
        <v>633521</v>
      </c>
      <c r="G14" s="102" t="s">
        <v>721</v>
      </c>
      <c r="H14" s="87"/>
      <c r="I14" s="13">
        <v>21021</v>
      </c>
      <c r="J14" s="13">
        <v>19296</v>
      </c>
      <c r="L14" s="56">
        <v>21630</v>
      </c>
      <c r="M14" s="56"/>
      <c r="N14" s="56">
        <v>22000</v>
      </c>
      <c r="O14" s="56"/>
      <c r="P14" s="56">
        <v>22000</v>
      </c>
      <c r="Q14" s="56"/>
      <c r="R14" s="56">
        <v>22000</v>
      </c>
      <c r="S14" s="56"/>
      <c r="T14" s="56">
        <v>0</v>
      </c>
      <c r="U14" s="56"/>
      <c r="V14" s="56">
        <v>22000</v>
      </c>
      <c r="W14" s="56"/>
      <c r="X14" s="56">
        <v>21880</v>
      </c>
      <c r="Y14" s="56"/>
      <c r="Z14" s="56">
        <v>22000</v>
      </c>
      <c r="AA14" s="56"/>
      <c r="AB14" s="56"/>
      <c r="AC14" s="56"/>
      <c r="AD14" s="56"/>
      <c r="AE14" s="56"/>
      <c r="AF14" s="56">
        <f t="shared" si="0"/>
        <v>22000</v>
      </c>
      <c r="AG14" s="56">
        <v>0</v>
      </c>
      <c r="AH14" s="56">
        <v>0</v>
      </c>
      <c r="AI14" s="56"/>
      <c r="AJ14" s="56">
        <f t="shared" si="1"/>
        <v>22000</v>
      </c>
      <c r="AK14" s="85"/>
      <c r="AL14" s="56">
        <v>0</v>
      </c>
      <c r="AM14" s="56"/>
      <c r="AN14" s="88">
        <f t="shared" si="2"/>
        <v>22000</v>
      </c>
      <c r="AO14" s="88">
        <v>0</v>
      </c>
      <c r="AP14" s="88">
        <v>20767</v>
      </c>
      <c r="AQ14" s="56"/>
      <c r="AR14" s="56">
        <v>0</v>
      </c>
      <c r="AS14" s="56"/>
      <c r="AT14" s="56">
        <v>0</v>
      </c>
      <c r="AU14" s="56"/>
      <c r="AV14" s="56">
        <f t="shared" si="3"/>
        <v>20767</v>
      </c>
      <c r="AW14" s="56"/>
      <c r="AX14" s="56">
        <v>0</v>
      </c>
      <c r="AY14" s="56"/>
      <c r="AZ14" s="88">
        <v>22000</v>
      </c>
      <c r="BA14" s="56">
        <v>22000</v>
      </c>
      <c r="BB14" s="214"/>
      <c r="BC14" s="56"/>
      <c r="BD14" s="84">
        <f t="shared" si="4"/>
        <v>-1233</v>
      </c>
      <c r="BE14" s="56"/>
      <c r="BF14" s="56"/>
      <c r="BG14" s="56"/>
      <c r="BH14" s="72"/>
    </row>
    <row r="15" spans="1:62" ht="20.100000000000001" customHeight="1" outlineLevel="1">
      <c r="A15" s="77" t="s">
        <v>43</v>
      </c>
      <c r="B15" s="77" t="s">
        <v>533</v>
      </c>
      <c r="C15" s="77" t="s">
        <v>1098</v>
      </c>
      <c r="D15" s="78" t="s">
        <v>46</v>
      </c>
      <c r="E15" s="78" t="str">
        <f>+D15</f>
        <v>000</v>
      </c>
      <c r="F15" s="3">
        <v>633525</v>
      </c>
      <c r="G15" s="102" t="s">
        <v>723</v>
      </c>
      <c r="H15" s="87"/>
      <c r="I15" s="13">
        <v>0</v>
      </c>
      <c r="J15" s="13">
        <v>0</v>
      </c>
      <c r="L15" s="56">
        <v>0</v>
      </c>
      <c r="M15" s="56"/>
      <c r="N15" s="56">
        <v>0</v>
      </c>
      <c r="O15" s="56"/>
      <c r="P15" s="56"/>
      <c r="Q15" s="56"/>
      <c r="R15" s="56"/>
      <c r="S15" s="56"/>
      <c r="T15" s="56"/>
      <c r="U15" s="56"/>
      <c r="V15" s="56">
        <v>0</v>
      </c>
      <c r="W15" s="56"/>
      <c r="X15" s="56">
        <v>0</v>
      </c>
      <c r="Y15" s="56"/>
      <c r="Z15" s="56">
        <v>30000</v>
      </c>
      <c r="AA15" s="56"/>
      <c r="AB15" s="56"/>
      <c r="AC15" s="56"/>
      <c r="AD15" s="56"/>
      <c r="AE15" s="56"/>
      <c r="AF15" s="56">
        <f>SUM(Z15:AE15)</f>
        <v>30000</v>
      </c>
      <c r="AG15" s="56">
        <v>0</v>
      </c>
      <c r="AH15" s="56">
        <v>0</v>
      </c>
      <c r="AI15" s="56"/>
      <c r="AJ15" s="56">
        <f>SUM(AE15:AI15)</f>
        <v>30000</v>
      </c>
      <c r="AK15" s="85"/>
      <c r="AL15" s="56">
        <v>0</v>
      </c>
      <c r="AM15" s="56"/>
      <c r="AN15" s="88">
        <f>SUM(AI15:AM15)</f>
        <v>30000</v>
      </c>
      <c r="AO15" s="88">
        <v>0</v>
      </c>
      <c r="AP15" s="88">
        <v>9815</v>
      </c>
      <c r="AQ15" s="56"/>
      <c r="AR15" s="56">
        <v>0</v>
      </c>
      <c r="AS15" s="56"/>
      <c r="AT15" s="56">
        <v>0</v>
      </c>
      <c r="AU15" s="56"/>
      <c r="AV15" s="56">
        <f>SUM(AP15:AU15)</f>
        <v>9815</v>
      </c>
      <c r="AW15" s="56"/>
      <c r="AX15" s="56">
        <v>0</v>
      </c>
      <c r="AY15" s="56"/>
      <c r="AZ15" s="88">
        <v>30000</v>
      </c>
      <c r="BA15" s="56">
        <v>30000</v>
      </c>
      <c r="BB15" s="214"/>
      <c r="BC15" s="56"/>
      <c r="BD15" s="84">
        <f>+AP15-AN15</f>
        <v>-20185</v>
      </c>
      <c r="BE15" s="56"/>
      <c r="BF15" s="56"/>
      <c r="BG15" s="56"/>
      <c r="BH15" s="72"/>
    </row>
    <row r="16" spans="1:62" ht="20.100000000000001" customHeight="1" outlineLevel="1">
      <c r="A16" s="77" t="s">
        <v>43</v>
      </c>
      <c r="B16" s="77" t="s">
        <v>533</v>
      </c>
      <c r="C16" s="77" t="s">
        <v>1098</v>
      </c>
      <c r="D16" s="78" t="s">
        <v>46</v>
      </c>
      <c r="E16" s="78" t="str">
        <f t="shared" si="5"/>
        <v>000</v>
      </c>
      <c r="F16" s="3">
        <v>633931</v>
      </c>
      <c r="G16" s="102" t="s">
        <v>722</v>
      </c>
      <c r="H16" s="87"/>
      <c r="I16" s="13">
        <v>43714</v>
      </c>
      <c r="J16" s="13">
        <v>55699</v>
      </c>
      <c r="L16" s="56">
        <v>50750</v>
      </c>
      <c r="M16" s="56"/>
      <c r="N16" s="56">
        <v>60000</v>
      </c>
      <c r="O16" s="56"/>
      <c r="P16" s="56">
        <v>60000</v>
      </c>
      <c r="Q16" s="56"/>
      <c r="R16" s="56">
        <v>60000</v>
      </c>
      <c r="S16" s="56"/>
      <c r="T16" s="56">
        <v>0</v>
      </c>
      <c r="U16" s="56"/>
      <c r="V16" s="56">
        <v>60000</v>
      </c>
      <c r="W16" s="56"/>
      <c r="X16" s="56">
        <v>58732.5</v>
      </c>
      <c r="Y16" s="56"/>
      <c r="Z16" s="56">
        <v>60000</v>
      </c>
      <c r="AA16" s="56"/>
      <c r="AB16" s="56"/>
      <c r="AC16" s="56"/>
      <c r="AD16" s="56"/>
      <c r="AE16" s="56"/>
      <c r="AF16" s="56">
        <f t="shared" si="0"/>
        <v>60000</v>
      </c>
      <c r="AG16" s="56">
        <v>0</v>
      </c>
      <c r="AH16" s="56">
        <v>0</v>
      </c>
      <c r="AI16" s="56"/>
      <c r="AJ16" s="56">
        <f t="shared" si="1"/>
        <v>60000</v>
      </c>
      <c r="AK16" s="85"/>
      <c r="AL16" s="56">
        <v>0</v>
      </c>
      <c r="AM16" s="56"/>
      <c r="AN16" s="88">
        <f t="shared" si="2"/>
        <v>60000</v>
      </c>
      <c r="AO16" s="88">
        <v>0</v>
      </c>
      <c r="AP16" s="88">
        <v>52887.5</v>
      </c>
      <c r="AQ16" s="56"/>
      <c r="AR16" s="56">
        <v>0</v>
      </c>
      <c r="AS16" s="56"/>
      <c r="AT16" s="56">
        <v>0</v>
      </c>
      <c r="AU16" s="56"/>
      <c r="AV16" s="56">
        <f t="shared" si="3"/>
        <v>52887.5</v>
      </c>
      <c r="AW16" s="56"/>
      <c r="AX16" s="56">
        <v>0</v>
      </c>
      <c r="AY16" s="56"/>
      <c r="AZ16" s="88">
        <v>60000</v>
      </c>
      <c r="BA16" s="56">
        <v>60000</v>
      </c>
      <c r="BB16" s="214"/>
      <c r="BC16" s="56"/>
      <c r="BD16" s="84">
        <f t="shared" si="4"/>
        <v>-7112.5</v>
      </c>
      <c r="BE16" s="56"/>
      <c r="BF16" s="56"/>
      <c r="BG16" s="56"/>
      <c r="BH16" s="72"/>
    </row>
    <row r="17" spans="1:62" ht="20.100000000000001" customHeight="1" outlineLevel="1">
      <c r="A17" s="77" t="s">
        <v>43</v>
      </c>
      <c r="B17" s="77" t="s">
        <v>533</v>
      </c>
      <c r="C17" s="77" t="s">
        <v>1098</v>
      </c>
      <c r="D17" s="78" t="s">
        <v>46</v>
      </c>
      <c r="E17" s="78" t="str">
        <f t="shared" si="5"/>
        <v>000</v>
      </c>
      <c r="F17" s="3">
        <v>633945</v>
      </c>
      <c r="G17" s="102" t="s">
        <v>550</v>
      </c>
      <c r="H17" s="87"/>
      <c r="I17" s="13">
        <v>1468</v>
      </c>
      <c r="J17" s="13">
        <v>2517</v>
      </c>
      <c r="L17" s="56">
        <v>1870</v>
      </c>
      <c r="M17" s="56"/>
      <c r="N17" s="56">
        <v>3000</v>
      </c>
      <c r="O17" s="56"/>
      <c r="P17" s="56">
        <v>3000</v>
      </c>
      <c r="Q17" s="56"/>
      <c r="R17" s="56">
        <v>3000</v>
      </c>
      <c r="S17" s="56"/>
      <c r="T17" s="56">
        <v>0</v>
      </c>
      <c r="U17" s="56"/>
      <c r="V17" s="56">
        <v>3000</v>
      </c>
      <c r="W17" s="56"/>
      <c r="X17" s="56">
        <v>2009.04</v>
      </c>
      <c r="Y17" s="56"/>
      <c r="Z17" s="56">
        <v>3000</v>
      </c>
      <c r="AA17" s="56"/>
      <c r="AB17" s="56"/>
      <c r="AC17" s="56"/>
      <c r="AD17" s="56"/>
      <c r="AE17" s="56"/>
      <c r="AF17" s="56">
        <f t="shared" si="0"/>
        <v>3000</v>
      </c>
      <c r="AG17" s="56">
        <v>0</v>
      </c>
      <c r="AH17" s="56">
        <v>0</v>
      </c>
      <c r="AI17" s="56"/>
      <c r="AJ17" s="56">
        <f t="shared" si="1"/>
        <v>3000</v>
      </c>
      <c r="AK17" s="85"/>
      <c r="AL17" s="56">
        <v>0</v>
      </c>
      <c r="AM17" s="56"/>
      <c r="AN17" s="88">
        <f t="shared" si="2"/>
        <v>3000</v>
      </c>
      <c r="AO17" s="88">
        <v>0</v>
      </c>
      <c r="AP17" s="88">
        <v>0</v>
      </c>
      <c r="AQ17" s="56"/>
      <c r="AR17" s="56">
        <v>0</v>
      </c>
      <c r="AS17" s="56"/>
      <c r="AT17" s="56">
        <v>0</v>
      </c>
      <c r="AU17" s="56"/>
      <c r="AV17" s="56">
        <f t="shared" si="3"/>
        <v>0</v>
      </c>
      <c r="AW17" s="56"/>
      <c r="AX17" s="56">
        <v>0</v>
      </c>
      <c r="AY17" s="56"/>
      <c r="AZ17" s="88">
        <v>3000</v>
      </c>
      <c r="BA17" s="56">
        <v>3000</v>
      </c>
      <c r="BB17" s="214"/>
      <c r="BC17" s="56"/>
      <c r="BD17" s="84">
        <f t="shared" si="4"/>
        <v>-3000</v>
      </c>
      <c r="BE17" s="56"/>
      <c r="BF17" s="56"/>
      <c r="BG17" s="56"/>
      <c r="BH17" s="72"/>
    </row>
    <row r="18" spans="1:62" ht="20.100000000000001" customHeight="1" outlineLevel="1">
      <c r="A18" s="77" t="s">
        <v>43</v>
      </c>
      <c r="B18" s="77" t="s">
        <v>533</v>
      </c>
      <c r="C18" s="77" t="s">
        <v>1098</v>
      </c>
      <c r="D18" s="78" t="s">
        <v>46</v>
      </c>
      <c r="E18" s="78" t="str">
        <f t="shared" si="5"/>
        <v>000</v>
      </c>
      <c r="F18" s="3">
        <v>643011</v>
      </c>
      <c r="G18" s="102" t="s">
        <v>258</v>
      </c>
      <c r="H18" s="87"/>
      <c r="I18" s="13">
        <v>315</v>
      </c>
      <c r="J18" s="13">
        <v>2458</v>
      </c>
      <c r="L18" s="56">
        <v>0</v>
      </c>
      <c r="M18" s="56"/>
      <c r="N18" s="56">
        <v>600</v>
      </c>
      <c r="O18" s="56"/>
      <c r="P18" s="56">
        <v>600</v>
      </c>
      <c r="Q18" s="56"/>
      <c r="R18" s="56">
        <v>600</v>
      </c>
      <c r="S18" s="56"/>
      <c r="T18" s="56">
        <v>0</v>
      </c>
      <c r="U18" s="56"/>
      <c r="V18" s="56">
        <v>600</v>
      </c>
      <c r="W18" s="56"/>
      <c r="X18" s="56">
        <v>236</v>
      </c>
      <c r="Y18" s="56"/>
      <c r="Z18" s="56">
        <v>600</v>
      </c>
      <c r="AA18" s="56"/>
      <c r="AB18" s="56"/>
      <c r="AC18" s="56"/>
      <c r="AD18" s="56"/>
      <c r="AE18" s="56"/>
      <c r="AF18" s="56">
        <f t="shared" si="0"/>
        <v>600</v>
      </c>
      <c r="AG18" s="56">
        <v>0</v>
      </c>
      <c r="AH18" s="56">
        <v>0</v>
      </c>
      <c r="AI18" s="56"/>
      <c r="AJ18" s="56">
        <f t="shared" si="1"/>
        <v>600</v>
      </c>
      <c r="AK18" s="85"/>
      <c r="AL18" s="56">
        <v>0</v>
      </c>
      <c r="AM18" s="56"/>
      <c r="AN18" s="88">
        <f t="shared" si="2"/>
        <v>600</v>
      </c>
      <c r="AO18" s="88">
        <v>0</v>
      </c>
      <c r="AP18" s="88">
        <v>504.71</v>
      </c>
      <c r="AQ18" s="56"/>
      <c r="AR18" s="56">
        <v>0</v>
      </c>
      <c r="AS18" s="56"/>
      <c r="AT18" s="56">
        <v>0</v>
      </c>
      <c r="AU18" s="56"/>
      <c r="AV18" s="56">
        <f t="shared" si="3"/>
        <v>504.71</v>
      </c>
      <c r="AW18" s="56"/>
      <c r="AX18" s="56">
        <v>0</v>
      </c>
      <c r="AY18" s="56"/>
      <c r="AZ18" s="88">
        <v>600</v>
      </c>
      <c r="BA18" s="56">
        <v>600</v>
      </c>
      <c r="BB18" s="214"/>
      <c r="BC18" s="56"/>
      <c r="BD18" s="84">
        <f t="shared" si="4"/>
        <v>-95.29000000000002</v>
      </c>
      <c r="BE18" s="56"/>
      <c r="BF18" s="56"/>
      <c r="BG18" s="56"/>
      <c r="BH18" s="72"/>
    </row>
    <row r="19" spans="1:62" ht="20.100000000000001" customHeight="1" outlineLevel="1">
      <c r="A19" s="77" t="s">
        <v>43</v>
      </c>
      <c r="B19" s="77" t="s">
        <v>533</v>
      </c>
      <c r="C19" s="77" t="s">
        <v>1098</v>
      </c>
      <c r="D19" s="78" t="s">
        <v>46</v>
      </c>
      <c r="E19" s="78" t="str">
        <f>+D19</f>
        <v>000</v>
      </c>
      <c r="F19" s="3">
        <v>644211</v>
      </c>
      <c r="G19" s="102" t="s">
        <v>726</v>
      </c>
      <c r="H19" s="87"/>
      <c r="I19" s="13">
        <v>2483</v>
      </c>
      <c r="J19" s="13">
        <v>0</v>
      </c>
      <c r="L19" s="56">
        <v>2081</v>
      </c>
      <c r="M19" s="56"/>
      <c r="N19" s="56">
        <v>2952</v>
      </c>
      <c r="O19" s="56"/>
      <c r="P19" s="56">
        <v>3577</v>
      </c>
      <c r="Q19" s="56"/>
      <c r="R19" s="56">
        <v>3577</v>
      </c>
      <c r="S19" s="56"/>
      <c r="T19" s="56">
        <v>0</v>
      </c>
      <c r="U19" s="56"/>
      <c r="V19" s="56">
        <v>3577</v>
      </c>
      <c r="W19" s="56"/>
      <c r="X19" s="56">
        <v>2482.9699999999998</v>
      </c>
      <c r="Y19" s="56"/>
      <c r="Z19" s="56">
        <v>3577</v>
      </c>
      <c r="AA19" s="56"/>
      <c r="AB19" s="56"/>
      <c r="AC19" s="56"/>
      <c r="AD19" s="56"/>
      <c r="AE19" s="56"/>
      <c r="AF19" s="56">
        <f>SUM(Z19:AE19)</f>
        <v>3577</v>
      </c>
      <c r="AG19" s="56">
        <v>0</v>
      </c>
      <c r="AH19" s="56">
        <v>0</v>
      </c>
      <c r="AI19" s="56"/>
      <c r="AJ19" s="56">
        <f>SUM(AE19:AI19)</f>
        <v>3577</v>
      </c>
      <c r="AK19" s="85"/>
      <c r="AL19" s="56">
        <v>0</v>
      </c>
      <c r="AM19" s="56"/>
      <c r="AN19" s="88">
        <f>SUM(AI19:AM19)</f>
        <v>3577</v>
      </c>
      <c r="AO19" s="88">
        <v>0</v>
      </c>
      <c r="AP19" s="88">
        <v>2410.4899999999998</v>
      </c>
      <c r="AQ19" s="56"/>
      <c r="AR19" s="56">
        <v>0</v>
      </c>
      <c r="AS19" s="56"/>
      <c r="AT19" s="56">
        <v>38.29</v>
      </c>
      <c r="AU19" s="56"/>
      <c r="AV19" s="56">
        <f>SUM(AP19:AU19)</f>
        <v>2448.7799999999997</v>
      </c>
      <c r="AW19" s="56"/>
      <c r="AX19" s="56">
        <v>0</v>
      </c>
      <c r="AY19" s="56"/>
      <c r="AZ19" s="88">
        <v>3615</v>
      </c>
      <c r="BA19" s="56">
        <v>3615.29</v>
      </c>
      <c r="BB19" s="214"/>
      <c r="BC19" s="56"/>
      <c r="BD19" s="84">
        <f>+AP19-AN19</f>
        <v>-1166.5100000000002</v>
      </c>
      <c r="BE19" s="56"/>
      <c r="BF19" s="56"/>
      <c r="BG19" s="56"/>
      <c r="BH19" s="72"/>
    </row>
    <row r="20" spans="1:62" ht="20.100000000000001" customHeight="1" outlineLevel="1">
      <c r="A20" s="77" t="s">
        <v>43</v>
      </c>
      <c r="B20" s="77" t="s">
        <v>533</v>
      </c>
      <c r="C20" s="77" t="s">
        <v>1098</v>
      </c>
      <c r="D20" s="78" t="s">
        <v>46</v>
      </c>
      <c r="E20" s="78" t="str">
        <f t="shared" si="5"/>
        <v>000</v>
      </c>
      <c r="F20" s="3">
        <v>653051</v>
      </c>
      <c r="G20" s="102" t="s">
        <v>71</v>
      </c>
      <c r="H20" s="87"/>
      <c r="I20" s="13">
        <v>3319</v>
      </c>
      <c r="J20" s="13">
        <v>3439</v>
      </c>
      <c r="L20" s="56">
        <v>3681</v>
      </c>
      <c r="M20" s="56"/>
      <c r="N20" s="56">
        <v>3000</v>
      </c>
      <c r="O20" s="56"/>
      <c r="P20" s="56">
        <v>3000</v>
      </c>
      <c r="Q20" s="56"/>
      <c r="R20" s="56">
        <v>3000</v>
      </c>
      <c r="S20" s="56"/>
      <c r="T20" s="56">
        <v>0</v>
      </c>
      <c r="U20" s="56"/>
      <c r="V20" s="56">
        <v>3000</v>
      </c>
      <c r="W20" s="56"/>
      <c r="X20" s="56">
        <v>3979.64</v>
      </c>
      <c r="Y20" s="56"/>
      <c r="Z20" s="56">
        <v>3000</v>
      </c>
      <c r="AA20" s="56"/>
      <c r="AB20" s="56"/>
      <c r="AC20" s="56"/>
      <c r="AD20" s="56"/>
      <c r="AE20" s="56"/>
      <c r="AF20" s="56">
        <f t="shared" si="0"/>
        <v>3000</v>
      </c>
      <c r="AG20" s="56">
        <v>0</v>
      </c>
      <c r="AH20" s="56">
        <v>0</v>
      </c>
      <c r="AI20" s="56"/>
      <c r="AJ20" s="56">
        <f t="shared" si="1"/>
        <v>3000</v>
      </c>
      <c r="AK20" s="85"/>
      <c r="AL20" s="56">
        <v>1000</v>
      </c>
      <c r="AM20" s="56"/>
      <c r="AN20" s="88">
        <f t="shared" si="2"/>
        <v>4000</v>
      </c>
      <c r="AO20" s="88">
        <v>0</v>
      </c>
      <c r="AP20" s="88">
        <v>2857.15</v>
      </c>
      <c r="AQ20" s="56"/>
      <c r="AR20" s="56">
        <v>0</v>
      </c>
      <c r="AS20" s="56"/>
      <c r="AT20" s="56">
        <v>0</v>
      </c>
      <c r="AU20" s="56"/>
      <c r="AV20" s="56">
        <f t="shared" si="3"/>
        <v>2857.15</v>
      </c>
      <c r="AW20" s="56"/>
      <c r="AX20" s="56">
        <v>0</v>
      </c>
      <c r="AY20" s="56"/>
      <c r="AZ20" s="88">
        <v>4000</v>
      </c>
      <c r="BA20" s="56">
        <v>4000</v>
      </c>
      <c r="BB20" s="214"/>
      <c r="BC20" s="56"/>
      <c r="BD20" s="84">
        <f t="shared" si="4"/>
        <v>-1142.8499999999999</v>
      </c>
      <c r="BE20" s="56"/>
      <c r="BF20" s="56"/>
      <c r="BG20" s="56"/>
      <c r="BH20" s="72"/>
    </row>
    <row r="21" spans="1:62" ht="20.100000000000001" customHeight="1" outlineLevel="1">
      <c r="A21" s="77" t="s">
        <v>43</v>
      </c>
      <c r="B21" s="77" t="s">
        <v>533</v>
      </c>
      <c r="C21" s="77" t="s">
        <v>1098</v>
      </c>
      <c r="D21" s="78" t="s">
        <v>46</v>
      </c>
      <c r="E21" s="78" t="str">
        <f t="shared" si="5"/>
        <v>000</v>
      </c>
      <c r="F21" s="3">
        <v>654011</v>
      </c>
      <c r="G21" s="102" t="s">
        <v>53</v>
      </c>
      <c r="H21" s="87"/>
      <c r="I21" s="13">
        <v>10361</v>
      </c>
      <c r="J21" s="13">
        <v>6416</v>
      </c>
      <c r="L21" s="56">
        <v>2582</v>
      </c>
      <c r="M21" s="56"/>
      <c r="N21" s="56">
        <v>8000</v>
      </c>
      <c r="O21" s="56"/>
      <c r="P21" s="56">
        <v>8000</v>
      </c>
      <c r="Q21" s="56"/>
      <c r="R21" s="56">
        <v>8000</v>
      </c>
      <c r="S21" s="56"/>
      <c r="T21" s="56">
        <v>0</v>
      </c>
      <c r="U21" s="56"/>
      <c r="V21" s="56">
        <v>8000</v>
      </c>
      <c r="W21" s="56"/>
      <c r="X21" s="56">
        <v>4156.8100000000004</v>
      </c>
      <c r="Y21" s="56"/>
      <c r="Z21" s="56">
        <v>7000</v>
      </c>
      <c r="AA21" s="56"/>
      <c r="AB21" s="56"/>
      <c r="AC21" s="56"/>
      <c r="AD21" s="56"/>
      <c r="AE21" s="56"/>
      <c r="AF21" s="56">
        <f t="shared" si="0"/>
        <v>7000</v>
      </c>
      <c r="AG21" s="56">
        <v>0</v>
      </c>
      <c r="AH21" s="56">
        <v>0</v>
      </c>
      <c r="AI21" s="56"/>
      <c r="AJ21" s="56">
        <f t="shared" si="1"/>
        <v>7000</v>
      </c>
      <c r="AK21" s="85"/>
      <c r="AL21" s="56">
        <v>-1000</v>
      </c>
      <c r="AM21" s="56"/>
      <c r="AN21" s="88">
        <f t="shared" si="2"/>
        <v>6000</v>
      </c>
      <c r="AO21" s="88">
        <v>0</v>
      </c>
      <c r="AP21" s="88">
        <v>1632.35</v>
      </c>
      <c r="AQ21" s="56"/>
      <c r="AR21" s="56">
        <v>0</v>
      </c>
      <c r="AS21" s="56"/>
      <c r="AT21" s="56">
        <v>0</v>
      </c>
      <c r="AU21" s="56"/>
      <c r="AV21" s="56">
        <f t="shared" si="3"/>
        <v>1632.35</v>
      </c>
      <c r="AW21" s="56"/>
      <c r="AX21" s="56">
        <v>0</v>
      </c>
      <c r="AY21" s="56"/>
      <c r="AZ21" s="88">
        <v>2000</v>
      </c>
      <c r="BA21" s="56">
        <v>10000</v>
      </c>
      <c r="BB21" s="214"/>
      <c r="BC21" s="56"/>
      <c r="BD21" s="84">
        <f t="shared" si="4"/>
        <v>-4367.6499999999996</v>
      </c>
      <c r="BE21" s="56"/>
      <c r="BF21" s="56"/>
      <c r="BG21" s="56"/>
      <c r="BH21" s="72"/>
    </row>
    <row r="22" spans="1:62" ht="20.100000000000001" customHeight="1" outlineLevel="1">
      <c r="A22" s="77" t="s">
        <v>43</v>
      </c>
      <c r="B22" s="77" t="s">
        <v>533</v>
      </c>
      <c r="C22" s="77" t="s">
        <v>1098</v>
      </c>
      <c r="D22" s="78" t="s">
        <v>46</v>
      </c>
      <c r="E22" s="78" t="str">
        <f t="shared" si="5"/>
        <v>000</v>
      </c>
      <c r="F22" s="3">
        <v>655011</v>
      </c>
      <c r="G22" s="102" t="s">
        <v>54</v>
      </c>
      <c r="H22" s="87"/>
      <c r="I22" s="13">
        <v>3588</v>
      </c>
      <c r="J22" s="13">
        <v>2044</v>
      </c>
      <c r="L22" s="56">
        <v>1088</v>
      </c>
      <c r="M22" s="56"/>
      <c r="N22" s="56">
        <v>3000</v>
      </c>
      <c r="O22" s="56"/>
      <c r="P22" s="56">
        <v>3000</v>
      </c>
      <c r="Q22" s="56"/>
      <c r="R22" s="56">
        <v>3000</v>
      </c>
      <c r="S22" s="56"/>
      <c r="T22" s="56">
        <v>0</v>
      </c>
      <c r="U22" s="56"/>
      <c r="V22" s="56">
        <v>3000</v>
      </c>
      <c r="W22" s="56"/>
      <c r="X22" s="56">
        <v>2855.67</v>
      </c>
      <c r="Y22" s="56"/>
      <c r="Z22" s="56">
        <v>3000</v>
      </c>
      <c r="AA22" s="56"/>
      <c r="AB22" s="56"/>
      <c r="AC22" s="56"/>
      <c r="AD22" s="56"/>
      <c r="AE22" s="56"/>
      <c r="AF22" s="56">
        <f t="shared" si="0"/>
        <v>3000</v>
      </c>
      <c r="AG22" s="56">
        <v>0</v>
      </c>
      <c r="AH22" s="56">
        <v>0</v>
      </c>
      <c r="AI22" s="56"/>
      <c r="AJ22" s="56">
        <f t="shared" si="1"/>
        <v>3000</v>
      </c>
      <c r="AK22" s="85"/>
      <c r="AL22" s="56">
        <v>0</v>
      </c>
      <c r="AM22" s="56"/>
      <c r="AN22" s="88">
        <f t="shared" si="2"/>
        <v>3000</v>
      </c>
      <c r="AO22" s="88">
        <v>0</v>
      </c>
      <c r="AP22" s="88">
        <v>478.99</v>
      </c>
      <c r="AQ22" s="56"/>
      <c r="AR22" s="56">
        <v>0</v>
      </c>
      <c r="AS22" s="56"/>
      <c r="AT22" s="56">
        <v>0</v>
      </c>
      <c r="AU22" s="56"/>
      <c r="AV22" s="56">
        <f t="shared" si="3"/>
        <v>478.99</v>
      </c>
      <c r="AW22" s="56"/>
      <c r="AX22" s="56">
        <v>0</v>
      </c>
      <c r="AY22" s="56"/>
      <c r="AZ22" s="88">
        <v>2000</v>
      </c>
      <c r="BA22" s="56">
        <v>2000</v>
      </c>
      <c r="BB22" s="214"/>
      <c r="BC22" s="56"/>
      <c r="BD22" s="84">
        <f t="shared" si="4"/>
        <v>-2521.0100000000002</v>
      </c>
      <c r="BE22" s="56"/>
      <c r="BF22" s="56"/>
      <c r="BG22" s="56"/>
      <c r="BH22" s="72"/>
    </row>
    <row r="23" spans="1:62" ht="20.100000000000001" customHeight="1" outlineLevel="1">
      <c r="A23" s="77" t="s">
        <v>43</v>
      </c>
      <c r="B23" s="77" t="s">
        <v>533</v>
      </c>
      <c r="C23" s="77" t="s">
        <v>1098</v>
      </c>
      <c r="D23" s="78" t="s">
        <v>46</v>
      </c>
      <c r="E23" s="78" t="str">
        <f t="shared" si="5"/>
        <v>000</v>
      </c>
      <c r="F23" s="3">
        <v>658211</v>
      </c>
      <c r="G23" s="102" t="s">
        <v>72</v>
      </c>
      <c r="H23" s="87"/>
      <c r="I23" s="13">
        <v>5999</v>
      </c>
      <c r="J23" s="13">
        <v>3582</v>
      </c>
      <c r="L23" s="56">
        <v>4346</v>
      </c>
      <c r="M23" s="56"/>
      <c r="N23" s="56">
        <v>5500</v>
      </c>
      <c r="O23" s="56"/>
      <c r="P23" s="56">
        <v>5500</v>
      </c>
      <c r="Q23" s="56"/>
      <c r="R23" s="56">
        <v>5500</v>
      </c>
      <c r="S23" s="56"/>
      <c r="T23" s="56">
        <v>0</v>
      </c>
      <c r="U23" s="56"/>
      <c r="V23" s="56">
        <v>5500</v>
      </c>
      <c r="W23" s="56"/>
      <c r="X23" s="56">
        <v>5458.84</v>
      </c>
      <c r="Y23" s="56"/>
      <c r="Z23" s="56">
        <v>5500</v>
      </c>
      <c r="AA23" s="56"/>
      <c r="AB23" s="56"/>
      <c r="AC23" s="56"/>
      <c r="AD23" s="56"/>
      <c r="AE23" s="56"/>
      <c r="AF23" s="56">
        <f t="shared" si="0"/>
        <v>5500</v>
      </c>
      <c r="AG23" s="56">
        <v>0</v>
      </c>
      <c r="AH23" s="56">
        <v>0</v>
      </c>
      <c r="AI23" s="56"/>
      <c r="AJ23" s="56">
        <f t="shared" si="1"/>
        <v>5500</v>
      </c>
      <c r="AK23" s="85"/>
      <c r="AL23" s="56">
        <v>0</v>
      </c>
      <c r="AM23" s="56"/>
      <c r="AN23" s="88">
        <f t="shared" si="2"/>
        <v>5500</v>
      </c>
      <c r="AO23" s="88">
        <v>0</v>
      </c>
      <c r="AP23" s="88">
        <v>3186.54</v>
      </c>
      <c r="AQ23" s="56"/>
      <c r="AR23" s="56">
        <v>0</v>
      </c>
      <c r="AS23" s="56"/>
      <c r="AT23" s="56">
        <v>0</v>
      </c>
      <c r="AU23" s="56"/>
      <c r="AV23" s="56">
        <f t="shared" si="3"/>
        <v>3186.54</v>
      </c>
      <c r="AW23" s="56"/>
      <c r="AX23" s="56">
        <v>0</v>
      </c>
      <c r="AY23" s="56"/>
      <c r="AZ23" s="88">
        <v>4000</v>
      </c>
      <c r="BA23" s="56">
        <v>4000</v>
      </c>
      <c r="BB23" s="214"/>
      <c r="BC23" s="56"/>
      <c r="BD23" s="84">
        <f t="shared" si="4"/>
        <v>-2313.46</v>
      </c>
      <c r="BE23" s="56"/>
      <c r="BF23" s="56"/>
      <c r="BG23" s="56"/>
      <c r="BH23" s="72"/>
    </row>
    <row r="24" spans="1:62" ht="20.100000000000001" customHeight="1" outlineLevel="1">
      <c r="A24" s="77" t="s">
        <v>43</v>
      </c>
      <c r="B24" s="77" t="s">
        <v>533</v>
      </c>
      <c r="C24" s="77" t="s">
        <v>1098</v>
      </c>
      <c r="D24" s="78" t="s">
        <v>46</v>
      </c>
      <c r="E24" s="78" t="str">
        <f t="shared" si="5"/>
        <v>000</v>
      </c>
      <c r="F24" s="3">
        <v>661001</v>
      </c>
      <c r="G24" s="102" t="s">
        <v>725</v>
      </c>
      <c r="H24" s="87"/>
      <c r="I24" s="13">
        <v>5728</v>
      </c>
      <c r="J24" s="13">
        <v>8514</v>
      </c>
      <c r="L24" s="56">
        <v>7025</v>
      </c>
      <c r="M24" s="56"/>
      <c r="N24" s="56">
        <v>6400</v>
      </c>
      <c r="O24" s="56"/>
      <c r="P24" s="56">
        <v>6400</v>
      </c>
      <c r="Q24" s="56"/>
      <c r="R24" s="56">
        <v>6400</v>
      </c>
      <c r="S24" s="56"/>
      <c r="T24" s="56">
        <v>0</v>
      </c>
      <c r="U24" s="56"/>
      <c r="V24" s="56">
        <v>6400</v>
      </c>
      <c r="W24" s="56"/>
      <c r="X24" s="56">
        <v>9448.24</v>
      </c>
      <c r="Y24" s="56"/>
      <c r="Z24" s="56">
        <f>6400+800</f>
        <v>7200</v>
      </c>
      <c r="AA24" s="56"/>
      <c r="AB24" s="56"/>
      <c r="AC24" s="56"/>
      <c r="AD24" s="56"/>
      <c r="AE24" s="56"/>
      <c r="AF24" s="56">
        <f>SUM(Z24:AE24)</f>
        <v>7200</v>
      </c>
      <c r="AG24" s="56">
        <v>0</v>
      </c>
      <c r="AH24" s="56">
        <v>0</v>
      </c>
      <c r="AI24" s="56"/>
      <c r="AJ24" s="56">
        <f>SUM(AE24:AI24)</f>
        <v>7200</v>
      </c>
      <c r="AK24" s="85"/>
      <c r="AL24" s="56">
        <v>0</v>
      </c>
      <c r="AM24" s="56"/>
      <c r="AN24" s="88">
        <f>SUM(AI24:AM24)</f>
        <v>7200</v>
      </c>
      <c r="AO24" s="88">
        <v>0</v>
      </c>
      <c r="AP24" s="88">
        <v>9025.98</v>
      </c>
      <c r="AQ24" s="56"/>
      <c r="AR24" s="56">
        <v>0</v>
      </c>
      <c r="AS24" s="56"/>
      <c r="AT24" s="56">
        <v>0</v>
      </c>
      <c r="AU24" s="56"/>
      <c r="AV24" s="56">
        <f>SUM(AP24:AU24)</f>
        <v>9025.98</v>
      </c>
      <c r="AW24" s="56"/>
      <c r="AX24" s="56">
        <v>1331</v>
      </c>
      <c r="AY24" s="56"/>
      <c r="AZ24" s="88">
        <v>8531</v>
      </c>
      <c r="BA24" s="56">
        <v>8531</v>
      </c>
      <c r="BB24" s="214"/>
      <c r="BC24" s="56"/>
      <c r="BD24" s="84">
        <f>+AP24-AN24</f>
        <v>1825.9799999999996</v>
      </c>
      <c r="BE24" s="56"/>
      <c r="BF24" s="56"/>
      <c r="BG24" s="56"/>
      <c r="BH24" s="72"/>
    </row>
    <row r="25" spans="1:62" ht="20.100000000000001" customHeight="1" outlineLevel="1">
      <c r="A25" s="77" t="s">
        <v>43</v>
      </c>
      <c r="B25" s="77" t="s">
        <v>533</v>
      </c>
      <c r="C25" s="77" t="s">
        <v>1098</v>
      </c>
      <c r="D25" s="78" t="s">
        <v>46</v>
      </c>
      <c r="E25" s="78" t="str">
        <f t="shared" si="5"/>
        <v>000</v>
      </c>
      <c r="F25" s="3">
        <v>673001</v>
      </c>
      <c r="G25" s="102" t="s">
        <v>57</v>
      </c>
      <c r="H25" s="87"/>
      <c r="I25" s="13">
        <v>0</v>
      </c>
      <c r="J25" s="13">
        <v>0</v>
      </c>
      <c r="L25" s="56">
        <v>3525</v>
      </c>
      <c r="M25" s="56"/>
      <c r="N25" s="56">
        <v>1000</v>
      </c>
      <c r="O25" s="56"/>
      <c r="P25" s="56">
        <v>1000</v>
      </c>
      <c r="Q25" s="56"/>
      <c r="R25" s="56">
        <v>1000</v>
      </c>
      <c r="S25" s="56"/>
      <c r="T25" s="56">
        <v>0</v>
      </c>
      <c r="U25" s="56"/>
      <c r="V25" s="56">
        <v>1000</v>
      </c>
      <c r="W25" s="56"/>
      <c r="X25" s="56">
        <v>0</v>
      </c>
      <c r="Y25" s="56"/>
      <c r="Z25" s="56">
        <v>0</v>
      </c>
      <c r="AA25" s="56"/>
      <c r="AB25" s="56"/>
      <c r="AC25" s="56"/>
      <c r="AD25" s="56"/>
      <c r="AE25" s="56"/>
      <c r="AF25" s="56">
        <f>SUM(Z25:AE25)</f>
        <v>0</v>
      </c>
      <c r="AG25" s="56">
        <v>0</v>
      </c>
      <c r="AH25" s="56">
        <v>0</v>
      </c>
      <c r="AI25" s="56"/>
      <c r="AJ25" s="56">
        <f>SUM(AE25:AI25)</f>
        <v>0</v>
      </c>
      <c r="AK25" s="85"/>
      <c r="AL25" s="56">
        <v>0</v>
      </c>
      <c r="AM25" s="56"/>
      <c r="AN25" s="88">
        <f>SUM(AI25:AM25)</f>
        <v>0</v>
      </c>
      <c r="AO25" s="88">
        <v>0</v>
      </c>
      <c r="AP25" s="88">
        <v>0</v>
      </c>
      <c r="AQ25" s="56"/>
      <c r="AR25" s="56">
        <v>0</v>
      </c>
      <c r="AS25" s="56"/>
      <c r="AT25" s="56">
        <v>0</v>
      </c>
      <c r="AU25" s="56"/>
      <c r="AV25" s="56">
        <f>SUM(AP25:AU25)</f>
        <v>0</v>
      </c>
      <c r="AW25" s="56"/>
      <c r="AX25" s="56">
        <v>0</v>
      </c>
      <c r="AY25" s="56"/>
      <c r="AZ25" s="88">
        <v>0</v>
      </c>
      <c r="BA25" s="56">
        <v>0</v>
      </c>
      <c r="BB25" s="214"/>
      <c r="BC25" s="56"/>
      <c r="BD25" s="84">
        <f>+AP25-AN25</f>
        <v>0</v>
      </c>
      <c r="BE25" s="56"/>
      <c r="BF25" s="56"/>
      <c r="BG25" s="56"/>
      <c r="BH25" s="72"/>
    </row>
    <row r="26" spans="1:62" ht="20.100000000000001" customHeight="1" outlineLevel="1">
      <c r="A26" s="77" t="s">
        <v>43</v>
      </c>
      <c r="B26" s="77" t="s">
        <v>727</v>
      </c>
      <c r="C26" s="77" t="s">
        <v>1098</v>
      </c>
      <c r="D26" s="78" t="s">
        <v>46</v>
      </c>
      <c r="E26" s="78" t="str">
        <f t="shared" si="5"/>
        <v>000</v>
      </c>
      <c r="F26" s="79">
        <v>611115</v>
      </c>
      <c r="G26" s="102" t="s">
        <v>232</v>
      </c>
      <c r="H26" s="87"/>
      <c r="I26" s="13">
        <v>76932</v>
      </c>
      <c r="J26" s="13">
        <v>65707</v>
      </c>
      <c r="L26" s="56">
        <v>81919</v>
      </c>
      <c r="M26" s="56"/>
      <c r="N26" s="56">
        <v>92568</v>
      </c>
      <c r="O26" s="56"/>
      <c r="P26" s="56">
        <v>92568</v>
      </c>
      <c r="Q26" s="56"/>
      <c r="R26" s="56">
        <v>94268</v>
      </c>
      <c r="S26" s="56"/>
      <c r="T26" s="56">
        <v>0</v>
      </c>
      <c r="U26" s="56"/>
      <c r="V26" s="56">
        <v>94268</v>
      </c>
      <c r="W26" s="83"/>
      <c r="X26" s="56">
        <v>92518</v>
      </c>
      <c r="Y26" s="83"/>
      <c r="Z26" s="56">
        <v>92571</v>
      </c>
      <c r="AA26" s="83"/>
      <c r="AB26" s="56"/>
      <c r="AC26" s="83"/>
      <c r="AD26" s="56"/>
      <c r="AE26" s="83"/>
      <c r="AF26" s="56">
        <f>SUM(Z26:AE26)</f>
        <v>92571</v>
      </c>
      <c r="AG26" s="56">
        <v>0</v>
      </c>
      <c r="AH26" s="56">
        <v>1250</v>
      </c>
      <c r="AI26" s="83"/>
      <c r="AJ26" s="56">
        <f>SUM(AE26:AI26)</f>
        <v>93821</v>
      </c>
      <c r="AK26" s="85"/>
      <c r="AL26" s="56">
        <v>0</v>
      </c>
      <c r="AM26" s="83"/>
      <c r="AN26" s="88">
        <f>SUM(AI26:AM26)</f>
        <v>93821</v>
      </c>
      <c r="AO26" s="88">
        <v>0</v>
      </c>
      <c r="AP26" s="88">
        <v>93882.75</v>
      </c>
      <c r="AQ26" s="83"/>
      <c r="AR26" s="56">
        <v>0</v>
      </c>
      <c r="AS26" s="83"/>
      <c r="AT26" s="56">
        <v>0</v>
      </c>
      <c r="AU26" s="83"/>
      <c r="AV26" s="56">
        <f>SUM(AP26:AU26)</f>
        <v>93882.75</v>
      </c>
      <c r="AW26" s="56"/>
      <c r="AX26" s="56">
        <v>0</v>
      </c>
      <c r="AY26" s="56"/>
      <c r="AZ26" s="88">
        <v>94320</v>
      </c>
      <c r="BA26" s="56">
        <v>94320</v>
      </c>
      <c r="BB26" s="214"/>
      <c r="BC26" s="56"/>
      <c r="BD26" s="84">
        <f>+AP26-AN26</f>
        <v>61.75</v>
      </c>
      <c r="BE26" s="56"/>
      <c r="BF26" s="56"/>
      <c r="BG26" s="56"/>
      <c r="BH26" s="72">
        <v>1</v>
      </c>
      <c r="BJ26">
        <v>1</v>
      </c>
    </row>
    <row r="27" spans="1:62" ht="20.100000000000001" customHeight="1" outlineLevel="1">
      <c r="A27" s="77" t="s">
        <v>43</v>
      </c>
      <c r="B27" s="77" t="s">
        <v>728</v>
      </c>
      <c r="C27" s="77" t="s">
        <v>1098</v>
      </c>
      <c r="D27" s="78" t="s">
        <v>46</v>
      </c>
      <c r="E27" s="78" t="str">
        <f t="shared" si="5"/>
        <v>000</v>
      </c>
      <c r="F27" s="3">
        <v>611841</v>
      </c>
      <c r="G27" s="102" t="s">
        <v>729</v>
      </c>
      <c r="H27" s="87"/>
      <c r="I27" s="13">
        <v>239888</v>
      </c>
      <c r="J27" s="13">
        <v>239856</v>
      </c>
      <c r="L27" s="56">
        <v>264335</v>
      </c>
      <c r="M27" s="56"/>
      <c r="N27" s="56">
        <v>284908</v>
      </c>
      <c r="O27" s="56"/>
      <c r="P27" s="56">
        <v>284908</v>
      </c>
      <c r="Q27" s="56"/>
      <c r="R27" s="56">
        <v>300345</v>
      </c>
      <c r="S27" s="56"/>
      <c r="T27" s="56">
        <v>0</v>
      </c>
      <c r="U27" s="56"/>
      <c r="V27" s="56">
        <v>300345</v>
      </c>
      <c r="W27" s="56"/>
      <c r="X27" s="56">
        <v>298781.34999999998</v>
      </c>
      <c r="Y27" s="56"/>
      <c r="Z27" s="56">
        <v>293717</v>
      </c>
      <c r="AA27" s="56"/>
      <c r="AB27" s="56"/>
      <c r="AC27" s="56"/>
      <c r="AD27" s="56"/>
      <c r="AE27" s="56"/>
      <c r="AF27" s="56">
        <f>SUM(Z27:AE27)</f>
        <v>293717</v>
      </c>
      <c r="AG27" s="104">
        <v>9800</v>
      </c>
      <c r="AH27" s="56">
        <v>5000</v>
      </c>
      <c r="AI27" s="56"/>
      <c r="AJ27" s="56">
        <f>SUM(AE27:AI27)</f>
        <v>308517</v>
      </c>
      <c r="AK27" s="85"/>
      <c r="AL27" s="56">
        <v>0</v>
      </c>
      <c r="AM27" s="56"/>
      <c r="AN27" s="88">
        <f>SUM(AI27:AM27)</f>
        <v>308517</v>
      </c>
      <c r="AO27" s="88">
        <v>0</v>
      </c>
      <c r="AP27" s="88">
        <v>295002.58</v>
      </c>
      <c r="AQ27" s="56"/>
      <c r="AR27" s="56">
        <v>0</v>
      </c>
      <c r="AS27" s="56"/>
      <c r="AT27" s="56">
        <v>0</v>
      </c>
      <c r="AU27" s="56"/>
      <c r="AV27" s="56">
        <f>SUM(AP27:AU27)</f>
        <v>295002.58</v>
      </c>
      <c r="AW27" s="56"/>
      <c r="AX27" s="56">
        <v>0</v>
      </c>
      <c r="AY27" s="56"/>
      <c r="AZ27" s="88">
        <v>292491</v>
      </c>
      <c r="BA27" s="56">
        <v>292833</v>
      </c>
      <c r="BB27" s="214"/>
      <c r="BC27" s="56"/>
      <c r="BD27" s="84">
        <f>+AP27-AN27</f>
        <v>-13514.419999999984</v>
      </c>
      <c r="BE27" s="56"/>
      <c r="BF27" s="56"/>
      <c r="BG27" s="56"/>
      <c r="BH27" s="72">
        <v>1</v>
      </c>
      <c r="BJ27">
        <v>1</v>
      </c>
    </row>
    <row r="28" spans="1:62" ht="20.100000000000001" customHeight="1">
      <c r="B28" s="77"/>
      <c r="C28" s="77"/>
      <c r="D28" s="90"/>
      <c r="E28" s="90"/>
      <c r="F28" s="3"/>
      <c r="G28" s="110" t="s">
        <v>730</v>
      </c>
      <c r="H28" s="81"/>
      <c r="I28" s="92">
        <v>585752</v>
      </c>
      <c r="J28" s="93">
        <v>579716</v>
      </c>
      <c r="L28" s="125">
        <v>647920</v>
      </c>
      <c r="M28" s="126"/>
      <c r="N28" s="125">
        <v>690521</v>
      </c>
      <c r="O28" s="126"/>
      <c r="P28" s="125">
        <v>691146</v>
      </c>
      <c r="Q28" s="126"/>
      <c r="R28" s="125">
        <v>731158</v>
      </c>
      <c r="S28" s="95"/>
      <c r="T28" s="94">
        <v>0</v>
      </c>
      <c r="U28" s="126"/>
      <c r="V28" s="125">
        <v>731158</v>
      </c>
      <c r="W28" s="126"/>
      <c r="X28" s="125">
        <f>SUBTOTAL(9,X11:X27)</f>
        <v>728041.3899999999</v>
      </c>
      <c r="Y28" s="126"/>
      <c r="Z28" s="125">
        <f>SUBTOTAL(9,Z11:Z27)</f>
        <v>727005</v>
      </c>
      <c r="AA28" s="126"/>
      <c r="AB28" s="125">
        <f>SUBTOTAL(9,AB11:AB27)</f>
        <v>0</v>
      </c>
      <c r="AC28" s="126"/>
      <c r="AD28" s="125">
        <f>SUBTOTAL(9,AD11:AD27)</f>
        <v>0</v>
      </c>
      <c r="AE28" s="126"/>
      <c r="AF28" s="125">
        <f>SUBTOTAL(9,AF11:AF27)</f>
        <v>727005</v>
      </c>
      <c r="AG28" s="125">
        <f>SUBTOTAL(9,AG11:AG27)</f>
        <v>51800</v>
      </c>
      <c r="AH28" s="125">
        <f>SUBTOTAL(9,AH11:AH27)</f>
        <v>17500</v>
      </c>
      <c r="AI28" s="126"/>
      <c r="AJ28" s="125">
        <f>SUBTOTAL(9,AJ11:AJ27)</f>
        <v>796305</v>
      </c>
      <c r="AK28" s="96"/>
      <c r="AL28" s="125">
        <f>SUBTOTAL(9,AL11:AL27)</f>
        <v>0</v>
      </c>
      <c r="AM28" s="126"/>
      <c r="AN28" s="127">
        <f>SUBTOTAL(9,AN11:AN27)</f>
        <v>796305</v>
      </c>
      <c r="AO28" s="127">
        <f>SUBTOTAL(9,AO11:AO27)</f>
        <v>0</v>
      </c>
      <c r="AP28" s="127">
        <f>SUBTOTAL(9,AP11:AP27)</f>
        <v>708753.75</v>
      </c>
      <c r="AQ28" s="126"/>
      <c r="AR28" s="125">
        <f>SUBTOTAL(9,AR11:AR27)</f>
        <v>0</v>
      </c>
      <c r="AS28" s="126"/>
      <c r="AT28" s="125">
        <f>SUBTOTAL(9,AT11:AT27)</f>
        <v>38.29</v>
      </c>
      <c r="AU28" s="126"/>
      <c r="AV28" s="125">
        <f>SUBTOTAL(9,AV11:AV27)</f>
        <v>701172.04</v>
      </c>
      <c r="AW28" s="126"/>
      <c r="AX28" s="125">
        <f>SUBTOTAL(9,AX11:AX27)</f>
        <v>8951</v>
      </c>
      <c r="AY28" s="126"/>
      <c r="AZ28" s="127">
        <f>SUBTOTAL(9,AZ11:AZ27)</f>
        <v>731677</v>
      </c>
      <c r="BA28" s="125">
        <f>SUBTOTAL(9,BA11:BA27)</f>
        <v>779439.29</v>
      </c>
      <c r="BB28" s="214"/>
      <c r="BC28" s="56"/>
      <c r="BD28" s="98">
        <f>+AP28-AN28</f>
        <v>-87551.25</v>
      </c>
      <c r="BE28" s="126"/>
      <c r="BF28" s="126"/>
      <c r="BG28" s="126"/>
    </row>
    <row r="44" spans="18:63">
      <c r="R44" s="7">
        <v>420044982</v>
      </c>
      <c r="BI44" s="211"/>
      <c r="BJ44" s="7"/>
      <c r="BK44" s="7"/>
    </row>
    <row r="45" spans="18:63">
      <c r="BI45" s="211"/>
      <c r="BJ45" s="7"/>
    </row>
  </sheetData>
  <autoFilter ref="A9:BH28"/>
  <mergeCells count="8">
    <mergeCell ref="A6:F6"/>
    <mergeCell ref="A7:F7"/>
    <mergeCell ref="AB5:AD5"/>
    <mergeCell ref="A8:E8"/>
    <mergeCell ref="AG2:AH2"/>
    <mergeCell ref="AG3:AH3"/>
    <mergeCell ref="AG4:AH4"/>
    <mergeCell ref="AB4:AD4"/>
  </mergeCells>
  <phoneticPr fontId="3" type="noConversion"/>
  <conditionalFormatting sqref="F1:F1048576">
    <cfRule type="cellIs" dxfId="17" priority="1" stopIfTrue="1" operator="between">
      <formula>610000</formula>
      <formula>619999</formula>
    </cfRule>
  </conditionalFormatting>
  <pageMargins left="0.54" right="0.25" top="0.24" bottom="0.49" header="0.25" footer="0"/>
  <pageSetup scale="77" fitToHeight="0" orientation="landscape" r:id="rId1"/>
  <headerFooter alignWithMargins="0">
    <oddFooter>&amp;C&amp;8Detail of Expenditures Budget By Department, Page &amp;P of &amp;N</oddFooter>
  </headerFooter>
  <legacyDrawing r:id="rId2"/>
</worksheet>
</file>

<file path=xl/worksheets/sheet21.xml><?xml version="1.0" encoding="utf-8"?>
<worksheet xmlns="http://schemas.openxmlformats.org/spreadsheetml/2006/main" xmlns:r="http://schemas.openxmlformats.org/officeDocument/2006/relationships">
  <sheetPr codeName="Sheet26" enableFormatConditionsCalculation="0">
    <tabColor indexed="17"/>
    <pageSetUpPr fitToPage="1"/>
  </sheetPr>
  <dimension ref="A1:BJ18"/>
  <sheetViews>
    <sheetView zoomScale="87" zoomScaleNormal="90" workbookViewId="0">
      <pane xSplit="8" ySplit="9" topLeftCell="AN10" activePane="bottomRight" state="frozen"/>
      <selection activeCell="A28" sqref="A28"/>
      <selection pane="topRight" activeCell="A28" sqref="A28"/>
      <selection pane="bottomLeft" activeCell="A28" sqref="A28"/>
      <selection pane="bottomRight"/>
    </sheetView>
  </sheetViews>
  <sheetFormatPr defaultRowHeight="12.75" outlineLevelRow="1" outlineLevelCol="1"/>
  <cols>
    <col min="1" max="1" width="7" style="39" customWidth="1" outlineLevel="1"/>
    <col min="2" max="2" width="6.140625" style="39" customWidth="1" outlineLevel="1"/>
    <col min="3" max="3" width="3.7109375" style="39" customWidth="1" outlineLevel="1"/>
    <col min="4" max="5" width="4.85546875" style="168" customWidth="1" outlineLevel="1"/>
    <col min="6" max="6" width="8.7109375" style="40" customWidth="1" outlineLevel="1"/>
    <col min="7" max="7" width="28.5703125" style="4" customWidth="1"/>
    <col min="8" max="8" width="16.5703125" style="4" hidden="1" customWidth="1"/>
    <col min="9" max="10" width="15.140625" style="4" hidden="1" customWidth="1" collapsed="1"/>
    <col min="11" max="11" width="39.5703125" style="4" hidden="1" customWidth="1"/>
    <col min="12" max="12" width="15.140625" style="7" bestFit="1" customWidth="1" collapsed="1"/>
    <col min="13" max="13" width="31.7109375" style="7" hidden="1" customWidth="1"/>
    <col min="14" max="14" width="35.5703125" style="7" hidden="1" customWidth="1" collapsed="1"/>
    <col min="15" max="15" width="0.140625" style="7" customWidth="1"/>
    <col min="16" max="16" width="25.28515625" style="7" hidden="1" customWidth="1" outlineLevel="1" collapsed="1"/>
    <col min="17" max="17" width="23.42578125" style="7" hidden="1" customWidth="1" outlineLevel="1"/>
    <col min="18" max="18" width="20.5703125" style="7" hidden="1" customWidth="1" outlineLevel="1" collapsed="1"/>
    <col min="19" max="19" width="18" style="7" hidden="1" customWidth="1" outlineLevel="1"/>
    <col min="20" max="20" width="19.5703125" style="7" hidden="1" customWidth="1" outlineLevel="1"/>
    <col min="21" max="21" width="18.42578125" style="7" hidden="1" customWidth="1" outlineLevel="1"/>
    <col min="22" max="22" width="13.140625" style="7" hidden="1" customWidth="1"/>
    <col min="23" max="23" width="14.140625" style="7" hidden="1" customWidth="1"/>
    <col min="24" max="24" width="14.5703125" style="7" customWidth="1" collapsed="1"/>
    <col min="25" max="25" width="0.85546875" style="7" hidden="1" customWidth="1"/>
    <col min="26" max="26" width="16.140625" style="7" hidden="1" customWidth="1"/>
    <col min="27" max="27" width="0.140625" style="7" hidden="1" customWidth="1"/>
    <col min="28" max="28" width="16.140625" style="7" hidden="1" customWidth="1" outlineLevel="1"/>
    <col min="29" max="29" width="0.42578125" style="7" hidden="1" customWidth="1" outlineLevel="1"/>
    <col min="30" max="30" width="17.85546875" style="7" hidden="1" customWidth="1" outlineLevel="1"/>
    <col min="31" max="31" width="0.42578125" style="7" hidden="1" customWidth="1" outlineLevel="1"/>
    <col min="32" max="32" width="16.140625" style="7" hidden="1" customWidth="1" collapsed="1"/>
    <col min="33" max="33" width="16" style="7" hidden="1" customWidth="1" outlineLevel="1"/>
    <col min="34" max="34" width="17" style="7" hidden="1" customWidth="1" outlineLevel="1"/>
    <col min="35" max="35" width="10.5703125" style="7" hidden="1" customWidth="1" outlineLevel="1"/>
    <col min="36" max="36" width="16.140625" style="7" hidden="1" customWidth="1" collapsed="1"/>
    <col min="37" max="37" width="0.7109375" style="7" hidden="1" customWidth="1"/>
    <col min="38" max="38" width="16.140625" style="7" hidden="1" customWidth="1" outlineLevel="1"/>
    <col min="39" max="39" width="4.140625" style="7" hidden="1" customWidth="1" outlineLevel="1"/>
    <col min="40" max="40" width="16.140625" style="17" customWidth="1" collapsed="1"/>
    <col min="41" max="41" width="16.140625" style="17" hidden="1" customWidth="1" collapsed="1"/>
    <col min="42" max="42" width="16.140625" style="17" customWidth="1" collapsed="1"/>
    <col min="43" max="43" width="0.7109375" style="7" hidden="1" customWidth="1" outlineLevel="1"/>
    <col min="44" max="44" width="22.140625" style="7" hidden="1" customWidth="1" outlineLevel="1"/>
    <col min="45" max="45" width="0.42578125" style="7" hidden="1" customWidth="1" outlineLevel="1"/>
    <col min="46" max="46" width="17.85546875" style="7" hidden="1" customWidth="1" outlineLevel="1"/>
    <col min="47" max="47" width="0.42578125" style="7" hidden="1" customWidth="1" outlineLevel="1"/>
    <col min="48" max="48" width="18" style="7" hidden="1" customWidth="1" collapsed="1"/>
    <col min="49" max="49" width="0.5703125" style="7" hidden="1" customWidth="1"/>
    <col min="50" max="50" width="18" style="7" hidden="1" customWidth="1"/>
    <col min="51" max="51" width="0.5703125" style="7" customWidth="1"/>
    <col min="52" max="52" width="15.140625" style="7" customWidth="1"/>
    <col min="53" max="53" width="15.7109375" style="7" bestFit="1" customWidth="1"/>
    <col min="54" max="54" width="15.140625" style="7" customWidth="1"/>
    <col min="55" max="55" width="23.140625" style="7" customWidth="1"/>
    <col min="56" max="56" width="19.85546875" style="7" bestFit="1" customWidth="1"/>
    <col min="57" max="59" width="12.42578125" style="7" customWidth="1"/>
    <col min="60" max="60" width="3.85546875" style="76" customWidth="1"/>
    <col min="61" max="61" width="14.5703125" style="12" bestFit="1" customWidth="1"/>
  </cols>
  <sheetData>
    <row r="1" spans="1:62" ht="15">
      <c r="A1" s="1" t="s">
        <v>0</v>
      </c>
      <c r="B1" s="2"/>
      <c r="C1" s="2"/>
      <c r="D1" s="1"/>
      <c r="E1" s="1"/>
      <c r="F1" s="3"/>
      <c r="H1" s="5"/>
      <c r="I1" s="6"/>
      <c r="T1" s="8"/>
      <c r="Z1" s="9"/>
      <c r="AB1" s="9"/>
      <c r="AD1" s="9"/>
      <c r="AF1" s="9"/>
      <c r="AH1" s="10" t="e">
        <f>+#REF!</f>
        <v>#REF!</v>
      </c>
      <c r="AJ1" s="9"/>
      <c r="AK1" s="9"/>
      <c r="AN1" s="9"/>
      <c r="AO1" s="9"/>
      <c r="AP1" s="9"/>
      <c r="AR1" s="9"/>
      <c r="AT1" s="9"/>
      <c r="AV1" s="9"/>
      <c r="AW1" s="9"/>
      <c r="AX1" s="9"/>
      <c r="AY1" s="9"/>
      <c r="AZ1" s="9"/>
      <c r="BA1" s="9"/>
      <c r="BB1" s="9"/>
      <c r="BC1" s="9"/>
      <c r="BD1" s="9"/>
      <c r="BE1" s="9"/>
      <c r="BF1" s="9"/>
      <c r="BG1" s="9"/>
      <c r="BH1" s="11"/>
    </row>
    <row r="2" spans="1:62" ht="15">
      <c r="A2" s="1" t="s">
        <v>1053</v>
      </c>
      <c r="B2" s="2"/>
      <c r="C2" s="2"/>
      <c r="D2" s="1"/>
      <c r="E2" s="1"/>
      <c r="F2" s="3"/>
      <c r="H2" s="5"/>
      <c r="I2" s="13"/>
      <c r="J2" s="14"/>
      <c r="K2" s="14"/>
      <c r="L2" s="15"/>
      <c r="M2" s="15"/>
      <c r="N2" s="15"/>
      <c r="O2" s="15"/>
      <c r="P2" s="15"/>
      <c r="R2" s="15"/>
      <c r="T2" s="8"/>
      <c r="V2" s="15"/>
      <c r="X2" s="15"/>
      <c r="Z2" s="15"/>
      <c r="AB2" s="15"/>
      <c r="AD2" s="15"/>
      <c r="AF2" s="15"/>
      <c r="AG2" s="238" t="s">
        <v>1</v>
      </c>
      <c r="AH2" s="238"/>
      <c r="AI2" s="17"/>
      <c r="AJ2" s="18"/>
      <c r="AK2" s="15"/>
      <c r="AL2" s="10" t="e">
        <f>+#REF!</f>
        <v>#REF!</v>
      </c>
      <c r="AN2" s="18"/>
      <c r="AO2" s="18"/>
      <c r="AP2" s="18"/>
      <c r="AR2" s="15"/>
      <c r="AT2" s="15"/>
      <c r="AV2" s="15"/>
      <c r="AW2" s="15"/>
      <c r="AX2" s="15"/>
      <c r="AY2" s="15"/>
      <c r="AZ2" s="15"/>
      <c r="BA2" s="15"/>
      <c r="BB2" s="15"/>
      <c r="BC2" s="15"/>
      <c r="BD2" s="15"/>
      <c r="BE2" s="15"/>
      <c r="BF2" s="15"/>
      <c r="BG2" s="15"/>
      <c r="BH2" s="19"/>
    </row>
    <row r="3" spans="1:62">
      <c r="A3" s="20" t="str">
        <f>IF(G7=1,"DETAIL OF EXPENDITURES BUDGET BY DEPARTMENT WITH COMPARATIVE AMOUNTS", "SUMMARY OF EXPENDITURES BUDGET BY DEPARTMENT WITH COMPARATIVE AMOUNTS")</f>
        <v>DETAIL OF EXPENDITURES BUDGET BY DEPARTMENT WITH COMPARATIVE AMOUNTS</v>
      </c>
      <c r="B3" s="21"/>
      <c r="C3" s="21"/>
      <c r="D3" s="22"/>
      <c r="E3" s="22"/>
      <c r="F3" s="3"/>
      <c r="H3" s="5"/>
      <c r="I3" s="23"/>
      <c r="J3" s="15"/>
      <c r="L3" s="15"/>
      <c r="M3" s="10"/>
      <c r="N3" s="10"/>
      <c r="O3" s="10"/>
      <c r="P3" s="24"/>
      <c r="R3" s="24"/>
      <c r="V3" s="24"/>
      <c r="W3" s="24"/>
      <c r="X3" s="15"/>
      <c r="Y3" s="24"/>
      <c r="AA3" s="24"/>
      <c r="AB3" s="24" t="e">
        <f>+#REF!</f>
        <v>#REF!</v>
      </c>
      <c r="AC3" s="24"/>
      <c r="AD3" s="24" t="e">
        <f>+#REF!</f>
        <v>#REF!</v>
      </c>
      <c r="AE3" s="24"/>
      <c r="AF3" s="10" t="e">
        <f>+#REF!</f>
        <v>#REF!</v>
      </c>
      <c r="AG3" s="239" t="s">
        <v>2</v>
      </c>
      <c r="AH3" s="239"/>
      <c r="AI3" s="25"/>
      <c r="AJ3" s="25" t="e">
        <f>+#REF!</f>
        <v>#REF!</v>
      </c>
      <c r="AK3" s="24"/>
      <c r="AL3" s="16" t="s">
        <v>1</v>
      </c>
      <c r="AM3" s="25"/>
      <c r="AN3" s="25"/>
      <c r="AO3" s="25"/>
      <c r="AP3" s="25"/>
      <c r="AQ3" s="24"/>
      <c r="AR3" s="24" t="e">
        <f>+#REF!</f>
        <v>#REF!</v>
      </c>
      <c r="AS3" s="24"/>
      <c r="AT3" s="24" t="e">
        <f>+#REF!</f>
        <v>#REF!</v>
      </c>
      <c r="AU3" s="24"/>
      <c r="AV3" s="24" t="e">
        <f>+#REF!</f>
        <v>#REF!</v>
      </c>
      <c r="AW3" s="24"/>
      <c r="AX3" s="24" t="e">
        <f>+#REF!</f>
        <v>#REF!</v>
      </c>
      <c r="AY3" s="24"/>
      <c r="AZ3" s="24"/>
      <c r="BA3" s="24"/>
      <c r="BB3" s="24"/>
      <c r="BC3" s="24"/>
      <c r="BD3" s="26"/>
      <c r="BE3" s="26"/>
      <c r="BF3" s="26"/>
      <c r="BG3" s="26"/>
      <c r="BH3" s="27"/>
    </row>
    <row r="4" spans="1:62" ht="15">
      <c r="A4" s="28" t="s">
        <v>1070</v>
      </c>
      <c r="B4" s="29"/>
      <c r="C4" s="29"/>
      <c r="D4" s="28"/>
      <c r="E4" s="28"/>
      <c r="F4" s="3"/>
      <c r="H4" s="30"/>
      <c r="I4" s="31" t="e">
        <f>+#REF!</f>
        <v>#REF!</v>
      </c>
      <c r="J4" s="31" t="e">
        <f>+#REF!</f>
        <v>#REF!</v>
      </c>
      <c r="L4" s="31"/>
      <c r="M4" s="32"/>
      <c r="N4" s="33"/>
      <c r="O4" s="32"/>
      <c r="P4" s="33"/>
      <c r="R4" s="33"/>
      <c r="T4" s="33"/>
      <c r="X4" s="31"/>
      <c r="Z4" s="10"/>
      <c r="AB4" s="241"/>
      <c r="AC4" s="241"/>
      <c r="AD4" s="241"/>
      <c r="AE4" s="35"/>
      <c r="AF4" s="34"/>
      <c r="AG4" s="240"/>
      <c r="AH4" s="240"/>
      <c r="AI4" s="17"/>
      <c r="AJ4" s="16"/>
      <c r="AK4" s="24"/>
      <c r="AL4" s="16"/>
      <c r="AM4" s="17"/>
      <c r="AN4" s="31"/>
      <c r="AO4" s="31"/>
      <c r="AP4" s="31"/>
      <c r="AR4" s="34" t="s">
        <v>5</v>
      </c>
      <c r="AU4" s="35"/>
      <c r="AV4" s="34"/>
      <c r="AW4" s="34"/>
      <c r="AX4" s="34" t="s">
        <v>5</v>
      </c>
      <c r="AY4" s="34"/>
      <c r="AZ4" s="34"/>
      <c r="BA4" s="34"/>
      <c r="BB4" s="34"/>
      <c r="BC4" s="34"/>
      <c r="BD4" s="37"/>
      <c r="BE4" s="37"/>
      <c r="BF4" s="37"/>
      <c r="BG4" s="37"/>
      <c r="BH4" s="38"/>
    </row>
    <row r="5" spans="1:62" ht="15">
      <c r="B5" s="29"/>
      <c r="C5" s="29"/>
      <c r="D5" s="28"/>
      <c r="E5" s="28"/>
      <c r="G5" s="28"/>
      <c r="H5" s="5"/>
      <c r="I5" s="41" t="s">
        <v>6</v>
      </c>
      <c r="J5" s="42" t="s">
        <v>7</v>
      </c>
      <c r="L5" s="16" t="s">
        <v>8</v>
      </c>
      <c r="M5" s="16"/>
      <c r="N5" s="16" t="s">
        <v>9</v>
      </c>
      <c r="O5" s="16"/>
      <c r="P5" s="16" t="s">
        <v>9</v>
      </c>
      <c r="Q5" s="17"/>
      <c r="R5" s="43"/>
      <c r="S5" s="17"/>
      <c r="T5" s="16"/>
      <c r="U5" s="17"/>
      <c r="V5" s="16" t="s">
        <v>9</v>
      </c>
      <c r="X5" s="16" t="s">
        <v>9</v>
      </c>
      <c r="Z5" s="34" t="s">
        <v>1</v>
      </c>
      <c r="AB5" s="243" t="s">
        <v>10</v>
      </c>
      <c r="AC5" s="243"/>
      <c r="AD5" s="243"/>
      <c r="AE5" s="35"/>
      <c r="AF5" s="34" t="s">
        <v>1</v>
      </c>
      <c r="AG5" s="17"/>
      <c r="AH5" s="16" t="s">
        <v>11</v>
      </c>
      <c r="AI5" s="17"/>
      <c r="AJ5" s="16" t="s">
        <v>1</v>
      </c>
      <c r="AK5" s="24"/>
      <c r="AL5" s="43" t="s">
        <v>12</v>
      </c>
      <c r="AM5" s="17"/>
      <c r="AN5" s="16" t="s">
        <v>1</v>
      </c>
      <c r="AO5" s="45" t="s">
        <v>1</v>
      </c>
      <c r="AP5" s="46" t="s">
        <v>5</v>
      </c>
      <c r="AQ5" s="47"/>
      <c r="AR5" s="48" t="s">
        <v>10</v>
      </c>
      <c r="AS5" s="47"/>
      <c r="AT5" s="47"/>
      <c r="AU5" s="47"/>
      <c r="AV5" s="46" t="s">
        <v>5</v>
      </c>
      <c r="AW5" s="34"/>
      <c r="AX5" s="49" t="s">
        <v>3</v>
      </c>
      <c r="AY5" s="34"/>
      <c r="AZ5" s="16" t="s">
        <v>1054</v>
      </c>
      <c r="BA5" s="16" t="s">
        <v>1054</v>
      </c>
      <c r="BB5" s="34" t="s">
        <v>1069</v>
      </c>
      <c r="BC5" s="34"/>
      <c r="BD5" s="50" t="s">
        <v>13</v>
      </c>
      <c r="BE5" s="37"/>
      <c r="BF5" s="37"/>
      <c r="BG5" s="37"/>
      <c r="BH5" s="51"/>
    </row>
    <row r="6" spans="1:62">
      <c r="A6" s="242"/>
      <c r="B6" s="242"/>
      <c r="C6" s="242"/>
      <c r="D6" s="242"/>
      <c r="E6" s="242"/>
      <c r="F6" s="242"/>
      <c r="G6" s="22"/>
      <c r="H6" s="5"/>
      <c r="I6" s="52" t="s">
        <v>14</v>
      </c>
      <c r="J6" s="52" t="s">
        <v>14</v>
      </c>
      <c r="L6" s="43" t="s">
        <v>14</v>
      </c>
      <c r="M6" s="43"/>
      <c r="N6" s="43" t="s">
        <v>15</v>
      </c>
      <c r="O6" s="43"/>
      <c r="P6" s="43" t="s">
        <v>4</v>
      </c>
      <c r="Q6" s="17"/>
      <c r="R6" s="43" t="s">
        <v>4</v>
      </c>
      <c r="S6" s="43"/>
      <c r="T6" s="43" t="s">
        <v>16</v>
      </c>
      <c r="U6" s="43"/>
      <c r="V6" s="43" t="s">
        <v>4</v>
      </c>
      <c r="W6" s="43"/>
      <c r="X6" s="43" t="s">
        <v>14</v>
      </c>
      <c r="Y6" s="43"/>
      <c r="Z6" s="34" t="s">
        <v>17</v>
      </c>
      <c r="AA6" s="43"/>
      <c r="AB6" s="53" t="s">
        <v>16</v>
      </c>
      <c r="AC6" s="53"/>
      <c r="AD6" s="34"/>
      <c r="AE6" s="53"/>
      <c r="AF6" s="34" t="s">
        <v>17</v>
      </c>
      <c r="AG6" s="43" t="s">
        <v>16</v>
      </c>
      <c r="AH6" s="16" t="s">
        <v>18</v>
      </c>
      <c r="AI6" s="43"/>
      <c r="AJ6" s="16" t="s">
        <v>19</v>
      </c>
      <c r="AK6" s="24"/>
      <c r="AL6" s="43" t="s">
        <v>16</v>
      </c>
      <c r="AM6" s="43"/>
      <c r="AN6" s="43" t="s">
        <v>14</v>
      </c>
      <c r="AO6" s="45" t="s">
        <v>20</v>
      </c>
      <c r="AP6" s="43" t="s">
        <v>14</v>
      </c>
      <c r="AQ6" s="54"/>
      <c r="AR6" s="54" t="s">
        <v>16</v>
      </c>
      <c r="AS6" s="54"/>
      <c r="AT6" s="46"/>
      <c r="AU6" s="54"/>
      <c r="AV6" s="46" t="s">
        <v>19</v>
      </c>
      <c r="AW6" s="34"/>
      <c r="AX6" s="55" t="s">
        <v>16</v>
      </c>
      <c r="AY6" s="34"/>
      <c r="AZ6" s="16" t="s">
        <v>17</v>
      </c>
      <c r="BA6" s="16" t="s">
        <v>17</v>
      </c>
      <c r="BB6" s="34" t="s">
        <v>19</v>
      </c>
      <c r="BC6" s="56"/>
      <c r="BD6" s="50" t="s">
        <v>21</v>
      </c>
      <c r="BE6" s="37"/>
      <c r="BF6" s="37"/>
      <c r="BG6" s="37"/>
      <c r="BH6" s="57"/>
    </row>
    <row r="7" spans="1:62" ht="15">
      <c r="A7" s="237"/>
      <c r="B7" s="237"/>
      <c r="C7" s="237"/>
      <c r="D7" s="237"/>
      <c r="E7" s="237"/>
      <c r="F7" s="237"/>
      <c r="G7" s="59">
        <v>1</v>
      </c>
      <c r="H7" s="60"/>
      <c r="I7" s="52" t="s">
        <v>22</v>
      </c>
      <c r="J7" s="52" t="s">
        <v>22</v>
      </c>
      <c r="L7" s="43" t="s">
        <v>22</v>
      </c>
      <c r="M7" s="43"/>
      <c r="N7" s="43" t="s">
        <v>23</v>
      </c>
      <c r="O7" s="43"/>
      <c r="P7" s="43" t="s">
        <v>24</v>
      </c>
      <c r="Q7" s="43"/>
      <c r="R7" s="43" t="s">
        <v>24</v>
      </c>
      <c r="S7" s="43"/>
      <c r="T7" s="43" t="s">
        <v>25</v>
      </c>
      <c r="U7" s="43"/>
      <c r="V7" s="43" t="s">
        <v>24</v>
      </c>
      <c r="W7" s="43"/>
      <c r="X7" s="43" t="s">
        <v>22</v>
      </c>
      <c r="Y7" s="43"/>
      <c r="Z7" s="53" t="s">
        <v>15</v>
      </c>
      <c r="AA7" s="43"/>
      <c r="AB7" s="53" t="s">
        <v>26</v>
      </c>
      <c r="AC7" s="53"/>
      <c r="AD7" s="53"/>
      <c r="AE7" s="53"/>
      <c r="AF7" s="53" t="s">
        <v>4</v>
      </c>
      <c r="AG7" s="43" t="s">
        <v>26</v>
      </c>
      <c r="AH7" s="43" t="s">
        <v>27</v>
      </c>
      <c r="AI7" s="43"/>
      <c r="AJ7" s="43" t="s">
        <v>4</v>
      </c>
      <c r="AK7" s="24"/>
      <c r="AL7" s="43" t="s">
        <v>26</v>
      </c>
      <c r="AM7" s="43"/>
      <c r="AN7" s="43" t="s">
        <v>22</v>
      </c>
      <c r="AO7" s="61" t="s">
        <v>22</v>
      </c>
      <c r="AP7" s="43" t="s">
        <v>22</v>
      </c>
      <c r="AQ7" s="54"/>
      <c r="AR7" s="54" t="s">
        <v>26</v>
      </c>
      <c r="AS7" s="54"/>
      <c r="AT7" s="54"/>
      <c r="AU7" s="54"/>
      <c r="AV7" s="54" t="s">
        <v>4</v>
      </c>
      <c r="AW7" s="53"/>
      <c r="AX7" s="55" t="s">
        <v>26</v>
      </c>
      <c r="AY7" s="53"/>
      <c r="AZ7" s="16" t="s">
        <v>15</v>
      </c>
      <c r="BA7" s="43" t="s">
        <v>4</v>
      </c>
      <c r="BB7" s="34" t="s">
        <v>15</v>
      </c>
      <c r="BC7" s="56"/>
      <c r="BD7" s="50" t="s">
        <v>28</v>
      </c>
      <c r="BE7" s="62"/>
      <c r="BF7" s="62"/>
      <c r="BG7" s="62"/>
      <c r="BH7" s="57"/>
      <c r="BI7" s="63"/>
    </row>
    <row r="8" spans="1:62" ht="15">
      <c r="A8" s="237" t="s">
        <v>29</v>
      </c>
      <c r="B8" s="237"/>
      <c r="C8" s="237"/>
      <c r="D8" s="237"/>
      <c r="E8" s="237"/>
      <c r="F8" s="64" t="s">
        <v>30</v>
      </c>
      <c r="G8" s="64" t="s">
        <v>31</v>
      </c>
      <c r="H8" s="60"/>
      <c r="I8" s="65" t="s">
        <v>32</v>
      </c>
      <c r="J8" s="65" t="s">
        <v>32</v>
      </c>
      <c r="L8" s="66" t="s">
        <v>32</v>
      </c>
      <c r="M8" s="36"/>
      <c r="N8" s="36" t="s">
        <v>2</v>
      </c>
      <c r="O8" s="36"/>
      <c r="P8" s="36" t="s">
        <v>33</v>
      </c>
      <c r="Q8" s="36"/>
      <c r="R8" s="36" t="s">
        <v>34</v>
      </c>
      <c r="S8" s="36"/>
      <c r="T8" s="36" t="s">
        <v>35</v>
      </c>
      <c r="U8" s="36"/>
      <c r="V8" s="36" t="s">
        <v>36</v>
      </c>
      <c r="W8" s="36"/>
      <c r="X8" s="66" t="s">
        <v>32</v>
      </c>
      <c r="Y8" s="36"/>
      <c r="Z8" s="44" t="s">
        <v>24</v>
      </c>
      <c r="AA8" s="36"/>
      <c r="AB8" s="44" t="s">
        <v>35</v>
      </c>
      <c r="AC8" s="44"/>
      <c r="AD8" s="44" t="s">
        <v>37</v>
      </c>
      <c r="AE8" s="44"/>
      <c r="AF8" s="44" t="s">
        <v>38</v>
      </c>
      <c r="AG8" s="36" t="s">
        <v>35</v>
      </c>
      <c r="AH8" s="36" t="s">
        <v>39</v>
      </c>
      <c r="AI8" s="36"/>
      <c r="AJ8" s="36" t="s">
        <v>40</v>
      </c>
      <c r="AK8" s="24"/>
      <c r="AL8" s="36" t="s">
        <v>35</v>
      </c>
      <c r="AM8" s="36"/>
      <c r="AN8" s="36" t="s">
        <v>32</v>
      </c>
      <c r="AO8" s="67" t="s">
        <v>32</v>
      </c>
      <c r="AP8" s="36" t="s">
        <v>32</v>
      </c>
      <c r="AQ8" s="48"/>
      <c r="AR8" s="48" t="s">
        <v>35</v>
      </c>
      <c r="AS8" s="48"/>
      <c r="AT8" s="48" t="s">
        <v>37</v>
      </c>
      <c r="AU8" s="48"/>
      <c r="AV8" s="48" t="s">
        <v>38</v>
      </c>
      <c r="AW8" s="44"/>
      <c r="AX8" s="49" t="s">
        <v>35</v>
      </c>
      <c r="AY8" s="44"/>
      <c r="AZ8" s="36" t="s">
        <v>2</v>
      </c>
      <c r="BA8" s="36" t="s">
        <v>40</v>
      </c>
      <c r="BB8" s="44" t="s">
        <v>2</v>
      </c>
      <c r="BC8" s="56"/>
      <c r="BD8" s="50" t="s">
        <v>41</v>
      </c>
      <c r="BE8" s="68"/>
      <c r="BF8" s="68"/>
      <c r="BG8" s="68"/>
      <c r="BH8" s="69"/>
    </row>
    <row r="9" spans="1:62" ht="15">
      <c r="A9" s="58"/>
      <c r="B9" s="58"/>
      <c r="C9" s="58"/>
      <c r="D9" s="64"/>
      <c r="E9" s="64"/>
      <c r="F9" s="64"/>
      <c r="G9" s="70"/>
      <c r="H9" s="60"/>
      <c r="J9" s="71"/>
      <c r="AK9" s="24"/>
      <c r="AZ9" s="34"/>
      <c r="BB9" s="34"/>
      <c r="BC9" s="56"/>
      <c r="BH9" s="72">
        <v>2</v>
      </c>
    </row>
    <row r="10" spans="1:62" ht="20.100000000000001" customHeight="1" outlineLevel="1">
      <c r="A10" s="75" t="s">
        <v>865</v>
      </c>
      <c r="B10" s="77"/>
      <c r="C10" s="77"/>
      <c r="D10" s="90"/>
      <c r="E10" s="90"/>
      <c r="F10" s="3"/>
      <c r="H10" s="87"/>
      <c r="L10" s="44"/>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5"/>
      <c r="AL10" s="83"/>
      <c r="AM10" s="83"/>
      <c r="AN10" s="100"/>
      <c r="AO10" s="100"/>
      <c r="AP10" s="100"/>
      <c r="AQ10" s="83"/>
      <c r="AR10" s="83"/>
      <c r="AS10" s="83"/>
      <c r="AT10" s="83"/>
      <c r="AU10" s="83"/>
      <c r="AV10" s="83"/>
      <c r="AW10" s="83"/>
      <c r="AX10" s="83"/>
      <c r="AY10" s="83"/>
      <c r="AZ10" s="83"/>
      <c r="BA10" s="83"/>
      <c r="BB10" s="83"/>
      <c r="BC10" s="83"/>
      <c r="BD10" s="83"/>
      <c r="BE10" s="83"/>
      <c r="BF10" s="83"/>
      <c r="BG10" s="83"/>
      <c r="BH10" s="19"/>
    </row>
    <row r="11" spans="1:62" ht="20.100000000000001" customHeight="1" outlineLevel="1">
      <c r="A11" s="77" t="s">
        <v>43</v>
      </c>
      <c r="B11" s="77" t="s">
        <v>866</v>
      </c>
      <c r="C11" s="77" t="s">
        <v>1099</v>
      </c>
      <c r="D11" s="78" t="s">
        <v>46</v>
      </c>
      <c r="E11" s="78" t="str">
        <f>+D11</f>
        <v>000</v>
      </c>
      <c r="F11" s="79">
        <v>611113</v>
      </c>
      <c r="G11" s="102" t="s">
        <v>867</v>
      </c>
      <c r="H11" s="87"/>
      <c r="I11" s="82">
        <v>82907</v>
      </c>
      <c r="J11" s="82">
        <v>83187</v>
      </c>
      <c r="L11" s="83">
        <v>89341</v>
      </c>
      <c r="M11" s="83"/>
      <c r="N11" s="83">
        <v>98241</v>
      </c>
      <c r="O11" s="83"/>
      <c r="P11" s="83">
        <v>98241</v>
      </c>
      <c r="Q11" s="83"/>
      <c r="R11" s="83">
        <v>99941</v>
      </c>
      <c r="S11" s="83"/>
      <c r="T11" s="83">
        <v>0</v>
      </c>
      <c r="U11" s="83"/>
      <c r="V11" s="83">
        <v>99941</v>
      </c>
      <c r="W11" s="83"/>
      <c r="X11" s="83">
        <v>99941</v>
      </c>
      <c r="Y11" s="83"/>
      <c r="Z11" s="83">
        <v>99994</v>
      </c>
      <c r="AA11" s="83"/>
      <c r="AB11" s="83"/>
      <c r="AC11" s="83"/>
      <c r="AD11" s="83"/>
      <c r="AE11" s="83"/>
      <c r="AF11" s="84">
        <f t="shared" ref="AF11:AF17" si="0">SUM(Z11:AE11)</f>
        <v>99994</v>
      </c>
      <c r="AG11" s="83">
        <v>0</v>
      </c>
      <c r="AH11" s="83">
        <v>1250</v>
      </c>
      <c r="AI11" s="83"/>
      <c r="AJ11" s="84">
        <f t="shared" ref="AJ11:AJ17" si="1">SUM(AE11:AI11)</f>
        <v>101244</v>
      </c>
      <c r="AK11" s="85"/>
      <c r="AL11" s="83">
        <v>0</v>
      </c>
      <c r="AM11" s="83"/>
      <c r="AN11" s="86">
        <f t="shared" ref="AN11:AN17" si="2">SUM(AI11:AM11)</f>
        <v>101244</v>
      </c>
      <c r="AO11" s="86">
        <v>0</v>
      </c>
      <c r="AP11" s="86">
        <v>99993</v>
      </c>
      <c r="AQ11" s="83"/>
      <c r="AR11" s="83">
        <v>0</v>
      </c>
      <c r="AS11" s="83"/>
      <c r="AT11" s="83">
        <v>0</v>
      </c>
      <c r="AU11" s="83"/>
      <c r="AV11" s="84">
        <f t="shared" ref="AV11:AV17" si="3">SUM(AP11:AU11)</f>
        <v>99993</v>
      </c>
      <c r="AW11" s="84"/>
      <c r="AX11" s="84">
        <v>0</v>
      </c>
      <c r="AY11" s="84"/>
      <c r="AZ11" s="86">
        <v>99993</v>
      </c>
      <c r="BA11" s="84">
        <v>99993</v>
      </c>
      <c r="BB11" s="216"/>
      <c r="BC11" s="84"/>
      <c r="BD11" s="84">
        <f t="shared" ref="BD11:BD18" si="4">+AP11-AN11</f>
        <v>-1251</v>
      </c>
      <c r="BE11" s="84"/>
      <c r="BF11" s="84"/>
      <c r="BG11" s="84"/>
      <c r="BH11" s="72">
        <v>1</v>
      </c>
      <c r="BJ11">
        <v>1</v>
      </c>
    </row>
    <row r="12" spans="1:62" ht="20.100000000000001" customHeight="1" outlineLevel="1">
      <c r="A12" s="77" t="s">
        <v>43</v>
      </c>
      <c r="B12" s="77" t="s">
        <v>79</v>
      </c>
      <c r="C12" s="77" t="s">
        <v>1099</v>
      </c>
      <c r="D12" s="78" t="s">
        <v>46</v>
      </c>
      <c r="E12" s="78" t="str">
        <f t="shared" ref="E12:E17" si="5">+D12</f>
        <v>000</v>
      </c>
      <c r="F12" s="3">
        <v>611411</v>
      </c>
      <c r="G12" s="102" t="s">
        <v>67</v>
      </c>
      <c r="H12" s="87"/>
      <c r="I12" s="13">
        <v>27405</v>
      </c>
      <c r="J12" s="13">
        <v>26605</v>
      </c>
      <c r="L12" s="56">
        <v>29805</v>
      </c>
      <c r="M12" s="56"/>
      <c r="N12" s="56">
        <v>28355</v>
      </c>
      <c r="O12" s="56"/>
      <c r="P12" s="56">
        <v>28355</v>
      </c>
      <c r="Q12" s="56"/>
      <c r="R12" s="56">
        <v>30305</v>
      </c>
      <c r="S12" s="56"/>
      <c r="T12" s="56">
        <v>0</v>
      </c>
      <c r="U12" s="56"/>
      <c r="V12" s="56">
        <v>30305</v>
      </c>
      <c r="W12" s="56"/>
      <c r="X12" s="56">
        <v>30305</v>
      </c>
      <c r="Y12" s="56"/>
      <c r="Z12" s="56">
        <v>28605</v>
      </c>
      <c r="AA12" s="56"/>
      <c r="AB12" s="56"/>
      <c r="AC12" s="56"/>
      <c r="AD12" s="56"/>
      <c r="AE12" s="56"/>
      <c r="AF12" s="56">
        <f t="shared" si="0"/>
        <v>28605</v>
      </c>
      <c r="AG12" s="56">
        <v>0</v>
      </c>
      <c r="AH12" s="56">
        <v>2250</v>
      </c>
      <c r="AI12" s="56"/>
      <c r="AJ12" s="56">
        <f t="shared" si="1"/>
        <v>30855</v>
      </c>
      <c r="AK12" s="85"/>
      <c r="AL12" s="56">
        <v>0</v>
      </c>
      <c r="AM12" s="56"/>
      <c r="AN12" s="88">
        <f t="shared" si="2"/>
        <v>30855</v>
      </c>
      <c r="AO12" s="88">
        <v>0</v>
      </c>
      <c r="AP12" s="88">
        <v>28605</v>
      </c>
      <c r="AQ12" s="56"/>
      <c r="AR12" s="56">
        <v>0</v>
      </c>
      <c r="AS12" s="56"/>
      <c r="AT12" s="56">
        <v>0</v>
      </c>
      <c r="AU12" s="56"/>
      <c r="AV12" s="56">
        <f t="shared" si="3"/>
        <v>28605</v>
      </c>
      <c r="AW12" s="56"/>
      <c r="AX12" s="56">
        <v>0</v>
      </c>
      <c r="AY12" s="56"/>
      <c r="AZ12" s="88">
        <v>28605</v>
      </c>
      <c r="BA12" s="56">
        <v>28605</v>
      </c>
      <c r="BB12" s="216"/>
      <c r="BC12" s="56"/>
      <c r="BD12" s="84">
        <f t="shared" si="4"/>
        <v>-2250</v>
      </c>
      <c r="BE12" s="56"/>
      <c r="BF12" s="56"/>
      <c r="BG12" s="56"/>
      <c r="BH12" s="72">
        <v>1</v>
      </c>
      <c r="BJ12">
        <v>1</v>
      </c>
    </row>
    <row r="13" spans="1:62" ht="20.100000000000001" customHeight="1" outlineLevel="1">
      <c r="A13" s="77" t="s">
        <v>43</v>
      </c>
      <c r="B13" s="77" t="s">
        <v>866</v>
      </c>
      <c r="C13" s="77" t="s">
        <v>1099</v>
      </c>
      <c r="D13" s="78" t="s">
        <v>46</v>
      </c>
      <c r="E13" s="78" t="str">
        <f t="shared" si="5"/>
        <v>000</v>
      </c>
      <c r="F13" s="3">
        <v>653051</v>
      </c>
      <c r="G13" s="102" t="s">
        <v>71</v>
      </c>
      <c r="H13" s="87"/>
      <c r="I13" s="13">
        <v>378</v>
      </c>
      <c r="J13" s="13">
        <v>752</v>
      </c>
      <c r="L13" s="56">
        <v>688</v>
      </c>
      <c r="M13" s="56"/>
      <c r="N13" s="56">
        <v>325</v>
      </c>
      <c r="O13" s="56"/>
      <c r="P13" s="56">
        <v>325</v>
      </c>
      <c r="Q13" s="56"/>
      <c r="R13" s="56">
        <v>325</v>
      </c>
      <c r="S13" s="56"/>
      <c r="T13" s="56">
        <v>0</v>
      </c>
      <c r="U13" s="56"/>
      <c r="V13" s="56">
        <v>325</v>
      </c>
      <c r="W13" s="56"/>
      <c r="X13" s="56">
        <v>436.71</v>
      </c>
      <c r="Y13" s="56"/>
      <c r="Z13" s="56">
        <v>325</v>
      </c>
      <c r="AA13" s="56"/>
      <c r="AB13" s="56"/>
      <c r="AC13" s="56"/>
      <c r="AD13" s="56"/>
      <c r="AE13" s="56"/>
      <c r="AF13" s="56">
        <f t="shared" si="0"/>
        <v>325</v>
      </c>
      <c r="AG13" s="56">
        <v>0</v>
      </c>
      <c r="AH13" s="56">
        <v>0</v>
      </c>
      <c r="AI13" s="56"/>
      <c r="AJ13" s="56">
        <f t="shared" si="1"/>
        <v>325</v>
      </c>
      <c r="AK13" s="85"/>
      <c r="AL13" s="56">
        <v>0</v>
      </c>
      <c r="AM13" s="56"/>
      <c r="AN13" s="88">
        <f t="shared" si="2"/>
        <v>325</v>
      </c>
      <c r="AO13" s="88">
        <v>0</v>
      </c>
      <c r="AP13" s="88">
        <v>224.31</v>
      </c>
      <c r="AQ13" s="56"/>
      <c r="AR13" s="56">
        <v>0</v>
      </c>
      <c r="AS13" s="56"/>
      <c r="AT13" s="56">
        <v>0</v>
      </c>
      <c r="AU13" s="56"/>
      <c r="AV13" s="56">
        <f t="shared" si="3"/>
        <v>224.31</v>
      </c>
      <c r="AW13" s="56"/>
      <c r="AX13" s="56">
        <v>0</v>
      </c>
      <c r="AY13" s="56"/>
      <c r="AZ13" s="88">
        <v>350</v>
      </c>
      <c r="BA13" s="56">
        <v>350</v>
      </c>
      <c r="BB13" s="216"/>
      <c r="BC13" s="56"/>
      <c r="BD13" s="84">
        <f t="shared" si="4"/>
        <v>-100.69</v>
      </c>
      <c r="BE13" s="56"/>
      <c r="BF13" s="56"/>
      <c r="BG13" s="56"/>
      <c r="BH13" s="72"/>
    </row>
    <row r="14" spans="1:62" ht="20.100000000000001" customHeight="1" outlineLevel="1">
      <c r="A14" s="77" t="s">
        <v>43</v>
      </c>
      <c r="B14" s="77" t="s">
        <v>866</v>
      </c>
      <c r="C14" s="77" t="s">
        <v>1099</v>
      </c>
      <c r="D14" s="78" t="s">
        <v>46</v>
      </c>
      <c r="E14" s="78" t="str">
        <f t="shared" si="5"/>
        <v>000</v>
      </c>
      <c r="F14" s="3">
        <v>658211</v>
      </c>
      <c r="G14" s="102" t="s">
        <v>72</v>
      </c>
      <c r="H14" s="87"/>
      <c r="I14" s="13">
        <v>1632</v>
      </c>
      <c r="J14" s="13">
        <v>1840</v>
      </c>
      <c r="L14" s="56">
        <v>2558</v>
      </c>
      <c r="M14" s="56"/>
      <c r="N14" s="56">
        <v>3150</v>
      </c>
      <c r="O14" s="56"/>
      <c r="P14" s="56">
        <v>3150</v>
      </c>
      <c r="Q14" s="56"/>
      <c r="R14" s="56">
        <v>3150</v>
      </c>
      <c r="S14" s="56"/>
      <c r="T14" s="56">
        <v>0</v>
      </c>
      <c r="U14" s="56"/>
      <c r="V14" s="56">
        <v>3150</v>
      </c>
      <c r="W14" s="56"/>
      <c r="X14" s="56">
        <v>1697.53</v>
      </c>
      <c r="Y14" s="56"/>
      <c r="Z14" s="56">
        <v>3150</v>
      </c>
      <c r="AA14" s="56"/>
      <c r="AB14" s="56"/>
      <c r="AC14" s="56"/>
      <c r="AD14" s="56"/>
      <c r="AE14" s="56"/>
      <c r="AF14" s="56">
        <f t="shared" si="0"/>
        <v>3150</v>
      </c>
      <c r="AG14" s="56">
        <v>0</v>
      </c>
      <c r="AH14" s="56">
        <v>0</v>
      </c>
      <c r="AI14" s="56"/>
      <c r="AJ14" s="56">
        <f t="shared" si="1"/>
        <v>3150</v>
      </c>
      <c r="AK14" s="85"/>
      <c r="AL14" s="56">
        <v>0</v>
      </c>
      <c r="AM14" s="56"/>
      <c r="AN14" s="88">
        <f t="shared" si="2"/>
        <v>3150</v>
      </c>
      <c r="AO14" s="88">
        <v>0</v>
      </c>
      <c r="AP14" s="88">
        <v>1434.15</v>
      </c>
      <c r="AQ14" s="56"/>
      <c r="AR14" s="56">
        <v>0</v>
      </c>
      <c r="AS14" s="56"/>
      <c r="AT14" s="56">
        <v>0</v>
      </c>
      <c r="AU14" s="56"/>
      <c r="AV14" s="56">
        <f t="shared" si="3"/>
        <v>1434.15</v>
      </c>
      <c r="AW14" s="56"/>
      <c r="AX14" s="56">
        <v>0</v>
      </c>
      <c r="AY14" s="56"/>
      <c r="AZ14" s="88">
        <v>2500</v>
      </c>
      <c r="BA14" s="56">
        <v>2500</v>
      </c>
      <c r="BB14" s="216"/>
      <c r="BC14" s="56"/>
      <c r="BD14" s="84">
        <f t="shared" si="4"/>
        <v>-1715.85</v>
      </c>
      <c r="BE14" s="56"/>
      <c r="BF14" s="56"/>
      <c r="BG14" s="56"/>
      <c r="BH14" s="72"/>
    </row>
    <row r="15" spans="1:62" ht="20.100000000000001" customHeight="1" outlineLevel="1">
      <c r="A15" s="77" t="s">
        <v>43</v>
      </c>
      <c r="B15" s="77" t="s">
        <v>866</v>
      </c>
      <c r="C15" s="77" t="s">
        <v>1099</v>
      </c>
      <c r="D15" s="78" t="s">
        <v>46</v>
      </c>
      <c r="E15" s="78" t="str">
        <f t="shared" si="5"/>
        <v>000</v>
      </c>
      <c r="F15" s="3">
        <v>661001</v>
      </c>
      <c r="G15" s="102" t="s">
        <v>73</v>
      </c>
      <c r="H15" s="87"/>
      <c r="I15" s="13">
        <v>1012</v>
      </c>
      <c r="J15" s="13">
        <v>1350</v>
      </c>
      <c r="L15" s="56">
        <v>2022</v>
      </c>
      <c r="M15" s="56"/>
      <c r="N15" s="56">
        <v>1800</v>
      </c>
      <c r="O15" s="56"/>
      <c r="P15" s="56">
        <v>1800</v>
      </c>
      <c r="Q15" s="56"/>
      <c r="R15" s="56">
        <v>1800</v>
      </c>
      <c r="S15" s="56"/>
      <c r="T15" s="56">
        <v>0</v>
      </c>
      <c r="U15" s="56"/>
      <c r="V15" s="56">
        <v>1800</v>
      </c>
      <c r="W15" s="56"/>
      <c r="X15" s="56">
        <v>456.37</v>
      </c>
      <c r="Y15" s="56"/>
      <c r="Z15" s="56">
        <v>1800</v>
      </c>
      <c r="AA15" s="56"/>
      <c r="AB15" s="56"/>
      <c r="AC15" s="56"/>
      <c r="AD15" s="56"/>
      <c r="AE15" s="56"/>
      <c r="AF15" s="56">
        <f t="shared" si="0"/>
        <v>1800</v>
      </c>
      <c r="AG15" s="56">
        <v>0</v>
      </c>
      <c r="AH15" s="56">
        <v>0</v>
      </c>
      <c r="AI15" s="56"/>
      <c r="AJ15" s="56">
        <f t="shared" si="1"/>
        <v>1800</v>
      </c>
      <c r="AK15" s="85"/>
      <c r="AL15" s="56">
        <v>0</v>
      </c>
      <c r="AM15" s="56"/>
      <c r="AN15" s="88">
        <f t="shared" si="2"/>
        <v>1800</v>
      </c>
      <c r="AO15" s="88">
        <v>0</v>
      </c>
      <c r="AP15" s="88">
        <v>1065.1300000000001</v>
      </c>
      <c r="AQ15" s="56"/>
      <c r="AR15" s="56">
        <v>0</v>
      </c>
      <c r="AS15" s="56"/>
      <c r="AT15" s="56">
        <v>0</v>
      </c>
      <c r="AU15" s="56"/>
      <c r="AV15" s="56">
        <f t="shared" si="3"/>
        <v>1065.1300000000001</v>
      </c>
      <c r="AW15" s="56"/>
      <c r="AX15" s="56">
        <v>0</v>
      </c>
      <c r="AY15" s="56"/>
      <c r="AZ15" s="88">
        <v>1500</v>
      </c>
      <c r="BA15" s="56">
        <v>1500</v>
      </c>
      <c r="BB15" s="216"/>
      <c r="BC15" s="56"/>
      <c r="BD15" s="84">
        <f t="shared" si="4"/>
        <v>-734.86999999999989</v>
      </c>
      <c r="BE15" s="56"/>
      <c r="BF15" s="56"/>
      <c r="BG15" s="56"/>
      <c r="BH15" s="72"/>
    </row>
    <row r="16" spans="1:62" ht="20.100000000000001" customHeight="1" outlineLevel="1">
      <c r="A16" s="77" t="s">
        <v>43</v>
      </c>
      <c r="B16" s="77" t="s">
        <v>866</v>
      </c>
      <c r="C16" s="77" t="s">
        <v>1099</v>
      </c>
      <c r="D16" s="78" t="s">
        <v>46</v>
      </c>
      <c r="E16" s="78" t="str">
        <f t="shared" si="5"/>
        <v>000</v>
      </c>
      <c r="F16" s="3">
        <v>673001</v>
      </c>
      <c r="G16" s="102" t="s">
        <v>57</v>
      </c>
      <c r="H16" s="87"/>
      <c r="I16" s="13"/>
      <c r="J16" s="13">
        <v>0</v>
      </c>
      <c r="L16" s="56">
        <v>0</v>
      </c>
      <c r="M16" s="56"/>
      <c r="N16" s="56">
        <v>0</v>
      </c>
      <c r="O16" s="56"/>
      <c r="P16" s="56">
        <v>0</v>
      </c>
      <c r="Q16" s="56"/>
      <c r="R16" s="56">
        <v>0</v>
      </c>
      <c r="S16" s="56"/>
      <c r="T16" s="56">
        <v>0</v>
      </c>
      <c r="U16" s="56"/>
      <c r="V16" s="56">
        <v>0</v>
      </c>
      <c r="W16" s="56"/>
      <c r="X16" s="56">
        <v>0</v>
      </c>
      <c r="Y16" s="56"/>
      <c r="Z16" s="56">
        <v>0</v>
      </c>
      <c r="AA16" s="56"/>
      <c r="AB16" s="56"/>
      <c r="AC16" s="56"/>
      <c r="AD16" s="56"/>
      <c r="AE16" s="56"/>
      <c r="AF16" s="56">
        <f t="shared" si="0"/>
        <v>0</v>
      </c>
      <c r="AG16" s="56">
        <v>0</v>
      </c>
      <c r="AH16" s="56">
        <v>0</v>
      </c>
      <c r="AI16" s="56"/>
      <c r="AJ16" s="56">
        <f t="shared" si="1"/>
        <v>0</v>
      </c>
      <c r="AK16" s="85"/>
      <c r="AL16" s="56">
        <v>0</v>
      </c>
      <c r="AM16" s="56"/>
      <c r="AN16" s="88">
        <f t="shared" si="2"/>
        <v>0</v>
      </c>
      <c r="AO16" s="88">
        <v>0</v>
      </c>
      <c r="AP16" s="88">
        <v>0</v>
      </c>
      <c r="AQ16" s="56"/>
      <c r="AR16" s="56">
        <v>0</v>
      </c>
      <c r="AS16" s="56"/>
      <c r="AT16" s="56">
        <v>0</v>
      </c>
      <c r="AU16" s="56"/>
      <c r="AV16" s="56">
        <f t="shared" si="3"/>
        <v>0</v>
      </c>
      <c r="AW16" s="56"/>
      <c r="AX16" s="56">
        <v>0</v>
      </c>
      <c r="AY16" s="56"/>
      <c r="AZ16" s="88">
        <v>0</v>
      </c>
      <c r="BA16" s="56">
        <v>0</v>
      </c>
      <c r="BB16" s="216"/>
      <c r="BC16" s="56"/>
      <c r="BD16" s="84">
        <f t="shared" si="4"/>
        <v>0</v>
      </c>
      <c r="BE16" s="56"/>
      <c r="BF16" s="56"/>
      <c r="BG16" s="56"/>
      <c r="BH16" s="72"/>
    </row>
    <row r="17" spans="1:60" ht="20.100000000000001" customHeight="1" outlineLevel="1">
      <c r="A17" s="77" t="s">
        <v>43</v>
      </c>
      <c r="B17" s="77" t="s">
        <v>866</v>
      </c>
      <c r="C17" s="77" t="s">
        <v>1099</v>
      </c>
      <c r="D17" s="78" t="s">
        <v>46</v>
      </c>
      <c r="E17" s="78" t="str">
        <f t="shared" si="5"/>
        <v>000</v>
      </c>
      <c r="F17" s="3">
        <v>681011</v>
      </c>
      <c r="G17" s="102" t="s">
        <v>74</v>
      </c>
      <c r="H17" s="87"/>
      <c r="I17" s="13">
        <v>2670</v>
      </c>
      <c r="J17" s="13">
        <v>3040</v>
      </c>
      <c r="L17" s="56">
        <v>3160</v>
      </c>
      <c r="M17" s="56"/>
      <c r="N17" s="56">
        <v>2900</v>
      </c>
      <c r="O17" s="56"/>
      <c r="P17" s="56">
        <v>2900</v>
      </c>
      <c r="Q17" s="56"/>
      <c r="R17" s="56">
        <v>2900</v>
      </c>
      <c r="S17" s="56"/>
      <c r="T17" s="56">
        <v>0</v>
      </c>
      <c r="U17" s="56"/>
      <c r="V17" s="56">
        <v>2900</v>
      </c>
      <c r="W17" s="56"/>
      <c r="X17" s="56">
        <v>2050</v>
      </c>
      <c r="Y17" s="56"/>
      <c r="Z17" s="56">
        <v>2900</v>
      </c>
      <c r="AA17" s="56"/>
      <c r="AB17" s="56"/>
      <c r="AC17" s="56"/>
      <c r="AD17" s="56"/>
      <c r="AE17" s="56"/>
      <c r="AF17" s="56">
        <f t="shared" si="0"/>
        <v>2900</v>
      </c>
      <c r="AG17" s="56">
        <v>0</v>
      </c>
      <c r="AH17" s="56">
        <v>0</v>
      </c>
      <c r="AI17" s="56"/>
      <c r="AJ17" s="56">
        <f t="shared" si="1"/>
        <v>2900</v>
      </c>
      <c r="AK17" s="85"/>
      <c r="AL17" s="56">
        <v>0</v>
      </c>
      <c r="AM17" s="56"/>
      <c r="AN17" s="88">
        <f t="shared" si="2"/>
        <v>2900</v>
      </c>
      <c r="AO17" s="88">
        <v>0</v>
      </c>
      <c r="AP17" s="88">
        <v>3050</v>
      </c>
      <c r="AQ17" s="56"/>
      <c r="AR17" s="56">
        <v>0</v>
      </c>
      <c r="AS17" s="56"/>
      <c r="AT17" s="56">
        <v>0</v>
      </c>
      <c r="AU17" s="56"/>
      <c r="AV17" s="56">
        <f t="shared" si="3"/>
        <v>3050</v>
      </c>
      <c r="AW17" s="56"/>
      <c r="AX17" s="56">
        <v>0</v>
      </c>
      <c r="AY17" s="56"/>
      <c r="AZ17" s="88">
        <v>2900</v>
      </c>
      <c r="BA17" s="56">
        <v>2900</v>
      </c>
      <c r="BB17" s="56"/>
      <c r="BC17" s="56"/>
      <c r="BD17" s="84">
        <f t="shared" si="4"/>
        <v>150</v>
      </c>
      <c r="BE17" s="56"/>
      <c r="BF17" s="56"/>
      <c r="BG17" s="56"/>
      <c r="BH17" s="72"/>
    </row>
    <row r="18" spans="1:60" ht="20.100000000000001" customHeight="1">
      <c r="B18" s="77"/>
      <c r="C18" s="77"/>
      <c r="D18" s="90"/>
      <c r="E18" s="90"/>
      <c r="F18" s="3"/>
      <c r="G18" s="110" t="s">
        <v>868</v>
      </c>
      <c r="H18" s="81"/>
      <c r="I18" s="92">
        <v>116004</v>
      </c>
      <c r="J18" s="93">
        <v>116774</v>
      </c>
      <c r="L18" s="125">
        <v>127574</v>
      </c>
      <c r="M18" s="126"/>
      <c r="N18" s="125">
        <v>134771</v>
      </c>
      <c r="O18" s="126"/>
      <c r="P18" s="125">
        <v>134771</v>
      </c>
      <c r="Q18" s="126"/>
      <c r="R18" s="125">
        <v>138421</v>
      </c>
      <c r="S18" s="95"/>
      <c r="T18" s="94">
        <v>0</v>
      </c>
      <c r="U18" s="126"/>
      <c r="V18" s="125">
        <v>138421</v>
      </c>
      <c r="W18" s="126"/>
      <c r="X18" s="125">
        <f>SUBTOTAL(9,X11:X17)</f>
        <v>134886.61000000002</v>
      </c>
      <c r="Y18" s="126"/>
      <c r="Z18" s="125">
        <f>SUBTOTAL(9,Z11:Z17)</f>
        <v>136774</v>
      </c>
      <c r="AA18" s="126"/>
      <c r="AB18" s="125">
        <f>SUBTOTAL(9,AB11:AB17)</f>
        <v>0</v>
      </c>
      <c r="AC18" s="126"/>
      <c r="AD18" s="125">
        <f>SUBTOTAL(9,AD11:AD17)</f>
        <v>0</v>
      </c>
      <c r="AE18" s="126"/>
      <c r="AF18" s="125">
        <f>SUBTOTAL(9,AF11:AF17)</f>
        <v>136774</v>
      </c>
      <c r="AG18" s="125">
        <f>SUBTOTAL(9,AG11:AG17)</f>
        <v>0</v>
      </c>
      <c r="AH18" s="125">
        <f>SUBTOTAL(9,AH11:AH17)</f>
        <v>3500</v>
      </c>
      <c r="AI18" s="126"/>
      <c r="AJ18" s="125">
        <f>SUBTOTAL(9,AJ11:AJ17)</f>
        <v>140274</v>
      </c>
      <c r="AK18" s="96"/>
      <c r="AL18" s="125">
        <f>SUBTOTAL(9,AL11:AL17)</f>
        <v>0</v>
      </c>
      <c r="AM18" s="126"/>
      <c r="AN18" s="127">
        <f>SUBTOTAL(9,AN11:AN17)</f>
        <v>140274</v>
      </c>
      <c r="AO18" s="127">
        <f>SUBTOTAL(9,AO11:AO17)</f>
        <v>0</v>
      </c>
      <c r="AP18" s="127">
        <f>SUBTOTAL(9,AP11:AP17)</f>
        <v>134371.59</v>
      </c>
      <c r="AQ18" s="126"/>
      <c r="AR18" s="125">
        <f>SUBTOTAL(9,AR11:AR17)</f>
        <v>0</v>
      </c>
      <c r="AS18" s="126"/>
      <c r="AT18" s="125">
        <f>SUBTOTAL(9,AT11:AT17)</f>
        <v>0</v>
      </c>
      <c r="AU18" s="126"/>
      <c r="AV18" s="125">
        <f>SUBTOTAL(9,AV11:AV17)</f>
        <v>134371.59</v>
      </c>
      <c r="AW18" s="126"/>
      <c r="AX18" s="125">
        <f>SUBTOTAL(9,AX11:AX17)</f>
        <v>0</v>
      </c>
      <c r="AY18" s="126"/>
      <c r="AZ18" s="127">
        <f>SUBTOTAL(9,AZ11:AZ17)</f>
        <v>135848</v>
      </c>
      <c r="BA18" s="125">
        <f>SUBTOTAL(9,BA11:BA17)</f>
        <v>135848</v>
      </c>
      <c r="BB18" s="125"/>
      <c r="BC18" s="125"/>
      <c r="BD18" s="98">
        <f t="shared" si="4"/>
        <v>-5902.4100000000035</v>
      </c>
      <c r="BE18" s="126"/>
      <c r="BF18" s="126"/>
      <c r="BG18" s="126"/>
    </row>
  </sheetData>
  <autoFilter ref="A9:BH18"/>
  <mergeCells count="8">
    <mergeCell ref="A6:F6"/>
    <mergeCell ref="A7:F7"/>
    <mergeCell ref="AB5:AD5"/>
    <mergeCell ref="A8:E8"/>
    <mergeCell ref="AG2:AH2"/>
    <mergeCell ref="AG3:AH3"/>
    <mergeCell ref="AG4:AH4"/>
    <mergeCell ref="AB4:AD4"/>
  </mergeCells>
  <phoneticPr fontId="3" type="noConversion"/>
  <conditionalFormatting sqref="F1:F1048576">
    <cfRule type="cellIs" dxfId="16" priority="1" stopIfTrue="1" operator="between">
      <formula>610000</formula>
      <formula>619999</formula>
    </cfRule>
  </conditionalFormatting>
  <pageMargins left="0.54" right="0.25" top="0.24" bottom="0.49" header="0.25" footer="0"/>
  <pageSetup scale="77" fitToHeight="0" orientation="landscape" r:id="rId1"/>
  <headerFooter alignWithMargins="0">
    <oddFooter>&amp;C&amp;8Detail of Expenditures Budget By Department, Page &amp;P of &amp;N</oddFooter>
  </headerFooter>
  <legacyDrawing r:id="rId2"/>
</worksheet>
</file>

<file path=xl/worksheets/sheet22.xml><?xml version="1.0" encoding="utf-8"?>
<worksheet xmlns="http://schemas.openxmlformats.org/spreadsheetml/2006/main" xmlns:r="http://schemas.openxmlformats.org/officeDocument/2006/relationships">
  <sheetPr codeName="Sheet28" enableFormatConditionsCalculation="0">
    <tabColor indexed="17"/>
    <pageSetUpPr fitToPage="1"/>
  </sheetPr>
  <dimension ref="A1:BJ35"/>
  <sheetViews>
    <sheetView zoomScale="87" zoomScaleNormal="90" workbookViewId="0">
      <pane xSplit="8" ySplit="9" topLeftCell="X10" activePane="bottomRight" state="frozen"/>
      <selection activeCell="A28" sqref="A28"/>
      <selection pane="topRight" activeCell="A28" sqref="A28"/>
      <selection pane="bottomLeft" activeCell="A28" sqref="A28"/>
      <selection pane="bottomRight"/>
    </sheetView>
  </sheetViews>
  <sheetFormatPr defaultRowHeight="12.75" outlineLevelRow="1" outlineLevelCol="1"/>
  <cols>
    <col min="1" max="1" width="7" style="39" customWidth="1" outlineLevel="1"/>
    <col min="2" max="2" width="6.140625" style="39" customWidth="1" outlineLevel="1"/>
    <col min="3" max="3" width="3.7109375" style="39" customWidth="1" outlineLevel="1"/>
    <col min="4" max="5" width="4.85546875" style="168" customWidth="1" outlineLevel="1"/>
    <col min="6" max="6" width="8.7109375" style="40" customWidth="1" outlineLevel="1"/>
    <col min="7" max="7" width="28.5703125" style="4" customWidth="1"/>
    <col min="8" max="8" width="16.5703125" style="4" hidden="1" customWidth="1"/>
    <col min="9" max="10" width="15.140625" style="4" hidden="1" customWidth="1" collapsed="1"/>
    <col min="11" max="11" width="39.5703125" style="4" hidden="1" customWidth="1"/>
    <col min="12" max="12" width="15.140625" style="7" bestFit="1" customWidth="1" collapsed="1"/>
    <col min="13" max="13" width="31.7109375" style="7" hidden="1" customWidth="1"/>
    <col min="14" max="14" width="35.5703125" style="7" hidden="1" customWidth="1" collapsed="1"/>
    <col min="15" max="15" width="0.140625" style="7" customWidth="1"/>
    <col min="16" max="16" width="25.28515625" style="7" hidden="1" customWidth="1" outlineLevel="1" collapsed="1"/>
    <col min="17" max="17" width="23.42578125" style="7" hidden="1" customWidth="1" outlineLevel="1"/>
    <col min="18" max="18" width="20.5703125" style="7" hidden="1" customWidth="1" outlineLevel="1" collapsed="1"/>
    <col min="19" max="19" width="18" style="7" hidden="1" customWidth="1" outlineLevel="1"/>
    <col min="20" max="20" width="19.5703125" style="7" hidden="1" customWidth="1" outlineLevel="1"/>
    <col min="21" max="21" width="18.42578125" style="7" hidden="1" customWidth="1" outlineLevel="1"/>
    <col min="22" max="22" width="13.140625" style="7" hidden="1" customWidth="1"/>
    <col min="23" max="23" width="14.140625" style="7" hidden="1" customWidth="1"/>
    <col min="24" max="24" width="14.5703125" style="7" customWidth="1" collapsed="1"/>
    <col min="25" max="25" width="0.85546875" style="7" hidden="1" customWidth="1"/>
    <col min="26" max="26" width="16.140625" style="7" hidden="1" customWidth="1"/>
    <col min="27" max="27" width="0.140625" style="7" hidden="1" customWidth="1"/>
    <col min="28" max="28" width="16.140625" style="7" hidden="1" customWidth="1" outlineLevel="1"/>
    <col min="29" max="29" width="0.42578125" style="7" hidden="1" customWidth="1" outlineLevel="1"/>
    <col min="30" max="30" width="17.85546875" style="7" hidden="1" customWidth="1" outlineLevel="1"/>
    <col min="31" max="31" width="0.42578125" style="7" hidden="1" customWidth="1" outlineLevel="1"/>
    <col min="32" max="32" width="16.140625" style="7" hidden="1" customWidth="1" collapsed="1"/>
    <col min="33" max="33" width="16" style="7" hidden="1" customWidth="1" outlineLevel="1"/>
    <col min="34" max="34" width="17" style="7" hidden="1" customWidth="1" outlineLevel="1"/>
    <col min="35" max="35" width="10.5703125" style="7" hidden="1" customWidth="1" outlineLevel="1"/>
    <col min="36" max="36" width="16.140625" style="7" hidden="1" customWidth="1" collapsed="1"/>
    <col min="37" max="37" width="0.7109375" style="7" hidden="1" customWidth="1"/>
    <col min="38" max="38" width="16.140625" style="7" hidden="1" customWidth="1" outlineLevel="1"/>
    <col min="39" max="39" width="4.140625" style="7" hidden="1" customWidth="1" outlineLevel="1"/>
    <col min="40" max="40" width="16.140625" style="17" customWidth="1" collapsed="1"/>
    <col min="41" max="41" width="16.140625" style="17" hidden="1" customWidth="1" collapsed="1"/>
    <col min="42" max="42" width="16.140625" style="17" customWidth="1" collapsed="1"/>
    <col min="43" max="43" width="0.7109375" style="7" hidden="1" customWidth="1" outlineLevel="1"/>
    <col min="44" max="44" width="22.140625" style="7" hidden="1" customWidth="1" outlineLevel="1"/>
    <col min="45" max="45" width="0.42578125" style="7" hidden="1" customWidth="1" outlineLevel="1"/>
    <col min="46" max="46" width="17.85546875" style="7" hidden="1" customWidth="1" outlineLevel="1"/>
    <col min="47" max="47" width="0.42578125" style="7" hidden="1" customWidth="1" outlineLevel="1"/>
    <col min="48" max="48" width="18" style="7" hidden="1" customWidth="1" collapsed="1"/>
    <col min="49" max="49" width="0.5703125" style="7" hidden="1" customWidth="1"/>
    <col min="50" max="50" width="18" style="7" hidden="1" customWidth="1"/>
    <col min="51" max="51" width="0.5703125" style="7" customWidth="1"/>
    <col min="52" max="52" width="15.140625" style="7" customWidth="1"/>
    <col min="53" max="53" width="15.7109375" style="7" bestFit="1" customWidth="1"/>
    <col min="54" max="54" width="15.140625" style="7" customWidth="1"/>
    <col min="55" max="55" width="23.140625" style="7" customWidth="1"/>
    <col min="56" max="56" width="19.85546875" style="7" bestFit="1" customWidth="1"/>
    <col min="57" max="59" width="12.42578125" style="7" customWidth="1"/>
    <col min="60" max="60" width="3.85546875" style="76" customWidth="1"/>
    <col min="61" max="61" width="14.5703125" style="12" bestFit="1" customWidth="1"/>
  </cols>
  <sheetData>
    <row r="1" spans="1:62" ht="15">
      <c r="A1" s="1" t="s">
        <v>0</v>
      </c>
      <c r="B1" s="2"/>
      <c r="C1" s="2"/>
      <c r="D1" s="1"/>
      <c r="E1" s="1"/>
      <c r="F1" s="3"/>
      <c r="H1" s="5"/>
      <c r="I1" s="6"/>
      <c r="T1" s="8"/>
      <c r="Z1" s="9"/>
      <c r="AB1" s="9"/>
      <c r="AD1" s="9"/>
      <c r="AF1" s="9"/>
      <c r="AH1" s="10" t="e">
        <f>+#REF!</f>
        <v>#REF!</v>
      </c>
      <c r="AJ1" s="9"/>
      <c r="AK1" s="9"/>
      <c r="AN1" s="9"/>
      <c r="AO1" s="9"/>
      <c r="AP1" s="9"/>
      <c r="AR1" s="9"/>
      <c r="AT1" s="9"/>
      <c r="AV1" s="9"/>
      <c r="AW1" s="9"/>
      <c r="AX1" s="9"/>
      <c r="AY1" s="9"/>
      <c r="AZ1" s="9"/>
      <c r="BA1" s="9"/>
      <c r="BB1" s="9"/>
      <c r="BC1" s="9"/>
      <c r="BD1" s="9"/>
      <c r="BE1" s="9"/>
      <c r="BF1" s="9"/>
      <c r="BG1" s="9"/>
      <c r="BH1" s="11"/>
    </row>
    <row r="2" spans="1:62" ht="15">
      <c r="A2" s="1" t="s">
        <v>1053</v>
      </c>
      <c r="B2" s="2"/>
      <c r="C2" s="2"/>
      <c r="D2" s="1"/>
      <c r="E2" s="1"/>
      <c r="F2" s="3"/>
      <c r="H2" s="5"/>
      <c r="I2" s="13"/>
      <c r="J2" s="14"/>
      <c r="K2" s="14"/>
      <c r="L2" s="15"/>
      <c r="M2" s="15"/>
      <c r="N2" s="15"/>
      <c r="O2" s="15"/>
      <c r="P2" s="15"/>
      <c r="R2" s="15"/>
      <c r="T2" s="8"/>
      <c r="V2" s="15"/>
      <c r="X2" s="15"/>
      <c r="Z2" s="15"/>
      <c r="AB2" s="15"/>
      <c r="AD2" s="15"/>
      <c r="AF2" s="15"/>
      <c r="AG2" s="238" t="s">
        <v>1</v>
      </c>
      <c r="AH2" s="238"/>
      <c r="AI2" s="17"/>
      <c r="AJ2" s="18"/>
      <c r="AK2" s="15"/>
      <c r="AL2" s="10" t="e">
        <f>+#REF!</f>
        <v>#REF!</v>
      </c>
      <c r="AN2" s="18"/>
      <c r="AO2" s="18"/>
      <c r="AP2" s="18"/>
      <c r="AR2" s="15"/>
      <c r="AT2" s="15"/>
      <c r="AV2" s="15"/>
      <c r="AW2" s="15"/>
      <c r="AX2" s="15"/>
      <c r="AY2" s="15"/>
      <c r="AZ2" s="15"/>
      <c r="BA2" s="15"/>
      <c r="BB2" s="15"/>
      <c r="BC2" s="15"/>
      <c r="BD2" s="15"/>
      <c r="BE2" s="15"/>
      <c r="BF2" s="15"/>
      <c r="BG2" s="15"/>
      <c r="BH2" s="19"/>
    </row>
    <row r="3" spans="1:62">
      <c r="A3" s="20" t="str">
        <f>IF(G7=1,"DETAIL OF EXPENDITURES BUDGET BY DEPARTMENT WITH COMPARATIVE AMOUNTS", "SUMMARY OF EXPENDITURES BUDGET BY DEPARTMENT WITH COMPARATIVE AMOUNTS")</f>
        <v>DETAIL OF EXPENDITURES BUDGET BY DEPARTMENT WITH COMPARATIVE AMOUNTS</v>
      </c>
      <c r="B3" s="21"/>
      <c r="C3" s="21"/>
      <c r="D3" s="22"/>
      <c r="E3" s="22"/>
      <c r="F3" s="3"/>
      <c r="H3" s="5"/>
      <c r="I3" s="23"/>
      <c r="J3" s="15"/>
      <c r="L3" s="15"/>
      <c r="M3" s="10"/>
      <c r="N3" s="10"/>
      <c r="O3" s="10"/>
      <c r="P3" s="24"/>
      <c r="R3" s="24"/>
      <c r="V3" s="24"/>
      <c r="W3" s="24"/>
      <c r="X3" s="15"/>
      <c r="Y3" s="24"/>
      <c r="AA3" s="24"/>
      <c r="AB3" s="24" t="e">
        <f>+#REF!</f>
        <v>#REF!</v>
      </c>
      <c r="AC3" s="24"/>
      <c r="AD3" s="24" t="e">
        <f>+#REF!</f>
        <v>#REF!</v>
      </c>
      <c r="AE3" s="24"/>
      <c r="AF3" s="10" t="e">
        <f>+#REF!</f>
        <v>#REF!</v>
      </c>
      <c r="AG3" s="239" t="s">
        <v>2</v>
      </c>
      <c r="AH3" s="239"/>
      <c r="AI3" s="25"/>
      <c r="AJ3" s="25" t="e">
        <f>+#REF!</f>
        <v>#REF!</v>
      </c>
      <c r="AK3" s="24"/>
      <c r="AL3" s="16" t="s">
        <v>1</v>
      </c>
      <c r="AM3" s="25"/>
      <c r="AN3" s="25"/>
      <c r="AO3" s="25"/>
      <c r="AP3" s="25"/>
      <c r="AQ3" s="24"/>
      <c r="AR3" s="24" t="e">
        <f>+#REF!</f>
        <v>#REF!</v>
      </c>
      <c r="AS3" s="24"/>
      <c r="AT3" s="24" t="e">
        <f>+#REF!</f>
        <v>#REF!</v>
      </c>
      <c r="AU3" s="24"/>
      <c r="AV3" s="24" t="e">
        <f>+#REF!</f>
        <v>#REF!</v>
      </c>
      <c r="AW3" s="24"/>
      <c r="AX3" s="24" t="e">
        <f>+#REF!</f>
        <v>#REF!</v>
      </c>
      <c r="AY3" s="24"/>
      <c r="AZ3" s="24"/>
      <c r="BA3" s="24"/>
      <c r="BB3" s="24"/>
      <c r="BC3" s="24"/>
      <c r="BD3" s="26"/>
      <c r="BE3" s="26"/>
      <c r="BF3" s="26"/>
      <c r="BG3" s="26"/>
      <c r="BH3" s="27"/>
    </row>
    <row r="4" spans="1:62" ht="15">
      <c r="A4" s="28" t="s">
        <v>1070</v>
      </c>
      <c r="B4" s="29"/>
      <c r="C4" s="29"/>
      <c r="D4" s="28"/>
      <c r="E4" s="28"/>
      <c r="F4" s="3"/>
      <c r="H4" s="30"/>
      <c r="I4" s="31" t="e">
        <f>+#REF!</f>
        <v>#REF!</v>
      </c>
      <c r="J4" s="31" t="e">
        <f>+#REF!</f>
        <v>#REF!</v>
      </c>
      <c r="L4" s="31"/>
      <c r="M4" s="32"/>
      <c r="N4" s="33"/>
      <c r="O4" s="32"/>
      <c r="P4" s="33"/>
      <c r="R4" s="33"/>
      <c r="T4" s="33"/>
      <c r="X4" s="31"/>
      <c r="Z4" s="10"/>
      <c r="AB4" s="241"/>
      <c r="AC4" s="241"/>
      <c r="AD4" s="241"/>
      <c r="AE4" s="35"/>
      <c r="AF4" s="34"/>
      <c r="AG4" s="240"/>
      <c r="AH4" s="240"/>
      <c r="AI4" s="17"/>
      <c r="AJ4" s="16"/>
      <c r="AK4" s="24"/>
      <c r="AL4" s="16"/>
      <c r="AM4" s="17"/>
      <c r="AN4" s="31"/>
      <c r="AO4" s="31"/>
      <c r="AP4" s="31"/>
      <c r="AR4" s="34" t="s">
        <v>5</v>
      </c>
      <c r="AU4" s="35"/>
      <c r="AV4" s="34"/>
      <c r="AW4" s="34"/>
      <c r="AX4" s="34" t="s">
        <v>5</v>
      </c>
      <c r="AY4" s="34"/>
      <c r="AZ4" s="34"/>
      <c r="BA4" s="34"/>
      <c r="BB4" s="34"/>
      <c r="BC4" s="34"/>
      <c r="BD4" s="37"/>
      <c r="BE4" s="37"/>
      <c r="BF4" s="37"/>
      <c r="BG4" s="37"/>
      <c r="BH4" s="38"/>
    </row>
    <row r="5" spans="1:62" ht="15">
      <c r="B5" s="29"/>
      <c r="C5" s="29"/>
      <c r="D5" s="28"/>
      <c r="E5" s="28"/>
      <c r="G5" s="28"/>
      <c r="H5" s="5"/>
      <c r="I5" s="41" t="s">
        <v>6</v>
      </c>
      <c r="J5" s="42" t="s">
        <v>7</v>
      </c>
      <c r="L5" s="16" t="s">
        <v>8</v>
      </c>
      <c r="M5" s="16"/>
      <c r="N5" s="16" t="s">
        <v>9</v>
      </c>
      <c r="O5" s="16"/>
      <c r="P5" s="16" t="s">
        <v>9</v>
      </c>
      <c r="Q5" s="17"/>
      <c r="R5" s="43"/>
      <c r="S5" s="17"/>
      <c r="T5" s="16"/>
      <c r="U5" s="17"/>
      <c r="V5" s="16" t="s">
        <v>9</v>
      </c>
      <c r="X5" s="16" t="s">
        <v>9</v>
      </c>
      <c r="Z5" s="34" t="s">
        <v>1</v>
      </c>
      <c r="AB5" s="243" t="s">
        <v>10</v>
      </c>
      <c r="AC5" s="243"/>
      <c r="AD5" s="243"/>
      <c r="AE5" s="35"/>
      <c r="AF5" s="34" t="s">
        <v>1</v>
      </c>
      <c r="AG5" s="17"/>
      <c r="AH5" s="16" t="s">
        <v>11</v>
      </c>
      <c r="AI5" s="17"/>
      <c r="AJ5" s="16" t="s">
        <v>1</v>
      </c>
      <c r="AK5" s="24"/>
      <c r="AL5" s="43" t="s">
        <v>12</v>
      </c>
      <c r="AM5" s="17"/>
      <c r="AN5" s="16" t="s">
        <v>1</v>
      </c>
      <c r="AO5" s="45" t="s">
        <v>1</v>
      </c>
      <c r="AP5" s="46" t="s">
        <v>5</v>
      </c>
      <c r="AQ5" s="47"/>
      <c r="AR5" s="48" t="s">
        <v>10</v>
      </c>
      <c r="AS5" s="47"/>
      <c r="AT5" s="47"/>
      <c r="AU5" s="47"/>
      <c r="AV5" s="46" t="s">
        <v>5</v>
      </c>
      <c r="AW5" s="34"/>
      <c r="AX5" s="49" t="s">
        <v>3</v>
      </c>
      <c r="AY5" s="34"/>
      <c r="AZ5" s="34" t="s">
        <v>1054</v>
      </c>
      <c r="BA5" s="34" t="s">
        <v>1054</v>
      </c>
      <c r="BB5" s="34" t="s">
        <v>1069</v>
      </c>
      <c r="BC5" s="34"/>
      <c r="BD5" s="50" t="s">
        <v>13</v>
      </c>
      <c r="BE5" s="37"/>
      <c r="BF5" s="37"/>
      <c r="BG5" s="37"/>
      <c r="BH5" s="51"/>
    </row>
    <row r="6" spans="1:62">
      <c r="A6" s="242"/>
      <c r="B6" s="242"/>
      <c r="C6" s="242"/>
      <c r="D6" s="242"/>
      <c r="E6" s="242"/>
      <c r="F6" s="242"/>
      <c r="G6" s="22"/>
      <c r="H6" s="5"/>
      <c r="I6" s="52" t="s">
        <v>14</v>
      </c>
      <c r="J6" s="52" t="s">
        <v>14</v>
      </c>
      <c r="L6" s="43" t="s">
        <v>14</v>
      </c>
      <c r="M6" s="43"/>
      <c r="N6" s="43" t="s">
        <v>15</v>
      </c>
      <c r="O6" s="43"/>
      <c r="P6" s="43" t="s">
        <v>4</v>
      </c>
      <c r="Q6" s="17"/>
      <c r="R6" s="43" t="s">
        <v>4</v>
      </c>
      <c r="S6" s="43"/>
      <c r="T6" s="43" t="s">
        <v>16</v>
      </c>
      <c r="U6" s="43"/>
      <c r="V6" s="43" t="s">
        <v>4</v>
      </c>
      <c r="W6" s="43"/>
      <c r="X6" s="43" t="s">
        <v>14</v>
      </c>
      <c r="Y6" s="43"/>
      <c r="Z6" s="34" t="s">
        <v>17</v>
      </c>
      <c r="AA6" s="43"/>
      <c r="AB6" s="53" t="s">
        <v>16</v>
      </c>
      <c r="AC6" s="53"/>
      <c r="AD6" s="34"/>
      <c r="AE6" s="53"/>
      <c r="AF6" s="34" t="s">
        <v>17</v>
      </c>
      <c r="AG6" s="43" t="s">
        <v>16</v>
      </c>
      <c r="AH6" s="16" t="s">
        <v>18</v>
      </c>
      <c r="AI6" s="43"/>
      <c r="AJ6" s="16" t="s">
        <v>19</v>
      </c>
      <c r="AK6" s="24"/>
      <c r="AL6" s="43" t="s">
        <v>16</v>
      </c>
      <c r="AM6" s="43"/>
      <c r="AN6" s="43" t="s">
        <v>14</v>
      </c>
      <c r="AO6" s="45" t="s">
        <v>20</v>
      </c>
      <c r="AP6" s="43" t="s">
        <v>14</v>
      </c>
      <c r="AQ6" s="54"/>
      <c r="AR6" s="54" t="s">
        <v>16</v>
      </c>
      <c r="AS6" s="54"/>
      <c r="AT6" s="46"/>
      <c r="AU6" s="54"/>
      <c r="AV6" s="46" t="s">
        <v>19</v>
      </c>
      <c r="AW6" s="34"/>
      <c r="AX6" s="55" t="s">
        <v>16</v>
      </c>
      <c r="AY6" s="34"/>
      <c r="AZ6" s="34" t="s">
        <v>17</v>
      </c>
      <c r="BA6" s="34" t="s">
        <v>17</v>
      </c>
      <c r="BB6" s="34" t="s">
        <v>19</v>
      </c>
      <c r="BC6" s="56"/>
      <c r="BD6" s="50" t="s">
        <v>21</v>
      </c>
      <c r="BE6" s="37"/>
      <c r="BF6" s="37"/>
      <c r="BG6" s="37"/>
      <c r="BH6" s="57"/>
    </row>
    <row r="7" spans="1:62" ht="15">
      <c r="A7" s="237"/>
      <c r="B7" s="237"/>
      <c r="C7" s="237"/>
      <c r="D7" s="237"/>
      <c r="E7" s="237"/>
      <c r="F7" s="237"/>
      <c r="G7" s="59">
        <v>1</v>
      </c>
      <c r="H7" s="60"/>
      <c r="I7" s="52" t="s">
        <v>22</v>
      </c>
      <c r="J7" s="52" t="s">
        <v>22</v>
      </c>
      <c r="L7" s="43" t="s">
        <v>22</v>
      </c>
      <c r="M7" s="43"/>
      <c r="N7" s="43" t="s">
        <v>23</v>
      </c>
      <c r="O7" s="43"/>
      <c r="P7" s="43" t="s">
        <v>24</v>
      </c>
      <c r="Q7" s="43"/>
      <c r="R7" s="43" t="s">
        <v>24</v>
      </c>
      <c r="S7" s="43"/>
      <c r="T7" s="43" t="s">
        <v>25</v>
      </c>
      <c r="U7" s="43"/>
      <c r="V7" s="43" t="s">
        <v>24</v>
      </c>
      <c r="W7" s="43"/>
      <c r="X7" s="43" t="s">
        <v>22</v>
      </c>
      <c r="Y7" s="43"/>
      <c r="Z7" s="53" t="s">
        <v>15</v>
      </c>
      <c r="AA7" s="43"/>
      <c r="AB7" s="53" t="s">
        <v>26</v>
      </c>
      <c r="AC7" s="53"/>
      <c r="AD7" s="53"/>
      <c r="AE7" s="53"/>
      <c r="AF7" s="53" t="s">
        <v>4</v>
      </c>
      <c r="AG7" s="43" t="s">
        <v>26</v>
      </c>
      <c r="AH7" s="43" t="s">
        <v>27</v>
      </c>
      <c r="AI7" s="43"/>
      <c r="AJ7" s="43" t="s">
        <v>4</v>
      </c>
      <c r="AK7" s="24"/>
      <c r="AL7" s="43" t="s">
        <v>26</v>
      </c>
      <c r="AM7" s="43"/>
      <c r="AN7" s="43" t="s">
        <v>22</v>
      </c>
      <c r="AO7" s="61" t="s">
        <v>22</v>
      </c>
      <c r="AP7" s="43" t="s">
        <v>22</v>
      </c>
      <c r="AQ7" s="54"/>
      <c r="AR7" s="54" t="s">
        <v>26</v>
      </c>
      <c r="AS7" s="54"/>
      <c r="AT7" s="54"/>
      <c r="AU7" s="54"/>
      <c r="AV7" s="54" t="s">
        <v>4</v>
      </c>
      <c r="AW7" s="53"/>
      <c r="AX7" s="55" t="s">
        <v>26</v>
      </c>
      <c r="AY7" s="53"/>
      <c r="AZ7" s="34" t="s">
        <v>15</v>
      </c>
      <c r="BA7" s="53" t="s">
        <v>4</v>
      </c>
      <c r="BB7" s="34" t="s">
        <v>15</v>
      </c>
      <c r="BC7" s="56"/>
      <c r="BD7" s="50" t="s">
        <v>28</v>
      </c>
      <c r="BE7" s="62"/>
      <c r="BF7" s="62"/>
      <c r="BG7" s="62"/>
      <c r="BH7" s="57"/>
      <c r="BI7" s="63"/>
    </row>
    <row r="8" spans="1:62" ht="15">
      <c r="A8" s="237" t="s">
        <v>29</v>
      </c>
      <c r="B8" s="237"/>
      <c r="C8" s="237"/>
      <c r="D8" s="237"/>
      <c r="E8" s="58"/>
      <c r="F8" s="64" t="s">
        <v>30</v>
      </c>
      <c r="G8" s="64" t="s">
        <v>31</v>
      </c>
      <c r="H8" s="60"/>
      <c r="I8" s="65" t="s">
        <v>32</v>
      </c>
      <c r="J8" s="65" t="s">
        <v>32</v>
      </c>
      <c r="L8" s="66" t="s">
        <v>32</v>
      </c>
      <c r="M8" s="36"/>
      <c r="N8" s="36" t="s">
        <v>2</v>
      </c>
      <c r="O8" s="36"/>
      <c r="P8" s="36" t="s">
        <v>33</v>
      </c>
      <c r="Q8" s="36"/>
      <c r="R8" s="36" t="s">
        <v>34</v>
      </c>
      <c r="S8" s="36"/>
      <c r="T8" s="36" t="s">
        <v>35</v>
      </c>
      <c r="U8" s="36"/>
      <c r="V8" s="36" t="s">
        <v>36</v>
      </c>
      <c r="W8" s="36"/>
      <c r="X8" s="66" t="s">
        <v>32</v>
      </c>
      <c r="Y8" s="36"/>
      <c r="Z8" s="44" t="s">
        <v>24</v>
      </c>
      <c r="AA8" s="36"/>
      <c r="AB8" s="44" t="s">
        <v>35</v>
      </c>
      <c r="AC8" s="44"/>
      <c r="AD8" s="44" t="s">
        <v>37</v>
      </c>
      <c r="AE8" s="44"/>
      <c r="AF8" s="44" t="s">
        <v>38</v>
      </c>
      <c r="AG8" s="36" t="s">
        <v>35</v>
      </c>
      <c r="AH8" s="36" t="s">
        <v>39</v>
      </c>
      <c r="AI8" s="36"/>
      <c r="AJ8" s="36" t="s">
        <v>40</v>
      </c>
      <c r="AK8" s="24"/>
      <c r="AL8" s="36" t="s">
        <v>35</v>
      </c>
      <c r="AM8" s="36"/>
      <c r="AN8" s="36" t="s">
        <v>32</v>
      </c>
      <c r="AO8" s="67" t="s">
        <v>32</v>
      </c>
      <c r="AP8" s="36" t="s">
        <v>32</v>
      </c>
      <c r="AQ8" s="48"/>
      <c r="AR8" s="48" t="s">
        <v>35</v>
      </c>
      <c r="AS8" s="48"/>
      <c r="AT8" s="48" t="s">
        <v>37</v>
      </c>
      <c r="AU8" s="48"/>
      <c r="AV8" s="48" t="s">
        <v>38</v>
      </c>
      <c r="AW8" s="44"/>
      <c r="AX8" s="49" t="s">
        <v>35</v>
      </c>
      <c r="AY8" s="44"/>
      <c r="AZ8" s="44" t="s">
        <v>2</v>
      </c>
      <c r="BA8" s="44" t="s">
        <v>40</v>
      </c>
      <c r="BB8" s="44" t="s">
        <v>2</v>
      </c>
      <c r="BC8" s="56"/>
      <c r="BD8" s="50" t="s">
        <v>41</v>
      </c>
      <c r="BE8" s="68"/>
      <c r="BF8" s="68"/>
      <c r="BG8" s="68"/>
      <c r="BH8" s="69"/>
    </row>
    <row r="9" spans="1:62" ht="15">
      <c r="A9" s="58"/>
      <c r="B9" s="58"/>
      <c r="C9" s="58"/>
      <c r="D9" s="64"/>
      <c r="E9" s="64"/>
      <c r="F9" s="64"/>
      <c r="G9" s="70"/>
      <c r="H9" s="60"/>
      <c r="J9" s="71"/>
      <c r="AK9" s="24"/>
      <c r="AZ9" s="34"/>
      <c r="BB9" s="34"/>
      <c r="BC9" s="56"/>
      <c r="BH9" s="72">
        <v>2</v>
      </c>
    </row>
    <row r="10" spans="1:62" ht="20.100000000000001" customHeight="1" outlineLevel="1">
      <c r="A10" s="75" t="s">
        <v>893</v>
      </c>
      <c r="B10" s="77"/>
      <c r="C10" s="77"/>
      <c r="D10" s="90"/>
      <c r="E10" s="90"/>
      <c r="F10" s="3"/>
      <c r="H10" s="87"/>
      <c r="L10" s="44"/>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5"/>
      <c r="AL10" s="83"/>
      <c r="AM10" s="83"/>
      <c r="AN10" s="100"/>
      <c r="AO10" s="100"/>
      <c r="AP10" s="100"/>
      <c r="AQ10" s="83"/>
      <c r="AR10" s="83"/>
      <c r="AS10" s="83"/>
      <c r="AT10" s="83"/>
      <c r="AU10" s="83"/>
      <c r="AV10" s="83"/>
      <c r="AW10" s="83"/>
      <c r="AX10" s="83"/>
      <c r="AY10" s="83"/>
      <c r="AZ10" s="83"/>
      <c r="BA10" s="83"/>
      <c r="BB10" s="83"/>
      <c r="BC10" s="83"/>
      <c r="BD10" s="83"/>
      <c r="BE10" s="83"/>
      <c r="BF10" s="83"/>
      <c r="BG10" s="83"/>
      <c r="BH10" s="19"/>
    </row>
    <row r="11" spans="1:62" ht="20.100000000000001" customHeight="1" outlineLevel="1">
      <c r="A11" s="77" t="s">
        <v>43</v>
      </c>
      <c r="B11" s="77" t="s">
        <v>894</v>
      </c>
      <c r="C11" s="77" t="s">
        <v>895</v>
      </c>
      <c r="D11" s="78" t="s">
        <v>46</v>
      </c>
      <c r="E11" s="78"/>
      <c r="F11" s="79">
        <v>611116</v>
      </c>
      <c r="G11" s="102" t="s">
        <v>762</v>
      </c>
      <c r="H11" s="87"/>
      <c r="I11" s="82">
        <v>67078</v>
      </c>
      <c r="J11" s="82">
        <v>67220</v>
      </c>
      <c r="L11" s="83">
        <v>73097</v>
      </c>
      <c r="M11" s="83"/>
      <c r="N11" s="83">
        <v>81075</v>
      </c>
      <c r="O11" s="83"/>
      <c r="P11" s="83">
        <v>81075</v>
      </c>
      <c r="Q11" s="83"/>
      <c r="R11" s="83">
        <v>82775</v>
      </c>
      <c r="S11" s="83"/>
      <c r="T11" s="83">
        <v>0</v>
      </c>
      <c r="U11" s="83"/>
      <c r="V11" s="83">
        <v>82775</v>
      </c>
      <c r="W11" s="83"/>
      <c r="X11" s="83">
        <v>82775</v>
      </c>
      <c r="Y11" s="83"/>
      <c r="Z11" s="83">
        <v>82639</v>
      </c>
      <c r="AA11" s="83"/>
      <c r="AB11" s="83">
        <v>0</v>
      </c>
      <c r="AC11" s="83"/>
      <c r="AD11" s="83"/>
      <c r="AE11" s="83"/>
      <c r="AF11" s="86">
        <f t="shared" ref="AF11:AF33" si="0">SUM(Z11:AE11)</f>
        <v>82639</v>
      </c>
      <c r="AG11" s="83">
        <v>0</v>
      </c>
      <c r="AH11" s="83">
        <v>1250</v>
      </c>
      <c r="AI11" s="83"/>
      <c r="AJ11" s="86">
        <f t="shared" ref="AJ11:AJ33" si="1">SUM(AE11:AI11)</f>
        <v>83889</v>
      </c>
      <c r="AK11" s="85"/>
      <c r="AL11" s="83">
        <v>0</v>
      </c>
      <c r="AM11" s="83"/>
      <c r="AN11" s="86">
        <f t="shared" ref="AN11:AN33" si="2">SUM(AI11:AM11)</f>
        <v>83889</v>
      </c>
      <c r="AO11" s="86">
        <v>0</v>
      </c>
      <c r="AP11" s="86">
        <v>82639</v>
      </c>
      <c r="AQ11" s="83"/>
      <c r="AR11" s="83">
        <v>0</v>
      </c>
      <c r="AS11" s="83"/>
      <c r="AT11" s="83">
        <v>0</v>
      </c>
      <c r="AU11" s="83"/>
      <c r="AV11" s="86">
        <f t="shared" ref="AV11:AV33" si="3">SUM(AP11:AU11)</f>
        <v>82639</v>
      </c>
      <c r="AW11" s="86"/>
      <c r="AX11" s="86">
        <v>0</v>
      </c>
      <c r="AY11" s="86"/>
      <c r="AZ11" s="86">
        <v>82639</v>
      </c>
      <c r="BA11" s="86">
        <v>82639</v>
      </c>
      <c r="BB11" s="214"/>
      <c r="BC11" s="86"/>
      <c r="BD11" s="84">
        <f t="shared" ref="BD11:BD35" si="4">+AP11-AN11</f>
        <v>-1250</v>
      </c>
      <c r="BE11" s="86"/>
      <c r="BF11" s="86"/>
      <c r="BG11" s="86"/>
      <c r="BH11" s="72">
        <v>1</v>
      </c>
      <c r="BJ11">
        <v>1</v>
      </c>
    </row>
    <row r="12" spans="1:62" ht="20.100000000000001" customHeight="1" outlineLevel="1">
      <c r="A12" s="77" t="s">
        <v>43</v>
      </c>
      <c r="B12" s="77" t="s">
        <v>894</v>
      </c>
      <c r="C12" s="77" t="s">
        <v>895</v>
      </c>
      <c r="D12" s="78" t="s">
        <v>46</v>
      </c>
      <c r="E12" s="78"/>
      <c r="F12" s="3">
        <v>611411</v>
      </c>
      <c r="G12" s="102" t="s">
        <v>896</v>
      </c>
      <c r="H12" s="87"/>
      <c r="I12" s="13">
        <v>46132</v>
      </c>
      <c r="J12" s="13">
        <v>51504</v>
      </c>
      <c r="L12" s="56">
        <v>60821</v>
      </c>
      <c r="M12" s="56"/>
      <c r="N12" s="56">
        <v>60907</v>
      </c>
      <c r="O12" s="56"/>
      <c r="P12" s="56">
        <v>60907</v>
      </c>
      <c r="Q12" s="56"/>
      <c r="R12" s="56">
        <v>64987</v>
      </c>
      <c r="S12" s="56"/>
      <c r="T12" s="56">
        <v>0</v>
      </c>
      <c r="U12" s="56"/>
      <c r="V12" s="56">
        <v>64987</v>
      </c>
      <c r="W12" s="56"/>
      <c r="X12" s="56">
        <v>61402.68</v>
      </c>
      <c r="Y12" s="56"/>
      <c r="Z12" s="56">
        <v>69365</v>
      </c>
      <c r="AA12" s="56"/>
      <c r="AB12" s="56">
        <v>0</v>
      </c>
      <c r="AC12" s="56"/>
      <c r="AD12" s="56"/>
      <c r="AE12" s="56"/>
      <c r="AF12" s="56">
        <f t="shared" si="0"/>
        <v>69365</v>
      </c>
      <c r="AG12" s="56">
        <v>0</v>
      </c>
      <c r="AH12" s="56">
        <v>5625</v>
      </c>
      <c r="AI12" s="56"/>
      <c r="AJ12" s="56">
        <f t="shared" si="1"/>
        <v>74990</v>
      </c>
      <c r="AK12" s="85"/>
      <c r="AL12" s="56">
        <v>0</v>
      </c>
      <c r="AM12" s="56"/>
      <c r="AN12" s="88">
        <f t="shared" si="2"/>
        <v>74990</v>
      </c>
      <c r="AO12" s="88">
        <v>0</v>
      </c>
      <c r="AP12" s="88">
        <v>58276.160000000003</v>
      </c>
      <c r="AQ12" s="56"/>
      <c r="AR12" s="56">
        <v>0</v>
      </c>
      <c r="AS12" s="56"/>
      <c r="AT12" s="56">
        <v>0</v>
      </c>
      <c r="AU12" s="56"/>
      <c r="AV12" s="56">
        <f t="shared" si="3"/>
        <v>58276.160000000003</v>
      </c>
      <c r="AW12" s="56"/>
      <c r="AX12" s="56">
        <v>0</v>
      </c>
      <c r="AY12" s="56"/>
      <c r="AZ12" s="88">
        <v>70068</v>
      </c>
      <c r="BA12" s="56">
        <v>69000</v>
      </c>
      <c r="BB12" s="214"/>
      <c r="BC12" s="56"/>
      <c r="BD12" s="84">
        <f t="shared" si="4"/>
        <v>-16713.839999999997</v>
      </c>
      <c r="BE12" s="56"/>
      <c r="BF12" s="56"/>
      <c r="BG12" s="56"/>
      <c r="BH12" s="72">
        <v>1</v>
      </c>
      <c r="BJ12">
        <v>1</v>
      </c>
    </row>
    <row r="13" spans="1:62" ht="20.100000000000001" customHeight="1" outlineLevel="1">
      <c r="A13" s="77" t="s">
        <v>43</v>
      </c>
      <c r="B13" s="77" t="s">
        <v>894</v>
      </c>
      <c r="C13" s="77" t="s">
        <v>895</v>
      </c>
      <c r="D13" s="78" t="s">
        <v>46</v>
      </c>
      <c r="E13" s="78"/>
      <c r="F13" s="3">
        <v>611811</v>
      </c>
      <c r="G13" s="102" t="s">
        <v>897</v>
      </c>
      <c r="H13" s="87"/>
      <c r="I13" s="13">
        <v>133628</v>
      </c>
      <c r="J13" s="13">
        <v>133968</v>
      </c>
      <c r="L13" s="56">
        <v>150990</v>
      </c>
      <c r="M13" s="56"/>
      <c r="N13" s="56">
        <v>158708</v>
      </c>
      <c r="O13" s="56"/>
      <c r="P13" s="56">
        <v>158708</v>
      </c>
      <c r="Q13" s="56"/>
      <c r="R13" s="56">
        <v>163808</v>
      </c>
      <c r="S13" s="56"/>
      <c r="T13" s="56">
        <v>0</v>
      </c>
      <c r="U13" s="56"/>
      <c r="V13" s="56">
        <v>163808</v>
      </c>
      <c r="W13" s="56"/>
      <c r="X13" s="56">
        <v>164039.88</v>
      </c>
      <c r="Y13" s="56"/>
      <c r="Z13" s="56">
        <v>163130</v>
      </c>
      <c r="AA13" s="56"/>
      <c r="AB13" s="56">
        <v>0</v>
      </c>
      <c r="AC13" s="56"/>
      <c r="AD13" s="56"/>
      <c r="AE13" s="56"/>
      <c r="AF13" s="56">
        <f t="shared" si="0"/>
        <v>163130</v>
      </c>
      <c r="AG13" s="104">
        <v>2331</v>
      </c>
      <c r="AH13" s="56">
        <v>3750</v>
      </c>
      <c r="AI13" s="56"/>
      <c r="AJ13" s="56">
        <f t="shared" si="1"/>
        <v>169211</v>
      </c>
      <c r="AK13" s="85"/>
      <c r="AL13" s="56">
        <v>0</v>
      </c>
      <c r="AM13" s="56"/>
      <c r="AN13" s="88">
        <f t="shared" si="2"/>
        <v>169211</v>
      </c>
      <c r="AO13" s="88">
        <v>0</v>
      </c>
      <c r="AP13" s="88">
        <v>163818.96</v>
      </c>
      <c r="AQ13" s="56"/>
      <c r="AR13" s="56">
        <v>0</v>
      </c>
      <c r="AS13" s="56"/>
      <c r="AT13" s="56">
        <v>0</v>
      </c>
      <c r="AU13" s="56"/>
      <c r="AV13" s="56">
        <f t="shared" si="3"/>
        <v>163818.96</v>
      </c>
      <c r="AW13" s="56"/>
      <c r="AX13" s="56">
        <v>0</v>
      </c>
      <c r="AY13" s="56"/>
      <c r="AZ13" s="88">
        <v>163820</v>
      </c>
      <c r="BA13" s="56">
        <v>164758</v>
      </c>
      <c r="BB13" s="214"/>
      <c r="BC13" s="56"/>
      <c r="BD13" s="84">
        <f t="shared" si="4"/>
        <v>-5392.0400000000081</v>
      </c>
      <c r="BE13" s="56"/>
      <c r="BF13" s="56"/>
      <c r="BG13" s="56"/>
      <c r="BH13" s="72">
        <v>1</v>
      </c>
      <c r="BJ13">
        <v>1</v>
      </c>
    </row>
    <row r="14" spans="1:62" ht="20.100000000000001" customHeight="1" outlineLevel="1">
      <c r="A14" s="77" t="s">
        <v>43</v>
      </c>
      <c r="B14" s="77" t="s">
        <v>898</v>
      </c>
      <c r="C14" s="77" t="s">
        <v>895</v>
      </c>
      <c r="D14" s="78" t="s">
        <v>46</v>
      </c>
      <c r="E14" s="78"/>
      <c r="F14" s="3">
        <v>643011</v>
      </c>
      <c r="G14" s="102" t="s">
        <v>258</v>
      </c>
      <c r="H14" s="87"/>
      <c r="I14" s="13">
        <v>2260</v>
      </c>
      <c r="J14" s="13">
        <v>2051</v>
      </c>
      <c r="L14" s="56">
        <v>1712</v>
      </c>
      <c r="M14" s="56"/>
      <c r="N14" s="56">
        <v>1870</v>
      </c>
      <c r="O14" s="56"/>
      <c r="P14" s="56">
        <v>1870</v>
      </c>
      <c r="Q14" s="56"/>
      <c r="R14" s="56">
        <v>1870</v>
      </c>
      <c r="S14" s="56"/>
      <c r="T14" s="56">
        <v>0</v>
      </c>
      <c r="U14" s="56"/>
      <c r="V14" s="56">
        <v>1870</v>
      </c>
      <c r="W14" s="56"/>
      <c r="X14" s="56">
        <v>2969.61</v>
      </c>
      <c r="Y14" s="56"/>
      <c r="Z14" s="56">
        <v>2930</v>
      </c>
      <c r="AA14" s="56"/>
      <c r="AB14" s="56">
        <v>0</v>
      </c>
      <c r="AC14" s="56"/>
      <c r="AD14" s="56"/>
      <c r="AE14" s="56"/>
      <c r="AF14" s="56">
        <f t="shared" si="0"/>
        <v>2930</v>
      </c>
      <c r="AG14" s="56">
        <v>0</v>
      </c>
      <c r="AH14" s="56">
        <v>0</v>
      </c>
      <c r="AI14" s="56"/>
      <c r="AJ14" s="56">
        <f t="shared" si="1"/>
        <v>2930</v>
      </c>
      <c r="AK14" s="85"/>
      <c r="AL14" s="56">
        <v>0</v>
      </c>
      <c r="AM14" s="56"/>
      <c r="AN14" s="88">
        <f t="shared" si="2"/>
        <v>2930</v>
      </c>
      <c r="AO14" s="88">
        <v>0</v>
      </c>
      <c r="AP14" s="88">
        <v>1651.33</v>
      </c>
      <c r="AQ14" s="56"/>
      <c r="AR14" s="56">
        <v>0</v>
      </c>
      <c r="AS14" s="56"/>
      <c r="AT14" s="56">
        <v>0</v>
      </c>
      <c r="AU14" s="56"/>
      <c r="AV14" s="56">
        <f t="shared" si="3"/>
        <v>1651.33</v>
      </c>
      <c r="AW14" s="56"/>
      <c r="AX14" s="56">
        <v>0</v>
      </c>
      <c r="AY14" s="56"/>
      <c r="AZ14" s="88">
        <v>2760</v>
      </c>
      <c r="BA14" s="56">
        <v>2760</v>
      </c>
      <c r="BB14" s="214"/>
      <c r="BC14" s="56"/>
      <c r="BD14" s="84">
        <f t="shared" si="4"/>
        <v>-1278.67</v>
      </c>
      <c r="BE14" s="56"/>
      <c r="BF14" s="56"/>
      <c r="BG14" s="56"/>
      <c r="BH14" s="72"/>
    </row>
    <row r="15" spans="1:62" ht="20.100000000000001" customHeight="1" outlineLevel="1">
      <c r="A15" s="77" t="s">
        <v>43</v>
      </c>
      <c r="B15" s="77" t="s">
        <v>898</v>
      </c>
      <c r="C15" s="77" t="s">
        <v>895</v>
      </c>
      <c r="D15" s="78" t="s">
        <v>46</v>
      </c>
      <c r="E15" s="78"/>
      <c r="F15" s="3">
        <v>634021</v>
      </c>
      <c r="G15" s="102" t="s">
        <v>899</v>
      </c>
      <c r="H15" s="87"/>
      <c r="I15" s="13">
        <v>23351</v>
      </c>
      <c r="J15" s="13">
        <v>24422</v>
      </c>
      <c r="L15" s="56">
        <v>36023</v>
      </c>
      <c r="M15" s="56"/>
      <c r="N15" s="56">
        <v>29000</v>
      </c>
      <c r="O15" s="56"/>
      <c r="P15" s="56">
        <v>29000</v>
      </c>
      <c r="Q15" s="56"/>
      <c r="R15" s="56">
        <v>29000</v>
      </c>
      <c r="S15" s="56"/>
      <c r="T15" s="56">
        <v>0</v>
      </c>
      <c r="U15" s="56"/>
      <c r="V15" s="56">
        <v>29000</v>
      </c>
      <c r="W15" s="56"/>
      <c r="X15" s="56">
        <v>12194.8</v>
      </c>
      <c r="Y15" s="56"/>
      <c r="Z15" s="56">
        <v>26800</v>
      </c>
      <c r="AA15" s="56"/>
      <c r="AB15" s="56">
        <v>0</v>
      </c>
      <c r="AC15" s="56"/>
      <c r="AD15" s="56"/>
      <c r="AE15" s="56"/>
      <c r="AF15" s="56">
        <f t="shared" si="0"/>
        <v>26800</v>
      </c>
      <c r="AG15" s="56">
        <v>0</v>
      </c>
      <c r="AH15" s="56">
        <v>0</v>
      </c>
      <c r="AI15" s="56"/>
      <c r="AJ15" s="56">
        <f t="shared" si="1"/>
        <v>26800</v>
      </c>
      <c r="AK15" s="85"/>
      <c r="AL15" s="56">
        <v>0</v>
      </c>
      <c r="AM15" s="56"/>
      <c r="AN15" s="88">
        <f t="shared" si="2"/>
        <v>26800</v>
      </c>
      <c r="AO15" s="88">
        <v>0</v>
      </c>
      <c r="AP15" s="88">
        <v>31392.29</v>
      </c>
      <c r="AQ15" s="56"/>
      <c r="AR15" s="56">
        <v>0</v>
      </c>
      <c r="AS15" s="56"/>
      <c r="AT15" s="56">
        <v>0</v>
      </c>
      <c r="AU15" s="56"/>
      <c r="AV15" s="56">
        <f t="shared" si="3"/>
        <v>31392.29</v>
      </c>
      <c r="AW15" s="56"/>
      <c r="AX15" s="56">
        <v>0</v>
      </c>
      <c r="AY15" s="56"/>
      <c r="AZ15" s="88">
        <v>25000</v>
      </c>
      <c r="BA15" s="56">
        <v>25000</v>
      </c>
      <c r="BB15" s="214"/>
      <c r="BC15" s="56"/>
      <c r="BD15" s="84">
        <f t="shared" si="4"/>
        <v>4592.2900000000009</v>
      </c>
      <c r="BE15" s="56"/>
      <c r="BF15" s="56"/>
      <c r="BG15" s="56"/>
      <c r="BH15" s="72"/>
    </row>
    <row r="16" spans="1:62" ht="20.100000000000001" customHeight="1" outlineLevel="1">
      <c r="A16" s="77" t="s">
        <v>43</v>
      </c>
      <c r="B16" s="77" t="s">
        <v>898</v>
      </c>
      <c r="C16" s="77" t="s">
        <v>1100</v>
      </c>
      <c r="D16" s="78" t="s">
        <v>46</v>
      </c>
      <c r="E16" s="78" t="str">
        <f>+D16</f>
        <v>000</v>
      </c>
      <c r="F16" s="3">
        <v>644222</v>
      </c>
      <c r="G16" s="102" t="s">
        <v>900</v>
      </c>
      <c r="H16" s="87"/>
      <c r="I16" s="13">
        <v>2357</v>
      </c>
      <c r="J16" s="13">
        <v>766</v>
      </c>
      <c r="L16" s="56">
        <v>868</v>
      </c>
      <c r="M16" s="56"/>
      <c r="N16" s="56">
        <v>804</v>
      </c>
      <c r="O16" s="56"/>
      <c r="P16" s="56">
        <v>804</v>
      </c>
      <c r="Q16" s="56"/>
      <c r="R16" s="56">
        <v>804</v>
      </c>
      <c r="S16" s="56"/>
      <c r="T16" s="56">
        <v>0</v>
      </c>
      <c r="U16" s="56"/>
      <c r="V16" s="56">
        <v>804</v>
      </c>
      <c r="W16" s="56"/>
      <c r="X16" s="56">
        <v>0</v>
      </c>
      <c r="Y16" s="56"/>
      <c r="Z16" s="56">
        <v>0</v>
      </c>
      <c r="AA16" s="56"/>
      <c r="AB16" s="56">
        <v>0</v>
      </c>
      <c r="AC16" s="56"/>
      <c r="AD16" s="56"/>
      <c r="AE16" s="56"/>
      <c r="AF16" s="56">
        <f t="shared" si="0"/>
        <v>0</v>
      </c>
      <c r="AG16" s="56">
        <v>0</v>
      </c>
      <c r="AH16" s="56">
        <v>0</v>
      </c>
      <c r="AI16" s="56"/>
      <c r="AJ16" s="56">
        <f t="shared" si="1"/>
        <v>0</v>
      </c>
      <c r="AK16" s="85"/>
      <c r="AL16" s="56">
        <v>0</v>
      </c>
      <c r="AM16" s="56"/>
      <c r="AN16" s="88">
        <f t="shared" si="2"/>
        <v>0</v>
      </c>
      <c r="AO16" s="88">
        <v>0</v>
      </c>
      <c r="AP16" s="88">
        <v>123</v>
      </c>
      <c r="AQ16" s="56"/>
      <c r="AR16" s="56">
        <v>0</v>
      </c>
      <c r="AS16" s="56"/>
      <c r="AT16" s="56">
        <v>0</v>
      </c>
      <c r="AU16" s="56"/>
      <c r="AV16" s="56">
        <f t="shared" si="3"/>
        <v>123</v>
      </c>
      <c r="AW16" s="56"/>
      <c r="AX16" s="56">
        <v>0</v>
      </c>
      <c r="AY16" s="56"/>
      <c r="AZ16" s="88">
        <v>0</v>
      </c>
      <c r="BA16" s="56">
        <v>0</v>
      </c>
      <c r="BB16" s="214"/>
      <c r="BC16" s="56"/>
      <c r="BD16" s="84">
        <f t="shared" si="4"/>
        <v>123</v>
      </c>
      <c r="BE16" s="56"/>
      <c r="BF16" s="56"/>
      <c r="BG16" s="56"/>
      <c r="BH16" s="72"/>
    </row>
    <row r="17" spans="1:62" ht="20.100000000000001" customHeight="1" outlineLevel="1">
      <c r="A17" s="77" t="s">
        <v>43</v>
      </c>
      <c r="B17" s="77" t="s">
        <v>898</v>
      </c>
      <c r="C17" s="77" t="s">
        <v>1100</v>
      </c>
      <c r="D17" s="78" t="s">
        <v>46</v>
      </c>
      <c r="E17" s="78" t="str">
        <f t="shared" ref="E17:E33" si="5">+D17</f>
        <v>000</v>
      </c>
      <c r="F17" s="3">
        <v>653051</v>
      </c>
      <c r="G17" s="102" t="s">
        <v>901</v>
      </c>
      <c r="H17" s="87"/>
      <c r="I17" s="13">
        <v>3010</v>
      </c>
      <c r="J17" s="13">
        <v>2167</v>
      </c>
      <c r="L17" s="56">
        <v>597</v>
      </c>
      <c r="M17" s="56"/>
      <c r="N17" s="56">
        <v>1000</v>
      </c>
      <c r="O17" s="56"/>
      <c r="P17" s="56">
        <v>1000</v>
      </c>
      <c r="Q17" s="56"/>
      <c r="R17" s="56">
        <v>1000</v>
      </c>
      <c r="S17" s="56"/>
      <c r="T17" s="56">
        <v>0</v>
      </c>
      <c r="U17" s="56"/>
      <c r="V17" s="56">
        <v>1000</v>
      </c>
      <c r="W17" s="56"/>
      <c r="X17" s="56">
        <v>349.02</v>
      </c>
      <c r="Y17" s="56"/>
      <c r="Z17" s="56">
        <v>600</v>
      </c>
      <c r="AA17" s="56"/>
      <c r="AB17" s="56">
        <v>0</v>
      </c>
      <c r="AC17" s="56"/>
      <c r="AD17" s="56"/>
      <c r="AE17" s="56"/>
      <c r="AF17" s="56">
        <f t="shared" si="0"/>
        <v>600</v>
      </c>
      <c r="AG17" s="56">
        <v>0</v>
      </c>
      <c r="AH17" s="56">
        <v>0</v>
      </c>
      <c r="AI17" s="56"/>
      <c r="AJ17" s="56">
        <f t="shared" si="1"/>
        <v>600</v>
      </c>
      <c r="AK17" s="85"/>
      <c r="AL17" s="56">
        <v>0</v>
      </c>
      <c r="AM17" s="56"/>
      <c r="AN17" s="88">
        <f t="shared" si="2"/>
        <v>600</v>
      </c>
      <c r="AO17" s="88">
        <v>0</v>
      </c>
      <c r="AP17" s="88">
        <v>336.25</v>
      </c>
      <c r="AQ17" s="56"/>
      <c r="AR17" s="56">
        <v>0</v>
      </c>
      <c r="AS17" s="56"/>
      <c r="AT17" s="56">
        <v>0</v>
      </c>
      <c r="AU17" s="56"/>
      <c r="AV17" s="56">
        <f t="shared" si="3"/>
        <v>336.25</v>
      </c>
      <c r="AW17" s="56"/>
      <c r="AX17" s="56">
        <v>0</v>
      </c>
      <c r="AY17" s="56"/>
      <c r="AZ17" s="88">
        <v>600</v>
      </c>
      <c r="BA17" s="56">
        <v>600</v>
      </c>
      <c r="BB17" s="214"/>
      <c r="BC17" s="56"/>
      <c r="BD17" s="84">
        <f t="shared" si="4"/>
        <v>-263.75</v>
      </c>
      <c r="BE17" s="56"/>
      <c r="BF17" s="56"/>
      <c r="BG17" s="56"/>
      <c r="BH17" s="72"/>
    </row>
    <row r="18" spans="1:62" ht="20.100000000000001" customHeight="1" outlineLevel="1">
      <c r="A18" s="77" t="s">
        <v>43</v>
      </c>
      <c r="B18" s="77" t="s">
        <v>898</v>
      </c>
      <c r="C18" s="77" t="s">
        <v>1100</v>
      </c>
      <c r="D18" s="78" t="s">
        <v>46</v>
      </c>
      <c r="E18" s="78" t="str">
        <f t="shared" si="5"/>
        <v>000</v>
      </c>
      <c r="F18" s="3">
        <v>658211</v>
      </c>
      <c r="G18" s="102" t="s">
        <v>72</v>
      </c>
      <c r="H18" s="87"/>
      <c r="I18" s="13">
        <v>1125</v>
      </c>
      <c r="J18" s="13">
        <v>1090</v>
      </c>
      <c r="L18" s="56">
        <v>324</v>
      </c>
      <c r="M18" s="56"/>
      <c r="N18" s="56">
        <v>1100</v>
      </c>
      <c r="O18" s="56"/>
      <c r="P18" s="56">
        <v>1100</v>
      </c>
      <c r="Q18" s="56"/>
      <c r="R18" s="56">
        <v>1100</v>
      </c>
      <c r="S18" s="56"/>
      <c r="T18" s="56">
        <v>0</v>
      </c>
      <c r="U18" s="56"/>
      <c r="V18" s="56">
        <v>1100</v>
      </c>
      <c r="W18" s="56"/>
      <c r="X18" s="56">
        <v>316.98</v>
      </c>
      <c r="Y18" s="56"/>
      <c r="Z18" s="56">
        <v>1000</v>
      </c>
      <c r="AA18" s="56"/>
      <c r="AB18" s="56">
        <v>0</v>
      </c>
      <c r="AC18" s="56"/>
      <c r="AD18" s="56"/>
      <c r="AE18" s="56"/>
      <c r="AF18" s="56">
        <f t="shared" si="0"/>
        <v>1000</v>
      </c>
      <c r="AG18" s="56">
        <v>0</v>
      </c>
      <c r="AH18" s="56">
        <v>0</v>
      </c>
      <c r="AI18" s="56"/>
      <c r="AJ18" s="56">
        <f t="shared" si="1"/>
        <v>1000</v>
      </c>
      <c r="AK18" s="85"/>
      <c r="AL18" s="56">
        <v>0</v>
      </c>
      <c r="AM18" s="56"/>
      <c r="AN18" s="88">
        <f t="shared" si="2"/>
        <v>1000</v>
      </c>
      <c r="AO18" s="88">
        <v>0</v>
      </c>
      <c r="AP18" s="88">
        <v>175</v>
      </c>
      <c r="AQ18" s="56"/>
      <c r="AR18" s="56">
        <v>0</v>
      </c>
      <c r="AS18" s="56"/>
      <c r="AT18" s="56">
        <v>0</v>
      </c>
      <c r="AU18" s="56"/>
      <c r="AV18" s="56">
        <f t="shared" si="3"/>
        <v>175</v>
      </c>
      <c r="AW18" s="56"/>
      <c r="AX18" s="56">
        <v>0</v>
      </c>
      <c r="AY18" s="56"/>
      <c r="AZ18" s="88">
        <v>1000</v>
      </c>
      <c r="BA18" s="56">
        <v>1000</v>
      </c>
      <c r="BB18" s="214"/>
      <c r="BC18" s="56"/>
      <c r="BD18" s="84">
        <f t="shared" si="4"/>
        <v>-825</v>
      </c>
      <c r="BE18" s="56"/>
      <c r="BF18" s="56"/>
      <c r="BG18" s="56"/>
      <c r="BH18" s="72"/>
    </row>
    <row r="19" spans="1:62" ht="20.100000000000001" customHeight="1" outlineLevel="1">
      <c r="A19" s="77" t="s">
        <v>43</v>
      </c>
      <c r="B19" s="77" t="s">
        <v>898</v>
      </c>
      <c r="C19" s="77" t="s">
        <v>1100</v>
      </c>
      <c r="D19" s="78" t="s">
        <v>46</v>
      </c>
      <c r="E19" s="78" t="str">
        <f t="shared" si="5"/>
        <v>000</v>
      </c>
      <c r="F19" s="3">
        <v>661001</v>
      </c>
      <c r="G19" s="102" t="s">
        <v>73</v>
      </c>
      <c r="H19" s="87"/>
      <c r="I19" s="13">
        <v>8107</v>
      </c>
      <c r="J19" s="13">
        <v>4756</v>
      </c>
      <c r="L19" s="56">
        <v>2512</v>
      </c>
      <c r="M19" s="56"/>
      <c r="N19" s="56">
        <v>5800</v>
      </c>
      <c r="O19" s="56"/>
      <c r="P19" s="56">
        <v>8285</v>
      </c>
      <c r="Q19" s="56"/>
      <c r="R19" s="56">
        <v>8285</v>
      </c>
      <c r="S19" s="56"/>
      <c r="T19" s="56">
        <v>0</v>
      </c>
      <c r="U19" s="56"/>
      <c r="V19" s="56">
        <v>8285</v>
      </c>
      <c r="W19" s="56"/>
      <c r="X19" s="56">
        <v>5723.79</v>
      </c>
      <c r="Y19" s="56"/>
      <c r="Z19" s="56">
        <v>5200</v>
      </c>
      <c r="AA19" s="56"/>
      <c r="AB19" s="56">
        <v>0</v>
      </c>
      <c r="AC19" s="56"/>
      <c r="AD19" s="56"/>
      <c r="AE19" s="56"/>
      <c r="AF19" s="56">
        <f t="shared" si="0"/>
        <v>5200</v>
      </c>
      <c r="AG19" s="56">
        <v>0</v>
      </c>
      <c r="AH19" s="56">
        <v>0</v>
      </c>
      <c r="AI19" s="56"/>
      <c r="AJ19" s="56">
        <f t="shared" si="1"/>
        <v>5200</v>
      </c>
      <c r="AK19" s="85"/>
      <c r="AL19" s="56">
        <v>0</v>
      </c>
      <c r="AM19" s="56"/>
      <c r="AN19" s="88">
        <f t="shared" si="2"/>
        <v>5200</v>
      </c>
      <c r="AO19" s="88">
        <v>0</v>
      </c>
      <c r="AP19" s="88">
        <v>2734.35</v>
      </c>
      <c r="AQ19" s="56"/>
      <c r="AR19" s="56">
        <v>-200</v>
      </c>
      <c r="AS19" s="56"/>
      <c r="AT19" s="56">
        <v>0</v>
      </c>
      <c r="AU19" s="56"/>
      <c r="AV19" s="56">
        <f t="shared" si="3"/>
        <v>2534.35</v>
      </c>
      <c r="AW19" s="56"/>
      <c r="AX19" s="56">
        <v>0</v>
      </c>
      <c r="AY19" s="56"/>
      <c r="AZ19" s="88">
        <v>3570</v>
      </c>
      <c r="BA19" s="56">
        <v>3570</v>
      </c>
      <c r="BB19" s="214"/>
      <c r="BC19" s="56"/>
      <c r="BD19" s="84">
        <f t="shared" si="4"/>
        <v>-2465.65</v>
      </c>
      <c r="BE19" s="56"/>
      <c r="BF19" s="56"/>
      <c r="BG19" s="56"/>
      <c r="BH19" s="72"/>
    </row>
    <row r="20" spans="1:62" ht="20.100000000000001" customHeight="1" outlineLevel="1">
      <c r="A20" s="77" t="s">
        <v>43</v>
      </c>
      <c r="B20" s="77" t="s">
        <v>898</v>
      </c>
      <c r="C20" s="77" t="s">
        <v>1100</v>
      </c>
      <c r="D20" s="78" t="s">
        <v>46</v>
      </c>
      <c r="E20" s="78" t="str">
        <f t="shared" si="5"/>
        <v>000</v>
      </c>
      <c r="F20" s="3">
        <v>673001</v>
      </c>
      <c r="G20" s="102" t="s">
        <v>57</v>
      </c>
      <c r="H20" s="87"/>
      <c r="I20" s="13"/>
      <c r="J20" s="13">
        <v>0</v>
      </c>
      <c r="L20" s="56">
        <v>0</v>
      </c>
      <c r="M20" s="56"/>
      <c r="N20" s="56">
        <v>0</v>
      </c>
      <c r="O20" s="56"/>
      <c r="P20" s="56">
        <v>5000</v>
      </c>
      <c r="Q20" s="56"/>
      <c r="R20" s="56">
        <v>5000</v>
      </c>
      <c r="S20" s="56"/>
      <c r="T20" s="56">
        <v>0</v>
      </c>
      <c r="U20" s="56"/>
      <c r="V20" s="56">
        <v>5000</v>
      </c>
      <c r="W20" s="56"/>
      <c r="X20" s="56">
        <v>3464</v>
      </c>
      <c r="Y20" s="56"/>
      <c r="Z20" s="56">
        <v>0</v>
      </c>
      <c r="AA20" s="56"/>
      <c r="AB20" s="56">
        <v>0</v>
      </c>
      <c r="AC20" s="56"/>
      <c r="AD20" s="56"/>
      <c r="AE20" s="56"/>
      <c r="AF20" s="56">
        <f t="shared" si="0"/>
        <v>0</v>
      </c>
      <c r="AG20" s="56">
        <v>0</v>
      </c>
      <c r="AH20" s="56">
        <v>0</v>
      </c>
      <c r="AI20" s="56"/>
      <c r="AJ20" s="56">
        <f t="shared" si="1"/>
        <v>0</v>
      </c>
      <c r="AK20" s="85"/>
      <c r="AL20" s="56">
        <v>0</v>
      </c>
      <c r="AM20" s="56"/>
      <c r="AN20" s="88">
        <f t="shared" si="2"/>
        <v>0</v>
      </c>
      <c r="AO20" s="88">
        <v>0</v>
      </c>
      <c r="AP20" s="88">
        <v>0</v>
      </c>
      <c r="AQ20" s="56"/>
      <c r="AR20" s="56">
        <v>0</v>
      </c>
      <c r="AS20" s="56"/>
      <c r="AT20" s="56">
        <v>0</v>
      </c>
      <c r="AU20" s="56"/>
      <c r="AV20" s="56">
        <f t="shared" si="3"/>
        <v>0</v>
      </c>
      <c r="AW20" s="56"/>
      <c r="AX20" s="56">
        <v>0</v>
      </c>
      <c r="AY20" s="56"/>
      <c r="AZ20" s="88">
        <v>0</v>
      </c>
      <c r="BA20" s="56">
        <v>0</v>
      </c>
      <c r="BB20" s="214"/>
      <c r="BC20" s="56"/>
      <c r="BD20" s="84">
        <f t="shared" si="4"/>
        <v>0</v>
      </c>
      <c r="BE20" s="56"/>
      <c r="BF20" s="56"/>
      <c r="BG20" s="56"/>
      <c r="BH20" s="72"/>
    </row>
    <row r="21" spans="1:62" ht="20.100000000000001" customHeight="1" outlineLevel="1">
      <c r="A21" s="77" t="s">
        <v>43</v>
      </c>
      <c r="B21" s="77" t="s">
        <v>898</v>
      </c>
      <c r="C21" s="77" t="s">
        <v>1100</v>
      </c>
      <c r="D21" s="78" t="s">
        <v>46</v>
      </c>
      <c r="E21" s="78" t="str">
        <f t="shared" si="5"/>
        <v>000</v>
      </c>
      <c r="F21" s="3">
        <v>689011</v>
      </c>
      <c r="G21" s="102" t="s">
        <v>198</v>
      </c>
      <c r="H21" s="87"/>
      <c r="I21" s="13"/>
      <c r="J21" s="13"/>
      <c r="L21" s="56"/>
      <c r="M21" s="56"/>
      <c r="N21" s="56"/>
      <c r="O21" s="56"/>
      <c r="P21" s="56"/>
      <c r="Q21" s="56"/>
      <c r="R21" s="56"/>
      <c r="S21" s="56"/>
      <c r="T21" s="56"/>
      <c r="U21" s="56"/>
      <c r="V21" s="56"/>
      <c r="W21" s="56"/>
      <c r="X21" s="56">
        <v>690</v>
      </c>
      <c r="Y21" s="56"/>
      <c r="Z21" s="56">
        <v>0</v>
      </c>
      <c r="AA21" s="56"/>
      <c r="AB21" s="56"/>
      <c r="AC21" s="56"/>
      <c r="AD21" s="56"/>
      <c r="AE21" s="56"/>
      <c r="AF21" s="56">
        <f t="shared" si="0"/>
        <v>0</v>
      </c>
      <c r="AG21" s="56">
        <v>0</v>
      </c>
      <c r="AH21" s="56">
        <v>0</v>
      </c>
      <c r="AI21" s="56"/>
      <c r="AJ21" s="56">
        <f t="shared" si="1"/>
        <v>0</v>
      </c>
      <c r="AK21" s="85"/>
      <c r="AL21" s="56">
        <v>0</v>
      </c>
      <c r="AM21" s="56"/>
      <c r="AN21" s="88">
        <f t="shared" si="2"/>
        <v>0</v>
      </c>
      <c r="AO21" s="88">
        <v>0</v>
      </c>
      <c r="AP21" s="88">
        <v>0</v>
      </c>
      <c r="AQ21" s="56"/>
      <c r="AR21" s="56">
        <v>0</v>
      </c>
      <c r="AS21" s="56"/>
      <c r="AT21" s="56">
        <v>0</v>
      </c>
      <c r="AU21" s="56"/>
      <c r="AV21" s="56">
        <f t="shared" si="3"/>
        <v>0</v>
      </c>
      <c r="AW21" s="56"/>
      <c r="AX21" s="56">
        <v>0</v>
      </c>
      <c r="AY21" s="56"/>
      <c r="AZ21" s="88">
        <v>0</v>
      </c>
      <c r="BA21" s="56">
        <v>0</v>
      </c>
      <c r="BB21" s="214"/>
      <c r="BC21" s="56"/>
      <c r="BD21" s="84">
        <f t="shared" si="4"/>
        <v>0</v>
      </c>
      <c r="BE21" s="56"/>
      <c r="BF21" s="56"/>
      <c r="BG21" s="56"/>
      <c r="BH21" s="72"/>
    </row>
    <row r="22" spans="1:62" ht="20.100000000000001" customHeight="1" outlineLevel="1">
      <c r="A22" s="77"/>
      <c r="B22" s="77"/>
      <c r="C22" s="77"/>
      <c r="D22" s="78"/>
      <c r="E22" s="78"/>
      <c r="F22" s="3"/>
      <c r="G22" s="233" t="s">
        <v>1101</v>
      </c>
      <c r="H22" s="87"/>
      <c r="I22" s="13"/>
      <c r="J22" s="13"/>
      <c r="L22" s="232">
        <f>SUBTOTAL(9,L11:L21)</f>
        <v>326944</v>
      </c>
      <c r="M22" s="56"/>
      <c r="N22" s="56"/>
      <c r="O22" s="56"/>
      <c r="P22" s="56"/>
      <c r="Q22" s="56"/>
      <c r="R22" s="56"/>
      <c r="S22" s="56"/>
      <c r="T22" s="56"/>
      <c r="U22" s="56"/>
      <c r="V22" s="56"/>
      <c r="W22" s="56"/>
      <c r="X22" s="232">
        <f>SUBTOTAL(9,X11:X21)</f>
        <v>333925.75999999995</v>
      </c>
      <c r="Y22" s="56"/>
      <c r="Z22" s="56"/>
      <c r="AA22" s="56"/>
      <c r="AB22" s="56"/>
      <c r="AC22" s="56"/>
      <c r="AD22" s="56"/>
      <c r="AE22" s="56"/>
      <c r="AF22" s="56"/>
      <c r="AG22" s="56"/>
      <c r="AH22" s="56"/>
      <c r="AI22" s="56"/>
      <c r="AJ22" s="56"/>
      <c r="AK22" s="85"/>
      <c r="AL22" s="56"/>
      <c r="AM22" s="56"/>
      <c r="AN22" s="232">
        <f>SUBTOTAL(9,AN11:AN21)</f>
        <v>364620</v>
      </c>
      <c r="AO22" s="88"/>
      <c r="AP22" s="232">
        <f>SUBTOTAL(9,AP11:AP21)</f>
        <v>341146.33999999997</v>
      </c>
      <c r="AQ22" s="56"/>
      <c r="AR22" s="56"/>
      <c r="AS22" s="56"/>
      <c r="AT22" s="56"/>
      <c r="AU22" s="56"/>
      <c r="AV22" s="56"/>
      <c r="AW22" s="56"/>
      <c r="AX22" s="56"/>
      <c r="AY22" s="56"/>
      <c r="AZ22" s="232">
        <f>SUBTOTAL(9,AZ11:AZ21)</f>
        <v>349457</v>
      </c>
      <c r="BA22" s="232">
        <f>SUBTOTAL(9,BA11:BA21)</f>
        <v>349327</v>
      </c>
      <c r="BB22" s="214"/>
      <c r="BC22" s="56"/>
      <c r="BD22" s="84"/>
      <c r="BE22" s="56"/>
      <c r="BF22" s="56"/>
      <c r="BG22" s="56"/>
      <c r="BH22" s="72"/>
    </row>
    <row r="23" spans="1:62" ht="20.100000000000001" customHeight="1" outlineLevel="1">
      <c r="A23" s="77" t="s">
        <v>43</v>
      </c>
      <c r="B23" s="77" t="s">
        <v>902</v>
      </c>
      <c r="C23" s="77" t="s">
        <v>1100</v>
      </c>
      <c r="D23" s="78" t="s">
        <v>46</v>
      </c>
      <c r="E23" s="78" t="str">
        <f t="shared" si="5"/>
        <v>000</v>
      </c>
      <c r="F23" s="3">
        <v>611411</v>
      </c>
      <c r="G23" s="102" t="s">
        <v>903</v>
      </c>
      <c r="H23" s="87"/>
      <c r="I23" s="13">
        <v>45575</v>
      </c>
      <c r="J23" s="13">
        <v>44755</v>
      </c>
      <c r="L23" s="56">
        <v>50849</v>
      </c>
      <c r="M23" s="56"/>
      <c r="N23" s="56">
        <v>50739</v>
      </c>
      <c r="O23" s="56"/>
      <c r="P23" s="56">
        <v>50739</v>
      </c>
      <c r="Q23" s="56"/>
      <c r="R23" s="56">
        <v>49900</v>
      </c>
      <c r="S23" s="56"/>
      <c r="T23" s="56">
        <v>0</v>
      </c>
      <c r="U23" s="56"/>
      <c r="V23" s="56">
        <v>49900</v>
      </c>
      <c r="W23" s="56"/>
      <c r="X23" s="56">
        <v>45823.22</v>
      </c>
      <c r="Y23" s="56"/>
      <c r="Z23" s="56">
        <v>42765</v>
      </c>
      <c r="AA23" s="56"/>
      <c r="AB23" s="56">
        <v>0</v>
      </c>
      <c r="AC23" s="56"/>
      <c r="AD23" s="56"/>
      <c r="AE23" s="56"/>
      <c r="AF23" s="56">
        <f t="shared" si="0"/>
        <v>42765</v>
      </c>
      <c r="AG23" s="56">
        <v>0</v>
      </c>
      <c r="AH23" s="56">
        <v>2250</v>
      </c>
      <c r="AI23" s="56"/>
      <c r="AJ23" s="56">
        <f t="shared" si="1"/>
        <v>45015</v>
      </c>
      <c r="AK23" s="85"/>
      <c r="AL23" s="56">
        <v>0</v>
      </c>
      <c r="AM23" s="56"/>
      <c r="AN23" s="88">
        <f t="shared" si="2"/>
        <v>45015</v>
      </c>
      <c r="AO23" s="88">
        <v>0</v>
      </c>
      <c r="AP23" s="88">
        <v>48423</v>
      </c>
      <c r="AQ23" s="56"/>
      <c r="AR23" s="56">
        <v>0</v>
      </c>
      <c r="AS23" s="56"/>
      <c r="AT23" s="56">
        <v>0</v>
      </c>
      <c r="AU23" s="56"/>
      <c r="AV23" s="56">
        <f t="shared" si="3"/>
        <v>48423</v>
      </c>
      <c r="AW23" s="56"/>
      <c r="AX23" s="56">
        <v>0</v>
      </c>
      <c r="AY23" s="56"/>
      <c r="AZ23" s="88">
        <v>48423</v>
      </c>
      <c r="BA23" s="56">
        <v>49213</v>
      </c>
      <c r="BB23" s="214"/>
      <c r="BC23" s="56"/>
      <c r="BD23" s="84">
        <f t="shared" si="4"/>
        <v>3408</v>
      </c>
      <c r="BE23" s="56"/>
      <c r="BF23" s="56"/>
      <c r="BG23" s="56"/>
      <c r="BH23" s="72">
        <v>1</v>
      </c>
      <c r="BJ23">
        <v>1</v>
      </c>
    </row>
    <row r="24" spans="1:62" ht="20.100000000000001" customHeight="1" outlineLevel="1">
      <c r="A24" s="77" t="s">
        <v>43</v>
      </c>
      <c r="B24" s="77" t="s">
        <v>902</v>
      </c>
      <c r="C24" s="77" t="s">
        <v>1100</v>
      </c>
      <c r="D24" s="78" t="s">
        <v>46</v>
      </c>
      <c r="E24" s="78" t="str">
        <f t="shared" si="5"/>
        <v>000</v>
      </c>
      <c r="F24" s="3">
        <v>611941</v>
      </c>
      <c r="G24" s="102" t="s">
        <v>904</v>
      </c>
      <c r="H24" s="87"/>
      <c r="I24" s="13">
        <v>83918</v>
      </c>
      <c r="J24" s="13">
        <v>87600</v>
      </c>
      <c r="L24" s="56">
        <v>97838</v>
      </c>
      <c r="M24" s="56"/>
      <c r="N24" s="56">
        <v>102645</v>
      </c>
      <c r="O24" s="56"/>
      <c r="P24" s="56">
        <v>102645</v>
      </c>
      <c r="Q24" s="56"/>
      <c r="R24" s="56">
        <v>107795</v>
      </c>
      <c r="S24" s="56"/>
      <c r="T24" s="56">
        <v>0</v>
      </c>
      <c r="U24" s="56"/>
      <c r="V24" s="56">
        <v>107795</v>
      </c>
      <c r="W24" s="56"/>
      <c r="X24" s="56">
        <v>108733.61</v>
      </c>
      <c r="Y24" s="56"/>
      <c r="Z24" s="56">
        <v>105667</v>
      </c>
      <c r="AA24" s="56"/>
      <c r="AB24" s="56">
        <v>0</v>
      </c>
      <c r="AC24" s="56"/>
      <c r="AD24" s="56"/>
      <c r="AE24" s="56"/>
      <c r="AF24" s="56">
        <f t="shared" si="0"/>
        <v>105667</v>
      </c>
      <c r="AG24" s="56">
        <v>0</v>
      </c>
      <c r="AH24" s="56">
        <v>4500</v>
      </c>
      <c r="AI24" s="56"/>
      <c r="AJ24" s="56">
        <f t="shared" si="1"/>
        <v>110167</v>
      </c>
      <c r="AK24" s="85"/>
      <c r="AL24" s="56">
        <v>0</v>
      </c>
      <c r="AM24" s="56"/>
      <c r="AN24" s="88">
        <f t="shared" si="2"/>
        <v>110167</v>
      </c>
      <c r="AO24" s="88">
        <v>0</v>
      </c>
      <c r="AP24" s="88">
        <v>107066.96</v>
      </c>
      <c r="AQ24" s="56"/>
      <c r="AR24" s="56">
        <v>0</v>
      </c>
      <c r="AS24" s="56"/>
      <c r="AT24" s="56">
        <v>0</v>
      </c>
      <c r="AU24" s="56"/>
      <c r="AV24" s="56">
        <f t="shared" si="3"/>
        <v>107066.96</v>
      </c>
      <c r="AW24" s="56"/>
      <c r="AX24" s="56">
        <v>0</v>
      </c>
      <c r="AY24" s="56"/>
      <c r="AZ24" s="88">
        <v>107067</v>
      </c>
      <c r="BA24" s="56">
        <v>108493</v>
      </c>
      <c r="BB24" s="214"/>
      <c r="BC24" s="56"/>
      <c r="BD24" s="84">
        <f t="shared" si="4"/>
        <v>-3100.0399999999936</v>
      </c>
      <c r="BE24" s="56"/>
      <c r="BF24" s="56"/>
      <c r="BG24" s="56"/>
      <c r="BH24" s="72">
        <v>1</v>
      </c>
      <c r="BJ24">
        <v>1</v>
      </c>
    </row>
    <row r="25" spans="1:62" ht="20.100000000000001" customHeight="1" outlineLevel="1">
      <c r="A25" s="77" t="s">
        <v>43</v>
      </c>
      <c r="B25" s="77" t="s">
        <v>902</v>
      </c>
      <c r="C25" s="77" t="s">
        <v>1100</v>
      </c>
      <c r="D25" s="78" t="s">
        <v>46</v>
      </c>
      <c r="E25" s="78" t="str">
        <f t="shared" si="5"/>
        <v>000</v>
      </c>
      <c r="F25" s="3">
        <v>634012</v>
      </c>
      <c r="G25" s="102" t="s">
        <v>905</v>
      </c>
      <c r="H25" s="87"/>
      <c r="I25" s="13">
        <v>3495</v>
      </c>
      <c r="J25" s="13">
        <v>14035</v>
      </c>
      <c r="L25" s="56">
        <v>22960</v>
      </c>
      <c r="M25" s="56"/>
      <c r="N25" s="56">
        <v>15000</v>
      </c>
      <c r="O25" s="56"/>
      <c r="P25" s="56">
        <v>15000</v>
      </c>
      <c r="Q25" s="56"/>
      <c r="R25" s="56">
        <v>15000</v>
      </c>
      <c r="S25" s="56"/>
      <c r="T25" s="56">
        <v>0</v>
      </c>
      <c r="U25" s="56"/>
      <c r="V25" s="56">
        <v>15000</v>
      </c>
      <c r="W25" s="56"/>
      <c r="X25" s="56">
        <v>284.29000000000002</v>
      </c>
      <c r="Y25" s="56"/>
      <c r="Z25" s="56">
        <v>45000</v>
      </c>
      <c r="AA25" s="56"/>
      <c r="AB25" s="56">
        <v>0</v>
      </c>
      <c r="AC25" s="56"/>
      <c r="AD25" s="56"/>
      <c r="AE25" s="56"/>
      <c r="AF25" s="56">
        <f t="shared" si="0"/>
        <v>45000</v>
      </c>
      <c r="AG25" s="56">
        <v>0</v>
      </c>
      <c r="AH25" s="56">
        <v>0</v>
      </c>
      <c r="AI25" s="56"/>
      <c r="AJ25" s="56">
        <f t="shared" si="1"/>
        <v>45000</v>
      </c>
      <c r="AK25" s="85"/>
      <c r="AL25" s="56">
        <v>26000</v>
      </c>
      <c r="AM25" s="56"/>
      <c r="AN25" s="88">
        <f t="shared" si="2"/>
        <v>71000</v>
      </c>
      <c r="AO25" s="88">
        <v>0</v>
      </c>
      <c r="AP25" s="88">
        <v>0</v>
      </c>
      <c r="AQ25" s="56"/>
      <c r="AR25" s="56">
        <v>0</v>
      </c>
      <c r="AS25" s="56"/>
      <c r="AT25" s="56">
        <v>0</v>
      </c>
      <c r="AU25" s="56"/>
      <c r="AV25" s="56">
        <f t="shared" si="3"/>
        <v>0</v>
      </c>
      <c r="AW25" s="56"/>
      <c r="AX25" s="56">
        <v>0</v>
      </c>
      <c r="AY25" s="56"/>
      <c r="AZ25" s="88">
        <v>50000</v>
      </c>
      <c r="BA25" s="56">
        <v>50000</v>
      </c>
      <c r="BB25" s="214"/>
      <c r="BC25" s="56"/>
      <c r="BD25" s="84">
        <f t="shared" si="4"/>
        <v>-71000</v>
      </c>
      <c r="BE25" s="56"/>
      <c r="BF25" s="56"/>
      <c r="BG25" s="56"/>
      <c r="BH25" s="72"/>
    </row>
    <row r="26" spans="1:62" ht="20.100000000000001" customHeight="1" outlineLevel="1">
      <c r="A26" s="77" t="s">
        <v>43</v>
      </c>
      <c r="B26" s="77" t="s">
        <v>902</v>
      </c>
      <c r="C26" s="77" t="s">
        <v>1100</v>
      </c>
      <c r="D26" s="78" t="s">
        <v>46</v>
      </c>
      <c r="E26" s="78" t="str">
        <f t="shared" si="5"/>
        <v>000</v>
      </c>
      <c r="F26" s="3">
        <v>643012</v>
      </c>
      <c r="G26" s="102" t="s">
        <v>906</v>
      </c>
      <c r="H26" s="87"/>
      <c r="I26" s="13"/>
      <c r="J26" s="13">
        <v>4995</v>
      </c>
      <c r="L26" s="56">
        <v>0</v>
      </c>
      <c r="M26" s="56"/>
      <c r="N26" s="56">
        <v>0</v>
      </c>
      <c r="O26" s="56"/>
      <c r="P26" s="56">
        <v>0</v>
      </c>
      <c r="Q26" s="56"/>
      <c r="R26" s="56">
        <v>0</v>
      </c>
      <c r="S26" s="56"/>
      <c r="T26" s="56">
        <v>0</v>
      </c>
      <c r="U26" s="56"/>
      <c r="V26" s="56">
        <v>0</v>
      </c>
      <c r="W26" s="56"/>
      <c r="X26" s="56">
        <v>61428.800000000003</v>
      </c>
      <c r="Y26" s="56"/>
      <c r="Z26" s="56">
        <v>0</v>
      </c>
      <c r="AA26" s="56"/>
      <c r="AB26" s="56">
        <v>0</v>
      </c>
      <c r="AC26" s="56"/>
      <c r="AD26" s="56"/>
      <c r="AE26" s="56"/>
      <c r="AF26" s="56">
        <f t="shared" si="0"/>
        <v>0</v>
      </c>
      <c r="AG26" s="56">
        <v>0</v>
      </c>
      <c r="AH26" s="56">
        <v>0</v>
      </c>
      <c r="AI26" s="56"/>
      <c r="AJ26" s="56">
        <f t="shared" si="1"/>
        <v>0</v>
      </c>
      <c r="AK26" s="85"/>
      <c r="AL26" s="56">
        <v>0</v>
      </c>
      <c r="AM26" s="56"/>
      <c r="AN26" s="88">
        <f t="shared" si="2"/>
        <v>0</v>
      </c>
      <c r="AO26" s="88">
        <v>0</v>
      </c>
      <c r="AP26" s="88">
        <v>54254.7</v>
      </c>
      <c r="AQ26" s="56"/>
      <c r="AR26" s="56">
        <v>0</v>
      </c>
      <c r="AS26" s="56"/>
      <c r="AT26" s="56">
        <v>0</v>
      </c>
      <c r="AU26" s="56"/>
      <c r="AV26" s="56">
        <f t="shared" si="3"/>
        <v>54254.7</v>
      </c>
      <c r="AW26" s="56"/>
      <c r="AX26" s="56">
        <v>0</v>
      </c>
      <c r="AY26" s="56"/>
      <c r="AZ26" s="88">
        <v>0</v>
      </c>
      <c r="BA26" s="56">
        <v>0</v>
      </c>
      <c r="BB26" s="214"/>
      <c r="BC26" s="56"/>
      <c r="BD26" s="84">
        <f t="shared" si="4"/>
        <v>54254.7</v>
      </c>
      <c r="BE26" s="56"/>
      <c r="BF26" s="56"/>
      <c r="BG26" s="56"/>
      <c r="BH26" s="72"/>
    </row>
    <row r="27" spans="1:62" ht="20.100000000000001" customHeight="1" outlineLevel="1">
      <c r="A27" s="77" t="s">
        <v>43</v>
      </c>
      <c r="B27" s="77" t="s">
        <v>902</v>
      </c>
      <c r="C27" s="77" t="s">
        <v>1100</v>
      </c>
      <c r="D27" s="78" t="s">
        <v>46</v>
      </c>
      <c r="E27" s="78" t="str">
        <f t="shared" si="5"/>
        <v>000</v>
      </c>
      <c r="F27" s="3">
        <v>644212</v>
      </c>
      <c r="G27" s="102" t="s">
        <v>907</v>
      </c>
      <c r="H27" s="87"/>
      <c r="I27" s="13">
        <v>0</v>
      </c>
      <c r="J27" s="13">
        <v>3405</v>
      </c>
      <c r="L27" s="56">
        <v>3709</v>
      </c>
      <c r="M27" s="56"/>
      <c r="N27" s="56">
        <v>3800</v>
      </c>
      <c r="O27" s="56"/>
      <c r="P27" s="56">
        <v>3800</v>
      </c>
      <c r="Q27" s="56"/>
      <c r="R27" s="56">
        <v>3800</v>
      </c>
      <c r="S27" s="56"/>
      <c r="T27" s="56">
        <v>0</v>
      </c>
      <c r="U27" s="56"/>
      <c r="V27" s="56">
        <v>3800</v>
      </c>
      <c r="W27" s="56"/>
      <c r="X27" s="56">
        <v>3651.7</v>
      </c>
      <c r="Y27" s="56"/>
      <c r="Z27" s="56">
        <v>3800</v>
      </c>
      <c r="AA27" s="56"/>
      <c r="AB27" s="56">
        <v>0</v>
      </c>
      <c r="AC27" s="56"/>
      <c r="AD27" s="56"/>
      <c r="AE27" s="56"/>
      <c r="AF27" s="56">
        <f t="shared" si="0"/>
        <v>3800</v>
      </c>
      <c r="AG27" s="56">
        <v>0</v>
      </c>
      <c r="AH27" s="56">
        <v>0</v>
      </c>
      <c r="AI27" s="56"/>
      <c r="AJ27" s="56">
        <f t="shared" si="1"/>
        <v>3800</v>
      </c>
      <c r="AK27" s="85"/>
      <c r="AL27" s="56">
        <v>0</v>
      </c>
      <c r="AM27" s="56"/>
      <c r="AN27" s="88">
        <f t="shared" si="2"/>
        <v>3800</v>
      </c>
      <c r="AO27" s="88">
        <v>0</v>
      </c>
      <c r="AP27" s="88">
        <v>2070.59</v>
      </c>
      <c r="AQ27" s="56"/>
      <c r="AR27" s="56">
        <v>0</v>
      </c>
      <c r="AS27" s="56"/>
      <c r="AT27" s="56">
        <v>0</v>
      </c>
      <c r="AU27" s="56"/>
      <c r="AV27" s="56">
        <f t="shared" si="3"/>
        <v>2070.59</v>
      </c>
      <c r="AW27" s="56"/>
      <c r="AX27" s="56">
        <v>0</v>
      </c>
      <c r="AY27" s="56"/>
      <c r="AZ27" s="88">
        <v>3800</v>
      </c>
      <c r="BA27" s="56">
        <v>3800</v>
      </c>
      <c r="BB27" s="214"/>
      <c r="BC27" s="56"/>
      <c r="BD27" s="84">
        <f t="shared" si="4"/>
        <v>-1729.4099999999999</v>
      </c>
      <c r="BE27" s="56"/>
      <c r="BF27" s="56"/>
      <c r="BG27" s="56"/>
      <c r="BH27" s="72"/>
    </row>
    <row r="28" spans="1:62" ht="20.100000000000001" customHeight="1" outlineLevel="1">
      <c r="A28" s="77" t="s">
        <v>43</v>
      </c>
      <c r="B28" s="77" t="s">
        <v>902</v>
      </c>
      <c r="C28" s="77" t="s">
        <v>1100</v>
      </c>
      <c r="D28" s="78" t="s">
        <v>46</v>
      </c>
      <c r="E28" s="78" t="str">
        <f t="shared" si="5"/>
        <v>000</v>
      </c>
      <c r="F28" s="3">
        <v>653051</v>
      </c>
      <c r="G28" s="102" t="s">
        <v>901</v>
      </c>
      <c r="H28" s="87"/>
      <c r="I28" s="13">
        <v>0</v>
      </c>
      <c r="J28" s="13">
        <v>352</v>
      </c>
      <c r="L28" s="56">
        <v>1675</v>
      </c>
      <c r="M28" s="56"/>
      <c r="N28" s="56">
        <v>5500</v>
      </c>
      <c r="O28" s="56"/>
      <c r="P28" s="56">
        <v>5500</v>
      </c>
      <c r="Q28" s="56"/>
      <c r="R28" s="56">
        <v>5500</v>
      </c>
      <c r="S28" s="56"/>
      <c r="T28" s="56">
        <v>0</v>
      </c>
      <c r="U28" s="56"/>
      <c r="V28" s="56">
        <v>5500</v>
      </c>
      <c r="W28" s="56"/>
      <c r="X28" s="56">
        <v>1703.45</v>
      </c>
      <c r="Y28" s="56"/>
      <c r="Z28" s="56">
        <v>1000</v>
      </c>
      <c r="AA28" s="56"/>
      <c r="AB28" s="56">
        <v>0</v>
      </c>
      <c r="AC28" s="56"/>
      <c r="AD28" s="56"/>
      <c r="AE28" s="56"/>
      <c r="AF28" s="56">
        <f t="shared" si="0"/>
        <v>1000</v>
      </c>
      <c r="AG28" s="56">
        <v>0</v>
      </c>
      <c r="AH28" s="56">
        <v>0</v>
      </c>
      <c r="AI28" s="56"/>
      <c r="AJ28" s="56">
        <f t="shared" si="1"/>
        <v>1000</v>
      </c>
      <c r="AK28" s="85"/>
      <c r="AL28" s="56">
        <v>475</v>
      </c>
      <c r="AM28" s="56"/>
      <c r="AN28" s="88">
        <f t="shared" si="2"/>
        <v>1475</v>
      </c>
      <c r="AO28" s="88">
        <v>0</v>
      </c>
      <c r="AP28" s="88">
        <v>778.72</v>
      </c>
      <c r="AQ28" s="56"/>
      <c r="AR28" s="56">
        <v>0</v>
      </c>
      <c r="AS28" s="56"/>
      <c r="AT28" s="56">
        <v>0</v>
      </c>
      <c r="AU28" s="56"/>
      <c r="AV28" s="56">
        <f t="shared" si="3"/>
        <v>778.72</v>
      </c>
      <c r="AW28" s="56"/>
      <c r="AX28" s="56">
        <v>0</v>
      </c>
      <c r="AY28" s="56"/>
      <c r="AZ28" s="88">
        <v>1500</v>
      </c>
      <c r="BA28" s="56">
        <v>1500</v>
      </c>
      <c r="BB28" s="214"/>
      <c r="BC28" s="56"/>
      <c r="BD28" s="84">
        <f t="shared" si="4"/>
        <v>-696.28</v>
      </c>
      <c r="BE28" s="56"/>
      <c r="BF28" s="56"/>
      <c r="BG28" s="56"/>
      <c r="BH28" s="72"/>
    </row>
    <row r="29" spans="1:62" ht="20.100000000000001" customHeight="1" outlineLevel="1">
      <c r="A29" s="77" t="s">
        <v>43</v>
      </c>
      <c r="B29" s="77" t="s">
        <v>902</v>
      </c>
      <c r="C29" s="77" t="s">
        <v>1100</v>
      </c>
      <c r="D29" s="78" t="s">
        <v>46</v>
      </c>
      <c r="E29" s="78" t="str">
        <f t="shared" si="5"/>
        <v>000</v>
      </c>
      <c r="F29" s="3">
        <v>658211</v>
      </c>
      <c r="G29" s="102" t="s">
        <v>72</v>
      </c>
      <c r="H29" s="87"/>
      <c r="I29" s="13">
        <v>0</v>
      </c>
      <c r="J29" s="13">
        <v>1576</v>
      </c>
      <c r="L29" s="56">
        <v>2139</v>
      </c>
      <c r="M29" s="56"/>
      <c r="N29" s="56">
        <v>3500</v>
      </c>
      <c r="O29" s="56"/>
      <c r="P29" s="56">
        <v>3500</v>
      </c>
      <c r="Q29" s="56"/>
      <c r="R29" s="56">
        <v>3500</v>
      </c>
      <c r="S29" s="56"/>
      <c r="T29" s="56">
        <v>0</v>
      </c>
      <c r="U29" s="56"/>
      <c r="V29" s="56">
        <v>3500</v>
      </c>
      <c r="W29" s="56"/>
      <c r="X29" s="56">
        <v>1975.25</v>
      </c>
      <c r="Y29" s="56"/>
      <c r="Z29" s="56">
        <v>3500</v>
      </c>
      <c r="AA29" s="56"/>
      <c r="AB29" s="56">
        <v>0</v>
      </c>
      <c r="AC29" s="56"/>
      <c r="AD29" s="56"/>
      <c r="AE29" s="56"/>
      <c r="AF29" s="56">
        <f t="shared" si="0"/>
        <v>3500</v>
      </c>
      <c r="AG29" s="56">
        <v>0</v>
      </c>
      <c r="AH29" s="56">
        <v>0</v>
      </c>
      <c r="AI29" s="56"/>
      <c r="AJ29" s="56">
        <f t="shared" si="1"/>
        <v>3500</v>
      </c>
      <c r="AK29" s="85"/>
      <c r="AL29" s="56">
        <v>0</v>
      </c>
      <c r="AM29" s="56"/>
      <c r="AN29" s="88">
        <f t="shared" si="2"/>
        <v>3500</v>
      </c>
      <c r="AO29" s="88">
        <v>0</v>
      </c>
      <c r="AP29" s="88">
        <v>2782.14</v>
      </c>
      <c r="AQ29" s="56"/>
      <c r="AR29" s="56">
        <v>0</v>
      </c>
      <c r="AS29" s="56"/>
      <c r="AT29" s="56">
        <v>0</v>
      </c>
      <c r="AU29" s="56"/>
      <c r="AV29" s="56">
        <f t="shared" si="3"/>
        <v>2782.14</v>
      </c>
      <c r="AW29" s="56"/>
      <c r="AX29" s="56">
        <v>0</v>
      </c>
      <c r="AY29" s="56"/>
      <c r="AZ29" s="88">
        <v>1000</v>
      </c>
      <c r="BA29" s="56">
        <v>1000</v>
      </c>
      <c r="BB29" s="214"/>
      <c r="BC29" s="56"/>
      <c r="BD29" s="84">
        <f t="shared" si="4"/>
        <v>-717.86000000000013</v>
      </c>
      <c r="BE29" s="56"/>
      <c r="BF29" s="56"/>
      <c r="BG29" s="56"/>
      <c r="BH29" s="72"/>
    </row>
    <row r="30" spans="1:62" ht="20.100000000000001" customHeight="1" outlineLevel="1">
      <c r="A30" s="77" t="s">
        <v>43</v>
      </c>
      <c r="B30" s="77" t="s">
        <v>902</v>
      </c>
      <c r="C30" s="77" t="s">
        <v>1100</v>
      </c>
      <c r="D30" s="78" t="s">
        <v>46</v>
      </c>
      <c r="E30" s="78" t="str">
        <f t="shared" si="5"/>
        <v>000</v>
      </c>
      <c r="F30" s="3">
        <v>661001</v>
      </c>
      <c r="G30" s="102" t="s">
        <v>908</v>
      </c>
      <c r="H30" s="87"/>
      <c r="I30" s="13">
        <v>0</v>
      </c>
      <c r="J30" s="13">
        <v>14952</v>
      </c>
      <c r="L30" s="56">
        <v>17968</v>
      </c>
      <c r="M30" s="56"/>
      <c r="N30" s="56">
        <v>25000</v>
      </c>
      <c r="O30" s="56"/>
      <c r="P30" s="56">
        <v>26815</v>
      </c>
      <c r="Q30" s="56"/>
      <c r="R30" s="56">
        <v>26815</v>
      </c>
      <c r="S30" s="56"/>
      <c r="T30" s="56">
        <v>0</v>
      </c>
      <c r="U30" s="56"/>
      <c r="V30" s="56">
        <v>26815</v>
      </c>
      <c r="W30" s="56"/>
      <c r="X30" s="56">
        <v>14512.64</v>
      </c>
      <c r="Y30" s="56"/>
      <c r="Z30" s="56">
        <v>25000</v>
      </c>
      <c r="AA30" s="56"/>
      <c r="AB30" s="56">
        <v>0</v>
      </c>
      <c r="AC30" s="56"/>
      <c r="AD30" s="56"/>
      <c r="AE30" s="56"/>
      <c r="AF30" s="56">
        <f t="shared" si="0"/>
        <v>25000</v>
      </c>
      <c r="AG30" s="56">
        <v>0</v>
      </c>
      <c r="AH30" s="56">
        <v>0</v>
      </c>
      <c r="AI30" s="56"/>
      <c r="AJ30" s="56">
        <f t="shared" si="1"/>
        <v>25000</v>
      </c>
      <c r="AK30" s="85"/>
      <c r="AL30" s="56">
        <v>9000</v>
      </c>
      <c r="AM30" s="56"/>
      <c r="AN30" s="88">
        <f t="shared" si="2"/>
        <v>34000</v>
      </c>
      <c r="AO30" s="88">
        <v>0</v>
      </c>
      <c r="AP30" s="88">
        <v>25866.78</v>
      </c>
      <c r="AQ30" s="56"/>
      <c r="AR30" s="56">
        <v>0</v>
      </c>
      <c r="AS30" s="56"/>
      <c r="AT30" s="56">
        <v>336</v>
      </c>
      <c r="AU30" s="56"/>
      <c r="AV30" s="56">
        <f t="shared" si="3"/>
        <v>26202.78</v>
      </c>
      <c r="AW30" s="56"/>
      <c r="AX30" s="56">
        <v>0</v>
      </c>
      <c r="AY30" s="56"/>
      <c r="AZ30" s="88">
        <v>7000</v>
      </c>
      <c r="BA30" s="56">
        <v>7000</v>
      </c>
      <c r="BB30" s="214"/>
      <c r="BC30" s="56"/>
      <c r="BD30" s="84">
        <f t="shared" si="4"/>
        <v>-8133.2200000000012</v>
      </c>
      <c r="BE30" s="56"/>
      <c r="BF30" s="56"/>
      <c r="BG30" s="56"/>
      <c r="BH30" s="72"/>
    </row>
    <row r="31" spans="1:62" ht="20.100000000000001" customHeight="1" outlineLevel="1">
      <c r="A31" s="77" t="s">
        <v>43</v>
      </c>
      <c r="B31" s="77" t="s">
        <v>902</v>
      </c>
      <c r="C31" s="77" t="s">
        <v>1100</v>
      </c>
      <c r="D31" s="78" t="s">
        <v>46</v>
      </c>
      <c r="E31" s="78" t="str">
        <f t="shared" si="5"/>
        <v>000</v>
      </c>
      <c r="F31" s="3">
        <v>673001</v>
      </c>
      <c r="G31" s="102" t="s">
        <v>57</v>
      </c>
      <c r="H31" s="87"/>
      <c r="I31" s="13">
        <v>0</v>
      </c>
      <c r="J31" s="13">
        <v>0</v>
      </c>
      <c r="L31" s="56">
        <v>21370</v>
      </c>
      <c r="M31" s="56"/>
      <c r="N31" s="56">
        <v>50000</v>
      </c>
      <c r="O31" s="56"/>
      <c r="P31" s="56">
        <v>50000</v>
      </c>
      <c r="Q31" s="56"/>
      <c r="R31" s="56">
        <v>50000</v>
      </c>
      <c r="S31" s="56"/>
      <c r="T31" s="56">
        <v>0</v>
      </c>
      <c r="U31" s="56"/>
      <c r="V31" s="56">
        <v>50000</v>
      </c>
      <c r="W31" s="56"/>
      <c r="X31" s="56">
        <v>21106.11</v>
      </c>
      <c r="Y31" s="56"/>
      <c r="Z31" s="56">
        <v>5000</v>
      </c>
      <c r="AA31" s="56"/>
      <c r="AB31" s="56">
        <v>0</v>
      </c>
      <c r="AC31" s="56"/>
      <c r="AD31" s="56"/>
      <c r="AE31" s="56"/>
      <c r="AF31" s="56">
        <f t="shared" si="0"/>
        <v>5000</v>
      </c>
      <c r="AG31" s="56">
        <v>0</v>
      </c>
      <c r="AH31" s="56">
        <v>0</v>
      </c>
      <c r="AI31" s="56"/>
      <c r="AJ31" s="56">
        <f t="shared" si="1"/>
        <v>5000</v>
      </c>
      <c r="AK31" s="85"/>
      <c r="AL31" s="56">
        <v>0</v>
      </c>
      <c r="AM31" s="56"/>
      <c r="AN31" s="88">
        <f t="shared" si="2"/>
        <v>5000</v>
      </c>
      <c r="AO31" s="88">
        <v>0</v>
      </c>
      <c r="AP31" s="88">
        <v>0</v>
      </c>
      <c r="AQ31" s="56"/>
      <c r="AR31" s="56">
        <v>0</v>
      </c>
      <c r="AS31" s="56"/>
      <c r="AT31" s="56">
        <v>0</v>
      </c>
      <c r="AU31" s="56"/>
      <c r="AV31" s="56">
        <f t="shared" si="3"/>
        <v>0</v>
      </c>
      <c r="AW31" s="56"/>
      <c r="AX31" s="56">
        <v>0</v>
      </c>
      <c r="AY31" s="56"/>
      <c r="AZ31" s="88">
        <v>0</v>
      </c>
      <c r="BA31" s="56">
        <v>0</v>
      </c>
      <c r="BB31" s="214"/>
      <c r="BC31" s="56"/>
      <c r="BD31" s="84">
        <f t="shared" si="4"/>
        <v>-5000</v>
      </c>
      <c r="BE31" s="56"/>
      <c r="BF31" s="56"/>
      <c r="BG31" s="56"/>
      <c r="BH31" s="72"/>
    </row>
    <row r="32" spans="1:62" ht="20.100000000000001" customHeight="1" outlineLevel="1">
      <c r="A32" s="77" t="s">
        <v>43</v>
      </c>
      <c r="B32" s="77" t="s">
        <v>902</v>
      </c>
      <c r="C32" s="77" t="s">
        <v>1100</v>
      </c>
      <c r="D32" s="78" t="s">
        <v>46</v>
      </c>
      <c r="E32" s="78" t="str">
        <f t="shared" si="5"/>
        <v>000</v>
      </c>
      <c r="F32" s="3">
        <v>689011</v>
      </c>
      <c r="G32" s="102" t="s">
        <v>198</v>
      </c>
      <c r="H32" s="87"/>
      <c r="I32" s="13">
        <v>0</v>
      </c>
      <c r="J32" s="13">
        <v>315</v>
      </c>
      <c r="L32" s="56">
        <v>475</v>
      </c>
      <c r="M32" s="56"/>
      <c r="N32" s="56">
        <v>450</v>
      </c>
      <c r="O32" s="56"/>
      <c r="P32" s="56">
        <v>450</v>
      </c>
      <c r="Q32" s="56"/>
      <c r="R32" s="56">
        <v>450</v>
      </c>
      <c r="S32" s="56"/>
      <c r="T32" s="56">
        <v>0</v>
      </c>
      <c r="U32" s="56"/>
      <c r="V32" s="56">
        <v>450</v>
      </c>
      <c r="W32" s="56"/>
      <c r="X32" s="56">
        <v>0</v>
      </c>
      <c r="Y32" s="56"/>
      <c r="Z32" s="56">
        <v>600</v>
      </c>
      <c r="AA32" s="56"/>
      <c r="AB32" s="56">
        <v>0</v>
      </c>
      <c r="AC32" s="56"/>
      <c r="AD32" s="56"/>
      <c r="AE32" s="56"/>
      <c r="AF32" s="56">
        <f t="shared" si="0"/>
        <v>600</v>
      </c>
      <c r="AG32" s="56">
        <v>0</v>
      </c>
      <c r="AH32" s="56">
        <v>0</v>
      </c>
      <c r="AI32" s="56"/>
      <c r="AJ32" s="56">
        <f t="shared" si="1"/>
        <v>600</v>
      </c>
      <c r="AK32" s="85"/>
      <c r="AL32" s="56">
        <v>-475</v>
      </c>
      <c r="AM32" s="56"/>
      <c r="AN32" s="88">
        <f t="shared" si="2"/>
        <v>125</v>
      </c>
      <c r="AO32" s="88">
        <v>0</v>
      </c>
      <c r="AP32" s="88">
        <v>125</v>
      </c>
      <c r="AQ32" s="56"/>
      <c r="AR32" s="56">
        <v>0</v>
      </c>
      <c r="AS32" s="56"/>
      <c r="AT32" s="56">
        <v>0</v>
      </c>
      <c r="AU32" s="56"/>
      <c r="AV32" s="56">
        <f t="shared" si="3"/>
        <v>125</v>
      </c>
      <c r="AW32" s="56"/>
      <c r="AX32" s="56">
        <v>0</v>
      </c>
      <c r="AY32" s="56"/>
      <c r="AZ32" s="88">
        <v>1000</v>
      </c>
      <c r="BA32" s="56">
        <v>1000</v>
      </c>
      <c r="BB32" s="214"/>
      <c r="BC32" s="56"/>
      <c r="BD32" s="84">
        <f t="shared" si="4"/>
        <v>0</v>
      </c>
      <c r="BE32" s="56"/>
      <c r="BF32" s="56"/>
      <c r="BG32" s="56"/>
      <c r="BH32" s="72"/>
    </row>
    <row r="33" spans="1:60" ht="20.100000000000001" customHeight="1" outlineLevel="1">
      <c r="A33" s="77" t="s">
        <v>43</v>
      </c>
      <c r="B33" s="77" t="s">
        <v>137</v>
      </c>
      <c r="C33" s="77" t="s">
        <v>1100</v>
      </c>
      <c r="D33" s="78" t="s">
        <v>46</v>
      </c>
      <c r="E33" s="78" t="str">
        <f t="shared" si="5"/>
        <v>000</v>
      </c>
      <c r="F33" s="3">
        <v>653011</v>
      </c>
      <c r="G33" s="102" t="s">
        <v>909</v>
      </c>
      <c r="H33" s="87"/>
      <c r="I33" s="13">
        <v>0</v>
      </c>
      <c r="J33" s="13">
        <v>0</v>
      </c>
      <c r="L33" s="56">
        <v>0</v>
      </c>
      <c r="M33" s="56"/>
      <c r="N33" s="56">
        <v>0</v>
      </c>
      <c r="O33" s="56"/>
      <c r="P33" s="56">
        <v>0</v>
      </c>
      <c r="Q33" s="56"/>
      <c r="R33" s="56">
        <v>0</v>
      </c>
      <c r="S33" s="56"/>
      <c r="T33" s="56">
        <v>0</v>
      </c>
      <c r="U33" s="56"/>
      <c r="V33" s="56">
        <v>0</v>
      </c>
      <c r="W33" s="56"/>
      <c r="X33" s="56">
        <v>892.82</v>
      </c>
      <c r="Y33" s="56"/>
      <c r="Z33" s="56"/>
      <c r="AA33" s="56"/>
      <c r="AB33" s="56">
        <v>0</v>
      </c>
      <c r="AC33" s="56"/>
      <c r="AD33" s="56"/>
      <c r="AE33" s="56"/>
      <c r="AF33" s="56">
        <f t="shared" si="0"/>
        <v>0</v>
      </c>
      <c r="AG33" s="56">
        <v>0</v>
      </c>
      <c r="AH33" s="56">
        <v>0</v>
      </c>
      <c r="AI33" s="56"/>
      <c r="AJ33" s="56">
        <f t="shared" si="1"/>
        <v>0</v>
      </c>
      <c r="AK33" s="85"/>
      <c r="AL33" s="56">
        <v>0</v>
      </c>
      <c r="AM33" s="56"/>
      <c r="AN33" s="88">
        <f t="shared" si="2"/>
        <v>0</v>
      </c>
      <c r="AO33" s="88">
        <v>0</v>
      </c>
      <c r="AP33" s="88">
        <v>0</v>
      </c>
      <c r="AQ33" s="56"/>
      <c r="AR33" s="56">
        <v>0</v>
      </c>
      <c r="AS33" s="56"/>
      <c r="AT33" s="56">
        <v>0</v>
      </c>
      <c r="AU33" s="56"/>
      <c r="AV33" s="56">
        <f t="shared" si="3"/>
        <v>0</v>
      </c>
      <c r="AW33" s="56"/>
      <c r="AX33" s="56">
        <v>0</v>
      </c>
      <c r="AY33" s="56"/>
      <c r="AZ33" s="88"/>
      <c r="BA33" s="56">
        <v>0</v>
      </c>
      <c r="BB33" s="56"/>
      <c r="BC33" s="56"/>
      <c r="BD33" s="84">
        <f t="shared" si="4"/>
        <v>0</v>
      </c>
      <c r="BE33" s="56"/>
      <c r="BF33" s="56"/>
      <c r="BG33" s="56"/>
      <c r="BH33" s="72"/>
    </row>
    <row r="34" spans="1:60" ht="20.100000000000001" customHeight="1" outlineLevel="1">
      <c r="A34" s="77"/>
      <c r="B34" s="77"/>
      <c r="C34" s="77"/>
      <c r="D34" s="78"/>
      <c r="E34" s="78"/>
      <c r="F34" s="3"/>
      <c r="G34" s="233" t="s">
        <v>1102</v>
      </c>
      <c r="H34" s="87"/>
      <c r="I34" s="13"/>
      <c r="J34" s="13"/>
      <c r="L34" s="151">
        <f>SUBTOTAL(9,L23:L33)</f>
        <v>218983</v>
      </c>
      <c r="M34" s="56"/>
      <c r="N34" s="56"/>
      <c r="O34" s="56"/>
      <c r="P34" s="56"/>
      <c r="Q34" s="56"/>
      <c r="R34" s="56"/>
      <c r="S34" s="56"/>
      <c r="T34" s="56"/>
      <c r="U34" s="56"/>
      <c r="V34" s="56"/>
      <c r="W34" s="56"/>
      <c r="X34" s="151">
        <f>SUBTOTAL(9,X23:X33)</f>
        <v>260111.89000000007</v>
      </c>
      <c r="Y34" s="56"/>
      <c r="Z34" s="56"/>
      <c r="AA34" s="56"/>
      <c r="AB34" s="56"/>
      <c r="AC34" s="56"/>
      <c r="AD34" s="56"/>
      <c r="AE34" s="56"/>
      <c r="AF34" s="56"/>
      <c r="AG34" s="56"/>
      <c r="AH34" s="56"/>
      <c r="AI34" s="56"/>
      <c r="AJ34" s="56"/>
      <c r="AK34" s="85"/>
      <c r="AL34" s="56"/>
      <c r="AM34" s="56"/>
      <c r="AN34" s="151">
        <f>SUBTOTAL(9,AN23:AN33)</f>
        <v>274082</v>
      </c>
      <c r="AO34" s="88"/>
      <c r="AP34" s="151">
        <f>SUBTOTAL(9,AP23:AP33)</f>
        <v>241367.89000000004</v>
      </c>
      <c r="AQ34" s="56"/>
      <c r="AR34" s="56"/>
      <c r="AS34" s="56"/>
      <c r="AT34" s="56"/>
      <c r="AU34" s="56"/>
      <c r="AV34" s="56"/>
      <c r="AW34" s="56"/>
      <c r="AX34" s="56"/>
      <c r="AY34" s="56"/>
      <c r="AZ34" s="151">
        <f>SUBTOTAL(9,AZ23:AZ33)</f>
        <v>219790</v>
      </c>
      <c r="BA34" s="151">
        <f>SUBTOTAL(9,BA23:BA33)</f>
        <v>222006</v>
      </c>
      <c r="BB34" s="56"/>
      <c r="BC34" s="56"/>
      <c r="BD34" s="84"/>
      <c r="BE34" s="56"/>
      <c r="BF34" s="56"/>
      <c r="BG34" s="56"/>
      <c r="BH34" s="72"/>
    </row>
    <row r="35" spans="1:60" ht="20.100000000000001" customHeight="1">
      <c r="B35" s="77"/>
      <c r="C35" s="77"/>
      <c r="D35" s="90"/>
      <c r="E35" s="90"/>
      <c r="F35" s="3"/>
      <c r="G35" s="234" t="s">
        <v>910</v>
      </c>
      <c r="H35" s="81"/>
      <c r="I35" s="92">
        <v>420036</v>
      </c>
      <c r="J35" s="93">
        <v>459929</v>
      </c>
      <c r="L35" s="125">
        <v>545927</v>
      </c>
      <c r="M35" s="126"/>
      <c r="N35" s="125">
        <v>596898</v>
      </c>
      <c r="O35" s="126"/>
      <c r="P35" s="125">
        <v>606198</v>
      </c>
      <c r="Q35" s="126"/>
      <c r="R35" s="125">
        <v>621389</v>
      </c>
      <c r="S35" s="95"/>
      <c r="T35" s="94">
        <v>0</v>
      </c>
      <c r="U35" s="126"/>
      <c r="V35" s="125">
        <v>621389</v>
      </c>
      <c r="W35" s="126"/>
      <c r="X35" s="125">
        <f>SUBTOTAL(9,X11:X34)</f>
        <v>594037.64999999979</v>
      </c>
      <c r="Y35" s="126"/>
      <c r="Z35" s="125">
        <f>SUBTOTAL(9,Z11:Z33)</f>
        <v>583996</v>
      </c>
      <c r="AA35" s="126"/>
      <c r="AB35" s="125">
        <f>SUBTOTAL(9,AB11:AB33)</f>
        <v>0</v>
      </c>
      <c r="AC35" s="126"/>
      <c r="AD35" s="125">
        <f>SUBTOTAL(9,AD11:AD33)</f>
        <v>0</v>
      </c>
      <c r="AE35" s="126"/>
      <c r="AF35" s="125">
        <f>SUBTOTAL(9,AF11:AF33)</f>
        <v>583996</v>
      </c>
      <c r="AG35" s="125">
        <f>SUBTOTAL(9,AG11:AG33)</f>
        <v>2331</v>
      </c>
      <c r="AH35" s="125">
        <f>SUBTOTAL(9,AH11:AH33)</f>
        <v>17375</v>
      </c>
      <c r="AI35" s="126"/>
      <c r="AJ35" s="125">
        <f>SUBTOTAL(9,AJ11:AJ33)</f>
        <v>603702</v>
      </c>
      <c r="AK35" s="96"/>
      <c r="AL35" s="125">
        <f>SUBTOTAL(9,AL11:AL33)</f>
        <v>35000</v>
      </c>
      <c r="AM35" s="126"/>
      <c r="AN35" s="127">
        <f>SUBTOTAL(9,AN11:AN33)</f>
        <v>638702</v>
      </c>
      <c r="AO35" s="127">
        <f>SUBTOTAL(9,AO11:AO33)</f>
        <v>0</v>
      </c>
      <c r="AP35" s="127">
        <f>SUBTOTAL(9,AP11:AP34)</f>
        <v>582514.23</v>
      </c>
      <c r="AQ35" s="126"/>
      <c r="AR35" s="125">
        <f>SUBTOTAL(9,AR11:AR33)</f>
        <v>-200</v>
      </c>
      <c r="AS35" s="126"/>
      <c r="AT35" s="125">
        <f>SUBTOTAL(9,AT11:AT33)</f>
        <v>336</v>
      </c>
      <c r="AU35" s="126"/>
      <c r="AV35" s="125">
        <f>SUBTOTAL(9,AV11:AV33)</f>
        <v>582650.23</v>
      </c>
      <c r="AW35" s="126"/>
      <c r="AX35" s="125">
        <f>SUBTOTAL(9,AX11:AX33)</f>
        <v>0</v>
      </c>
      <c r="AY35" s="126"/>
      <c r="AZ35" s="127">
        <f>SUBTOTAL(9,AZ11:AZ33)</f>
        <v>569247</v>
      </c>
      <c r="BA35" s="125">
        <f>SUBTOTAL(9,BA11:BA33)</f>
        <v>571333</v>
      </c>
      <c r="BB35" s="125"/>
      <c r="BC35" s="125"/>
      <c r="BD35" s="98">
        <f t="shared" si="4"/>
        <v>-56187.770000000019</v>
      </c>
      <c r="BE35" s="126"/>
      <c r="BF35" s="126"/>
      <c r="BG35" s="126"/>
    </row>
  </sheetData>
  <autoFilter ref="A9:BH35"/>
  <mergeCells count="8">
    <mergeCell ref="A8:D8"/>
    <mergeCell ref="AB5:AD5"/>
    <mergeCell ref="AG2:AH2"/>
    <mergeCell ref="AG3:AH3"/>
    <mergeCell ref="AG4:AH4"/>
    <mergeCell ref="AB4:AD4"/>
    <mergeCell ref="A6:F6"/>
    <mergeCell ref="A7:F7"/>
  </mergeCells>
  <phoneticPr fontId="3" type="noConversion"/>
  <conditionalFormatting sqref="F1:F1048576">
    <cfRule type="cellIs" dxfId="15" priority="1" stopIfTrue="1" operator="between">
      <formula>610000</formula>
      <formula>619999</formula>
    </cfRule>
  </conditionalFormatting>
  <pageMargins left="0.54" right="0.25" top="0.24" bottom="0.49" header="0.25" footer="0"/>
  <pageSetup scale="77" fitToHeight="0" orientation="landscape" r:id="rId1"/>
  <headerFooter alignWithMargins="0">
    <oddFooter>&amp;C&amp;8Detail of Expenditures Budget By Department, Page &amp;P of &amp;N</oddFooter>
  </headerFooter>
  <legacyDrawing r:id="rId2"/>
</worksheet>
</file>

<file path=xl/worksheets/sheet23.xml><?xml version="1.0" encoding="utf-8"?>
<worksheet xmlns="http://schemas.openxmlformats.org/spreadsheetml/2006/main" xmlns:r="http://schemas.openxmlformats.org/officeDocument/2006/relationships">
  <sheetPr codeName="Sheet29" enableFormatConditionsCalculation="0">
    <tabColor indexed="17"/>
    <pageSetUpPr fitToPage="1"/>
  </sheetPr>
  <dimension ref="A1:BK24"/>
  <sheetViews>
    <sheetView zoomScale="87" zoomScaleNormal="90" workbookViewId="0">
      <pane xSplit="8" ySplit="9" topLeftCell="O10" activePane="bottomRight" state="frozen"/>
      <selection activeCell="A28" sqref="A28"/>
      <selection pane="topRight" activeCell="A28" sqref="A28"/>
      <selection pane="bottomLeft" activeCell="A28" sqref="A28"/>
      <selection pane="bottomRight"/>
    </sheetView>
  </sheetViews>
  <sheetFormatPr defaultRowHeight="12.75" outlineLevelRow="1" outlineLevelCol="1"/>
  <cols>
    <col min="1" max="1" width="7" style="39" customWidth="1" outlineLevel="1"/>
    <col min="2" max="2" width="6.140625" style="39" customWidth="1" outlineLevel="1"/>
    <col min="3" max="3" width="3.7109375" style="39" customWidth="1" outlineLevel="1"/>
    <col min="4" max="5" width="4.85546875" style="168" customWidth="1" outlineLevel="1"/>
    <col min="6" max="6" width="8.7109375" style="40" customWidth="1" outlineLevel="1"/>
    <col min="7" max="7" width="28.5703125" style="4" customWidth="1"/>
    <col min="8" max="8" width="16.5703125" style="4" hidden="1" customWidth="1"/>
    <col min="9" max="10" width="15.140625" style="4" hidden="1" customWidth="1" collapsed="1"/>
    <col min="11" max="11" width="39.5703125" style="4" hidden="1" customWidth="1"/>
    <col min="12" max="12" width="15.140625" style="7" bestFit="1" customWidth="1" collapsed="1"/>
    <col min="13" max="13" width="31.7109375" style="7" hidden="1" customWidth="1"/>
    <col min="14" max="14" width="35.5703125" style="7" hidden="1" customWidth="1" collapsed="1"/>
    <col min="15" max="15" width="0.140625" style="7" customWidth="1"/>
    <col min="16" max="16" width="25.28515625" style="7" hidden="1" customWidth="1" outlineLevel="1" collapsed="1"/>
    <col min="17" max="17" width="23.42578125" style="7" hidden="1" customWidth="1" outlineLevel="1"/>
    <col min="18" max="18" width="20.5703125" style="7" hidden="1" customWidth="1" outlineLevel="1" collapsed="1"/>
    <col min="19" max="19" width="18" style="7" hidden="1" customWidth="1" outlineLevel="1"/>
    <col min="20" max="20" width="19.5703125" style="7" hidden="1" customWidth="1" outlineLevel="1"/>
    <col min="21" max="21" width="18.42578125" style="7" hidden="1" customWidth="1" outlineLevel="1"/>
    <col min="22" max="22" width="13.140625" style="7" hidden="1" customWidth="1"/>
    <col min="23" max="23" width="14.140625" style="7" hidden="1" customWidth="1"/>
    <col min="24" max="24" width="14.5703125" style="7" customWidth="1" collapsed="1"/>
    <col min="25" max="25" width="0.85546875" style="7" hidden="1" customWidth="1"/>
    <col min="26" max="26" width="16.140625" style="7" hidden="1" customWidth="1"/>
    <col min="27" max="27" width="0.140625" style="7" hidden="1" customWidth="1"/>
    <col min="28" max="28" width="16.140625" style="7" hidden="1" customWidth="1" outlineLevel="1"/>
    <col min="29" max="29" width="0.42578125" style="7" hidden="1" customWidth="1" outlineLevel="1"/>
    <col min="30" max="30" width="17.85546875" style="7" hidden="1" customWidth="1" outlineLevel="1"/>
    <col min="31" max="31" width="0.42578125" style="7" hidden="1" customWidth="1" outlineLevel="1"/>
    <col min="32" max="32" width="16.140625" style="7" hidden="1" customWidth="1" collapsed="1"/>
    <col min="33" max="33" width="16" style="7" hidden="1" customWidth="1" outlineLevel="1"/>
    <col min="34" max="34" width="17" style="7" hidden="1" customWidth="1" outlineLevel="1"/>
    <col min="35" max="35" width="10.5703125" style="7" hidden="1" customWidth="1" outlineLevel="1"/>
    <col min="36" max="36" width="16.140625" style="7" hidden="1" customWidth="1" collapsed="1"/>
    <col min="37" max="37" width="0.7109375" style="7" hidden="1" customWidth="1"/>
    <col min="38" max="38" width="16.140625" style="7" hidden="1" customWidth="1" outlineLevel="1"/>
    <col min="39" max="39" width="4.140625" style="7" hidden="1" customWidth="1" outlineLevel="1"/>
    <col min="40" max="40" width="16.140625" style="17" customWidth="1" collapsed="1"/>
    <col min="41" max="41" width="16.140625" style="17" hidden="1" customWidth="1" collapsed="1"/>
    <col min="42" max="42" width="16.140625" style="17" customWidth="1" collapsed="1"/>
    <col min="43" max="43" width="0.7109375" style="7" hidden="1" customWidth="1" outlineLevel="1"/>
    <col min="44" max="44" width="22.140625" style="7" hidden="1" customWidth="1" outlineLevel="1"/>
    <col min="45" max="45" width="0.42578125" style="7" hidden="1" customWidth="1" outlineLevel="1"/>
    <col min="46" max="46" width="17.85546875" style="7" hidden="1" customWidth="1" outlineLevel="1"/>
    <col min="47" max="47" width="0.42578125" style="7" hidden="1" customWidth="1" outlineLevel="1"/>
    <col min="48" max="48" width="18" style="7" hidden="1" customWidth="1" collapsed="1"/>
    <col min="49" max="49" width="0.5703125" style="7" hidden="1" customWidth="1"/>
    <col min="50" max="50" width="18" style="7" hidden="1" customWidth="1"/>
    <col min="51" max="51" width="0.5703125" style="7" customWidth="1"/>
    <col min="52" max="52" width="15.140625" style="7" customWidth="1"/>
    <col min="53" max="53" width="15.7109375" style="7" bestFit="1" customWidth="1"/>
    <col min="54" max="54" width="15.140625" style="7" customWidth="1"/>
    <col min="55" max="55" width="23.140625" style="7" customWidth="1"/>
    <col min="56" max="56" width="19.85546875" style="7" bestFit="1" customWidth="1"/>
    <col min="57" max="59" width="12.42578125" style="7" customWidth="1"/>
    <col min="60" max="60" width="3.85546875" style="76" customWidth="1"/>
    <col min="61" max="61" width="14.5703125" style="12" bestFit="1" customWidth="1"/>
  </cols>
  <sheetData>
    <row r="1" spans="1:62" ht="15">
      <c r="A1" s="1" t="s">
        <v>0</v>
      </c>
      <c r="B1" s="2"/>
      <c r="C1" s="2"/>
      <c r="D1" s="1"/>
      <c r="E1" s="1"/>
      <c r="F1" s="3"/>
      <c r="H1" s="5"/>
      <c r="I1" s="6"/>
      <c r="T1" s="8"/>
      <c r="Z1" s="9"/>
      <c r="AB1" s="9"/>
      <c r="AD1" s="9"/>
      <c r="AF1" s="9"/>
      <c r="AH1" s="10" t="e">
        <f>+#REF!</f>
        <v>#REF!</v>
      </c>
      <c r="AJ1" s="9"/>
      <c r="AK1" s="9"/>
      <c r="AN1" s="9"/>
      <c r="AO1" s="9"/>
      <c r="AP1" s="9"/>
      <c r="AR1" s="9"/>
      <c r="AT1" s="9"/>
      <c r="AV1" s="9"/>
      <c r="AW1" s="9"/>
      <c r="AX1" s="9"/>
      <c r="AY1" s="9"/>
      <c r="AZ1" s="9"/>
      <c r="BA1" s="9"/>
      <c r="BB1" s="9"/>
      <c r="BC1" s="9"/>
      <c r="BD1" s="9"/>
      <c r="BE1" s="9"/>
      <c r="BF1" s="9"/>
      <c r="BG1" s="9"/>
      <c r="BH1" s="11"/>
    </row>
    <row r="2" spans="1:62" ht="15">
      <c r="A2" s="1" t="s">
        <v>1053</v>
      </c>
      <c r="B2" s="2"/>
      <c r="C2" s="2"/>
      <c r="D2" s="1"/>
      <c r="E2" s="1"/>
      <c r="F2" s="3"/>
      <c r="H2" s="5"/>
      <c r="I2" s="13"/>
      <c r="J2" s="14"/>
      <c r="K2" s="14"/>
      <c r="L2" s="15"/>
      <c r="M2" s="15"/>
      <c r="N2" s="15"/>
      <c r="O2" s="15"/>
      <c r="P2" s="15"/>
      <c r="R2" s="15"/>
      <c r="T2" s="8"/>
      <c r="V2" s="15"/>
      <c r="X2" s="15"/>
      <c r="Z2" s="15"/>
      <c r="AB2" s="15"/>
      <c r="AD2" s="15"/>
      <c r="AF2" s="15"/>
      <c r="AG2" s="238" t="s">
        <v>1</v>
      </c>
      <c r="AH2" s="238"/>
      <c r="AI2" s="17"/>
      <c r="AJ2" s="18"/>
      <c r="AK2" s="15"/>
      <c r="AL2" s="10" t="e">
        <f>+#REF!</f>
        <v>#REF!</v>
      </c>
      <c r="AN2" s="18"/>
      <c r="AO2" s="18"/>
      <c r="AP2" s="18"/>
      <c r="AR2" s="15"/>
      <c r="AT2" s="15"/>
      <c r="AV2" s="15"/>
      <c r="AW2" s="15"/>
      <c r="AX2" s="15"/>
      <c r="AY2" s="15"/>
      <c r="AZ2" s="15"/>
      <c r="BA2" s="15"/>
      <c r="BB2" s="15"/>
      <c r="BC2" s="15"/>
      <c r="BD2" s="15"/>
      <c r="BE2" s="15"/>
      <c r="BF2" s="15"/>
      <c r="BG2" s="15"/>
      <c r="BH2" s="19"/>
    </row>
    <row r="3" spans="1:62">
      <c r="A3" s="20" t="str">
        <f>IF(G7=1,"DETAIL OF EXPENDITURES BUDGET BY DEPARTMENT WITH COMPARATIVE AMOUNTS", "SUMMARY OF EXPENDITURES BUDGET BY DEPARTMENT WITH COMPARATIVE AMOUNTS")</f>
        <v>DETAIL OF EXPENDITURES BUDGET BY DEPARTMENT WITH COMPARATIVE AMOUNTS</v>
      </c>
      <c r="B3" s="21"/>
      <c r="C3" s="21"/>
      <c r="D3" s="22"/>
      <c r="E3" s="22"/>
      <c r="F3" s="3"/>
      <c r="H3" s="5"/>
      <c r="I3" s="23"/>
      <c r="J3" s="15"/>
      <c r="L3" s="15"/>
      <c r="M3" s="10"/>
      <c r="N3" s="10"/>
      <c r="O3" s="10"/>
      <c r="P3" s="24"/>
      <c r="R3" s="24"/>
      <c r="V3" s="24"/>
      <c r="W3" s="24"/>
      <c r="X3" s="15"/>
      <c r="Y3" s="24"/>
      <c r="AA3" s="24"/>
      <c r="AB3" s="24" t="e">
        <f>+#REF!</f>
        <v>#REF!</v>
      </c>
      <c r="AC3" s="24"/>
      <c r="AD3" s="24" t="e">
        <f>+#REF!</f>
        <v>#REF!</v>
      </c>
      <c r="AE3" s="24"/>
      <c r="AF3" s="10" t="e">
        <f>+#REF!</f>
        <v>#REF!</v>
      </c>
      <c r="AG3" s="239" t="s">
        <v>2</v>
      </c>
      <c r="AH3" s="239"/>
      <c r="AI3" s="25"/>
      <c r="AJ3" s="25" t="e">
        <f>+#REF!</f>
        <v>#REF!</v>
      </c>
      <c r="AK3" s="24"/>
      <c r="AL3" s="16" t="s">
        <v>1</v>
      </c>
      <c r="AM3" s="25"/>
      <c r="AN3" s="25"/>
      <c r="AO3" s="25"/>
      <c r="AP3" s="25"/>
      <c r="AQ3" s="24"/>
      <c r="AR3" s="24" t="e">
        <f>+#REF!</f>
        <v>#REF!</v>
      </c>
      <c r="AS3" s="24"/>
      <c r="AT3" s="24" t="e">
        <f>+#REF!</f>
        <v>#REF!</v>
      </c>
      <c r="AU3" s="24"/>
      <c r="AV3" s="24" t="e">
        <f>+#REF!</f>
        <v>#REF!</v>
      </c>
      <c r="AW3" s="24"/>
      <c r="AX3" s="24" t="e">
        <f>+#REF!</f>
        <v>#REF!</v>
      </c>
      <c r="AY3" s="24"/>
      <c r="AZ3" s="24"/>
      <c r="BA3" s="24"/>
      <c r="BB3" s="24"/>
      <c r="BC3" s="24"/>
      <c r="BD3" s="26"/>
      <c r="BE3" s="26"/>
      <c r="BF3" s="26"/>
      <c r="BG3" s="26"/>
      <c r="BH3" s="27"/>
    </row>
    <row r="4" spans="1:62" ht="15">
      <c r="A4" s="28" t="s">
        <v>1070</v>
      </c>
      <c r="B4" s="29"/>
      <c r="C4" s="29"/>
      <c r="D4" s="28"/>
      <c r="E4" s="28"/>
      <c r="F4" s="3"/>
      <c r="H4" s="30"/>
      <c r="I4" s="31"/>
      <c r="J4" s="31"/>
      <c r="L4" s="31"/>
      <c r="M4" s="32"/>
      <c r="N4" s="33"/>
      <c r="O4" s="32"/>
      <c r="P4" s="33"/>
      <c r="R4" s="33"/>
      <c r="T4" s="33"/>
      <c r="X4" s="31"/>
      <c r="Z4" s="10"/>
      <c r="AB4" s="241"/>
      <c r="AC4" s="241"/>
      <c r="AD4" s="241"/>
      <c r="AE4" s="35"/>
      <c r="AF4" s="34"/>
      <c r="AG4" s="240"/>
      <c r="AH4" s="240"/>
      <c r="AI4" s="17"/>
      <c r="AJ4" s="16"/>
      <c r="AK4" s="24"/>
      <c r="AL4" s="16"/>
      <c r="AM4" s="17"/>
      <c r="AN4" s="31"/>
      <c r="AO4" s="31"/>
      <c r="AP4" s="31"/>
      <c r="AR4" s="34" t="s">
        <v>5</v>
      </c>
      <c r="AU4" s="35"/>
      <c r="AV4" s="34"/>
      <c r="AW4" s="34"/>
      <c r="AX4" s="34" t="s">
        <v>5</v>
      </c>
      <c r="AY4" s="34"/>
      <c r="AZ4" s="34"/>
      <c r="BA4" s="34"/>
      <c r="BB4" s="34"/>
      <c r="BC4" s="34"/>
      <c r="BD4" s="37"/>
      <c r="BE4" s="37"/>
      <c r="BF4" s="37"/>
      <c r="BG4" s="37"/>
      <c r="BH4" s="38"/>
    </row>
    <row r="5" spans="1:62" ht="15">
      <c r="B5" s="29"/>
      <c r="C5" s="29"/>
      <c r="D5" s="28"/>
      <c r="E5" s="28"/>
      <c r="G5" s="28"/>
      <c r="H5" s="5"/>
      <c r="I5" s="41" t="s">
        <v>6</v>
      </c>
      <c r="J5" s="42" t="s">
        <v>7</v>
      </c>
      <c r="L5" s="16" t="s">
        <v>8</v>
      </c>
      <c r="M5" s="16"/>
      <c r="N5" s="16" t="s">
        <v>9</v>
      </c>
      <c r="O5" s="16"/>
      <c r="P5" s="16" t="s">
        <v>9</v>
      </c>
      <c r="Q5" s="17"/>
      <c r="R5" s="43"/>
      <c r="S5" s="17"/>
      <c r="T5" s="16"/>
      <c r="U5" s="17"/>
      <c r="V5" s="16" t="s">
        <v>9</v>
      </c>
      <c r="X5" s="16" t="s">
        <v>9</v>
      </c>
      <c r="Z5" s="34" t="s">
        <v>1</v>
      </c>
      <c r="AB5" s="243" t="s">
        <v>10</v>
      </c>
      <c r="AC5" s="243"/>
      <c r="AD5" s="243"/>
      <c r="AE5" s="35"/>
      <c r="AF5" s="34" t="s">
        <v>1</v>
      </c>
      <c r="AG5" s="17"/>
      <c r="AH5" s="16" t="s">
        <v>11</v>
      </c>
      <c r="AI5" s="17"/>
      <c r="AJ5" s="16" t="s">
        <v>1</v>
      </c>
      <c r="AK5" s="24"/>
      <c r="AL5" s="43" t="s">
        <v>12</v>
      </c>
      <c r="AM5" s="17"/>
      <c r="AN5" s="16" t="s">
        <v>1</v>
      </c>
      <c r="AO5" s="45" t="s">
        <v>1</v>
      </c>
      <c r="AP5" s="46" t="s">
        <v>5</v>
      </c>
      <c r="AQ5" s="47"/>
      <c r="AR5" s="48" t="s">
        <v>10</v>
      </c>
      <c r="AS5" s="47"/>
      <c r="AT5" s="47"/>
      <c r="AU5" s="47"/>
      <c r="AV5" s="46" t="s">
        <v>5</v>
      </c>
      <c r="AW5" s="34"/>
      <c r="AX5" s="49" t="s">
        <v>3</v>
      </c>
      <c r="AY5" s="34"/>
      <c r="AZ5" s="16" t="s">
        <v>1054</v>
      </c>
      <c r="BA5" s="16" t="s">
        <v>1054</v>
      </c>
      <c r="BB5" s="34" t="s">
        <v>1069</v>
      </c>
      <c r="BC5" s="34"/>
      <c r="BD5" s="50" t="s">
        <v>13</v>
      </c>
      <c r="BE5" s="37"/>
      <c r="BF5" s="37"/>
      <c r="BG5" s="37"/>
      <c r="BH5" s="51"/>
    </row>
    <row r="6" spans="1:62">
      <c r="A6" s="242"/>
      <c r="B6" s="242"/>
      <c r="C6" s="242"/>
      <c r="D6" s="242"/>
      <c r="E6" s="242"/>
      <c r="F6" s="242"/>
      <c r="G6" s="22"/>
      <c r="H6" s="5"/>
      <c r="I6" s="52" t="s">
        <v>14</v>
      </c>
      <c r="J6" s="52" t="s">
        <v>14</v>
      </c>
      <c r="L6" s="43" t="s">
        <v>14</v>
      </c>
      <c r="M6" s="43"/>
      <c r="N6" s="43" t="s">
        <v>15</v>
      </c>
      <c r="O6" s="43"/>
      <c r="P6" s="43" t="s">
        <v>4</v>
      </c>
      <c r="Q6" s="17"/>
      <c r="R6" s="43" t="s">
        <v>4</v>
      </c>
      <c r="S6" s="43"/>
      <c r="T6" s="43" t="s">
        <v>16</v>
      </c>
      <c r="U6" s="43"/>
      <c r="V6" s="43" t="s">
        <v>4</v>
      </c>
      <c r="W6" s="43"/>
      <c r="X6" s="43" t="s">
        <v>14</v>
      </c>
      <c r="Y6" s="43"/>
      <c r="Z6" s="34" t="s">
        <v>17</v>
      </c>
      <c r="AA6" s="43"/>
      <c r="AB6" s="53" t="s">
        <v>16</v>
      </c>
      <c r="AC6" s="53"/>
      <c r="AD6" s="34"/>
      <c r="AE6" s="53"/>
      <c r="AF6" s="34" t="s">
        <v>17</v>
      </c>
      <c r="AG6" s="43" t="s">
        <v>16</v>
      </c>
      <c r="AH6" s="16" t="s">
        <v>18</v>
      </c>
      <c r="AI6" s="43"/>
      <c r="AJ6" s="16" t="s">
        <v>19</v>
      </c>
      <c r="AK6" s="24"/>
      <c r="AL6" s="43" t="s">
        <v>16</v>
      </c>
      <c r="AM6" s="43"/>
      <c r="AN6" s="43" t="s">
        <v>14</v>
      </c>
      <c r="AO6" s="45" t="s">
        <v>20</v>
      </c>
      <c r="AP6" s="43" t="s">
        <v>14</v>
      </c>
      <c r="AQ6" s="54"/>
      <c r="AR6" s="54" t="s">
        <v>16</v>
      </c>
      <c r="AS6" s="54"/>
      <c r="AT6" s="46"/>
      <c r="AU6" s="54"/>
      <c r="AV6" s="46" t="s">
        <v>19</v>
      </c>
      <c r="AW6" s="34"/>
      <c r="AX6" s="55" t="s">
        <v>16</v>
      </c>
      <c r="AY6" s="34"/>
      <c r="AZ6" s="16" t="s">
        <v>17</v>
      </c>
      <c r="BA6" s="16" t="s">
        <v>17</v>
      </c>
      <c r="BB6" s="34" t="s">
        <v>19</v>
      </c>
      <c r="BC6" s="56"/>
      <c r="BD6" s="50" t="s">
        <v>21</v>
      </c>
      <c r="BE6" s="37"/>
      <c r="BF6" s="37"/>
      <c r="BG6" s="37"/>
      <c r="BH6" s="57"/>
    </row>
    <row r="7" spans="1:62" ht="15">
      <c r="A7" s="237"/>
      <c r="B7" s="237"/>
      <c r="C7" s="237"/>
      <c r="D7" s="237"/>
      <c r="E7" s="237"/>
      <c r="F7" s="237"/>
      <c r="G7" s="59">
        <v>1</v>
      </c>
      <c r="H7" s="60"/>
      <c r="I7" s="52" t="s">
        <v>22</v>
      </c>
      <c r="J7" s="52" t="s">
        <v>22</v>
      </c>
      <c r="L7" s="43" t="s">
        <v>22</v>
      </c>
      <c r="M7" s="43"/>
      <c r="N7" s="43" t="s">
        <v>23</v>
      </c>
      <c r="O7" s="43"/>
      <c r="P7" s="43" t="s">
        <v>24</v>
      </c>
      <c r="Q7" s="43"/>
      <c r="R7" s="43" t="s">
        <v>24</v>
      </c>
      <c r="S7" s="43"/>
      <c r="T7" s="43" t="s">
        <v>25</v>
      </c>
      <c r="U7" s="43"/>
      <c r="V7" s="43" t="s">
        <v>24</v>
      </c>
      <c r="W7" s="43"/>
      <c r="X7" s="43" t="s">
        <v>22</v>
      </c>
      <c r="Y7" s="43"/>
      <c r="Z7" s="53" t="s">
        <v>15</v>
      </c>
      <c r="AA7" s="43"/>
      <c r="AB7" s="53" t="s">
        <v>26</v>
      </c>
      <c r="AC7" s="53"/>
      <c r="AD7" s="53"/>
      <c r="AE7" s="53"/>
      <c r="AF7" s="53" t="s">
        <v>4</v>
      </c>
      <c r="AG7" s="43" t="s">
        <v>26</v>
      </c>
      <c r="AH7" s="43" t="s">
        <v>27</v>
      </c>
      <c r="AI7" s="43"/>
      <c r="AJ7" s="43" t="s">
        <v>4</v>
      </c>
      <c r="AK7" s="24"/>
      <c r="AL7" s="43" t="s">
        <v>26</v>
      </c>
      <c r="AM7" s="43"/>
      <c r="AN7" s="43" t="s">
        <v>22</v>
      </c>
      <c r="AO7" s="61" t="s">
        <v>22</v>
      </c>
      <c r="AP7" s="43" t="s">
        <v>22</v>
      </c>
      <c r="AQ7" s="54"/>
      <c r="AR7" s="54" t="s">
        <v>26</v>
      </c>
      <c r="AS7" s="54"/>
      <c r="AT7" s="54"/>
      <c r="AU7" s="54"/>
      <c r="AV7" s="54" t="s">
        <v>4</v>
      </c>
      <c r="AW7" s="53"/>
      <c r="AX7" s="55" t="s">
        <v>26</v>
      </c>
      <c r="AY7" s="53"/>
      <c r="AZ7" s="16" t="s">
        <v>15</v>
      </c>
      <c r="BA7" s="43" t="s">
        <v>4</v>
      </c>
      <c r="BB7" s="34" t="s">
        <v>15</v>
      </c>
      <c r="BC7" s="56"/>
      <c r="BD7" s="50" t="s">
        <v>28</v>
      </c>
      <c r="BE7" s="62"/>
      <c r="BF7" s="62"/>
      <c r="BG7" s="62"/>
      <c r="BH7" s="57"/>
      <c r="BI7" s="63"/>
    </row>
    <row r="8" spans="1:62" ht="15">
      <c r="A8" s="237" t="s">
        <v>29</v>
      </c>
      <c r="B8" s="237"/>
      <c r="C8" s="237"/>
      <c r="D8" s="237"/>
      <c r="E8" s="237"/>
      <c r="F8" s="64" t="s">
        <v>30</v>
      </c>
      <c r="G8" s="64" t="s">
        <v>31</v>
      </c>
      <c r="H8" s="60"/>
      <c r="I8" s="65" t="s">
        <v>32</v>
      </c>
      <c r="J8" s="65" t="s">
        <v>32</v>
      </c>
      <c r="L8" s="66" t="s">
        <v>32</v>
      </c>
      <c r="M8" s="36"/>
      <c r="N8" s="36" t="s">
        <v>2</v>
      </c>
      <c r="O8" s="36"/>
      <c r="P8" s="36" t="s">
        <v>33</v>
      </c>
      <c r="Q8" s="36"/>
      <c r="R8" s="36" t="s">
        <v>34</v>
      </c>
      <c r="S8" s="36"/>
      <c r="T8" s="36" t="s">
        <v>35</v>
      </c>
      <c r="U8" s="36"/>
      <c r="V8" s="36" t="s">
        <v>36</v>
      </c>
      <c r="W8" s="36"/>
      <c r="X8" s="66" t="s">
        <v>32</v>
      </c>
      <c r="Y8" s="36"/>
      <c r="Z8" s="44" t="s">
        <v>24</v>
      </c>
      <c r="AA8" s="36"/>
      <c r="AB8" s="44" t="s">
        <v>35</v>
      </c>
      <c r="AC8" s="44"/>
      <c r="AD8" s="44" t="s">
        <v>37</v>
      </c>
      <c r="AE8" s="44"/>
      <c r="AF8" s="44" t="s">
        <v>38</v>
      </c>
      <c r="AG8" s="36" t="s">
        <v>35</v>
      </c>
      <c r="AH8" s="36" t="s">
        <v>39</v>
      </c>
      <c r="AI8" s="36"/>
      <c r="AJ8" s="36" t="s">
        <v>40</v>
      </c>
      <c r="AK8" s="24"/>
      <c r="AL8" s="36" t="s">
        <v>35</v>
      </c>
      <c r="AM8" s="36"/>
      <c r="AN8" s="36" t="s">
        <v>32</v>
      </c>
      <c r="AO8" s="67" t="s">
        <v>32</v>
      </c>
      <c r="AP8" s="36" t="s">
        <v>32</v>
      </c>
      <c r="AQ8" s="48"/>
      <c r="AR8" s="48" t="s">
        <v>35</v>
      </c>
      <c r="AS8" s="48"/>
      <c r="AT8" s="48" t="s">
        <v>37</v>
      </c>
      <c r="AU8" s="48"/>
      <c r="AV8" s="48" t="s">
        <v>38</v>
      </c>
      <c r="AW8" s="44"/>
      <c r="AX8" s="49" t="s">
        <v>35</v>
      </c>
      <c r="AY8" s="44"/>
      <c r="AZ8" s="36" t="s">
        <v>2</v>
      </c>
      <c r="BA8" s="36" t="s">
        <v>40</v>
      </c>
      <c r="BB8" s="44" t="s">
        <v>2</v>
      </c>
      <c r="BC8" s="56"/>
      <c r="BD8" s="50" t="s">
        <v>41</v>
      </c>
      <c r="BE8" s="68"/>
      <c r="BF8" s="68"/>
      <c r="BG8" s="68"/>
      <c r="BH8" s="69"/>
    </row>
    <row r="9" spans="1:62" ht="15">
      <c r="A9" s="58"/>
      <c r="B9" s="58"/>
      <c r="C9" s="58"/>
      <c r="D9" s="64"/>
      <c r="E9" s="64"/>
      <c r="F9" s="64"/>
      <c r="G9" s="70"/>
      <c r="H9" s="60"/>
      <c r="J9" s="71"/>
      <c r="AK9" s="24"/>
      <c r="AZ9" s="34"/>
      <c r="BB9" s="34"/>
      <c r="BC9" s="56"/>
      <c r="BH9" s="72">
        <v>2</v>
      </c>
    </row>
    <row r="10" spans="1:62" ht="20.100000000000001" customHeight="1" outlineLevel="1">
      <c r="A10" s="75" t="s">
        <v>911</v>
      </c>
      <c r="B10" s="77"/>
      <c r="C10" s="77"/>
      <c r="D10" s="90"/>
      <c r="E10" s="90"/>
      <c r="F10" s="3"/>
      <c r="H10" s="87"/>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5"/>
      <c r="AL10" s="83"/>
      <c r="AM10" s="83"/>
      <c r="AN10" s="100"/>
      <c r="AO10" s="100"/>
      <c r="AP10" s="100"/>
      <c r="AQ10" s="83"/>
      <c r="AR10" s="83"/>
      <c r="AS10" s="83"/>
      <c r="AT10" s="83"/>
      <c r="AU10" s="83"/>
      <c r="AV10" s="83"/>
      <c r="AW10" s="83"/>
      <c r="AX10" s="83"/>
      <c r="AY10" s="83"/>
      <c r="AZ10" s="83"/>
      <c r="BA10" s="83"/>
      <c r="BB10" s="83"/>
      <c r="BC10" s="83"/>
      <c r="BD10" s="83"/>
      <c r="BE10" s="83"/>
      <c r="BF10" s="83"/>
      <c r="BG10" s="83"/>
      <c r="BH10" s="19"/>
    </row>
    <row r="11" spans="1:62" ht="20.100000000000001" customHeight="1" outlineLevel="1">
      <c r="A11" s="77" t="s">
        <v>43</v>
      </c>
      <c r="B11" s="77" t="s">
        <v>912</v>
      </c>
      <c r="C11" s="77" t="s">
        <v>1103</v>
      </c>
      <c r="D11" s="78" t="s">
        <v>46</v>
      </c>
      <c r="E11" s="78" t="str">
        <f>+D11</f>
        <v>000</v>
      </c>
      <c r="F11" s="79">
        <v>611117</v>
      </c>
      <c r="G11" s="179" t="s">
        <v>667</v>
      </c>
      <c r="H11" s="87"/>
      <c r="I11" s="82">
        <v>50850</v>
      </c>
      <c r="J11" s="82">
        <v>50819</v>
      </c>
      <c r="L11" s="83">
        <v>56349</v>
      </c>
      <c r="M11" s="83"/>
      <c r="N11" s="83">
        <v>58747</v>
      </c>
      <c r="O11" s="83"/>
      <c r="P11" s="83">
        <v>58747</v>
      </c>
      <c r="Q11" s="83"/>
      <c r="R11" s="83">
        <v>60447</v>
      </c>
      <c r="S11" s="83"/>
      <c r="T11" s="83">
        <v>0</v>
      </c>
      <c r="U11" s="83"/>
      <c r="V11" s="83">
        <v>60447</v>
      </c>
      <c r="W11" s="83"/>
      <c r="X11" s="83">
        <f>55551.38+4895.58</f>
        <v>60446.96</v>
      </c>
      <c r="Y11" s="83"/>
      <c r="Z11" s="83">
        <v>59990</v>
      </c>
      <c r="AA11" s="83"/>
      <c r="AB11" s="83">
        <v>0</v>
      </c>
      <c r="AC11" s="83"/>
      <c r="AD11" s="83"/>
      <c r="AE11" s="83"/>
      <c r="AF11" s="86">
        <f t="shared" ref="AF11:AF20" si="0">SUM(Z11:AE11)</f>
        <v>59990</v>
      </c>
      <c r="AG11" s="83"/>
      <c r="AH11" s="83">
        <v>1250</v>
      </c>
      <c r="AI11" s="83"/>
      <c r="AJ11" s="86">
        <f t="shared" ref="AJ11:AJ20" si="1">SUM(AE11:AI11)</f>
        <v>61240</v>
      </c>
      <c r="AK11" s="85"/>
      <c r="AL11" s="83">
        <v>0</v>
      </c>
      <c r="AM11" s="83"/>
      <c r="AN11" s="86">
        <f t="shared" ref="AN11:AN20" si="2">SUM(AI11:AM11)</f>
        <v>61240</v>
      </c>
      <c r="AO11" s="86">
        <v>0</v>
      </c>
      <c r="AP11" s="86">
        <v>71313</v>
      </c>
      <c r="AQ11" s="83"/>
      <c r="AR11" s="83">
        <v>0</v>
      </c>
      <c r="AS11" s="83"/>
      <c r="AT11" s="83">
        <v>0</v>
      </c>
      <c r="AU11" s="83"/>
      <c r="AV11" s="86">
        <f t="shared" ref="AV11:AV20" si="3">SUM(AP11:AU11)</f>
        <v>71313</v>
      </c>
      <c r="AW11" s="86"/>
      <c r="AX11" s="86">
        <v>0</v>
      </c>
      <c r="AY11" s="86"/>
      <c r="AZ11" s="86">
        <v>59990</v>
      </c>
      <c r="BA11" s="86">
        <v>59990</v>
      </c>
      <c r="BB11" s="214"/>
      <c r="BC11" s="86"/>
      <c r="BD11" s="84">
        <f t="shared" ref="BD11:BD21" si="4">+AP11-AN11</f>
        <v>10073</v>
      </c>
      <c r="BE11" s="86"/>
      <c r="BF11" s="86"/>
      <c r="BG11" s="86"/>
      <c r="BH11" s="72">
        <v>1</v>
      </c>
      <c r="BJ11">
        <v>1</v>
      </c>
    </row>
    <row r="12" spans="1:62" ht="20.100000000000001" customHeight="1" outlineLevel="1">
      <c r="A12" s="77" t="s">
        <v>43</v>
      </c>
      <c r="B12" s="77" t="s">
        <v>912</v>
      </c>
      <c r="C12" s="77" t="s">
        <v>1103</v>
      </c>
      <c r="D12" s="78" t="s">
        <v>46</v>
      </c>
      <c r="E12" s="78" t="str">
        <f t="shared" ref="E12:E20" si="5">+D12</f>
        <v>000</v>
      </c>
      <c r="F12" s="3">
        <v>611411</v>
      </c>
      <c r="G12" s="179" t="s">
        <v>80</v>
      </c>
      <c r="H12" s="87"/>
      <c r="I12" s="13">
        <v>91457</v>
      </c>
      <c r="J12" s="13">
        <v>91753</v>
      </c>
      <c r="L12" s="56">
        <v>105644</v>
      </c>
      <c r="M12" s="56"/>
      <c r="N12" s="56">
        <v>103009</v>
      </c>
      <c r="O12" s="56"/>
      <c r="P12" s="56">
        <v>103009</v>
      </c>
      <c r="Q12" s="56"/>
      <c r="R12" s="56">
        <v>113650</v>
      </c>
      <c r="S12" s="56"/>
      <c r="T12" s="56">
        <v>0</v>
      </c>
      <c r="U12" s="56"/>
      <c r="V12" s="56">
        <v>113650</v>
      </c>
      <c r="W12" s="56"/>
      <c r="X12" s="56">
        <f>104529.1+8114.64</f>
        <v>112643.74</v>
      </c>
      <c r="Y12" s="56"/>
      <c r="Z12" s="56">
        <v>106423</v>
      </c>
      <c r="AA12" s="56"/>
      <c r="AB12" s="56">
        <v>0</v>
      </c>
      <c r="AC12" s="56"/>
      <c r="AD12" s="56"/>
      <c r="AE12" s="56"/>
      <c r="AF12" s="56">
        <f t="shared" si="0"/>
        <v>106423</v>
      </c>
      <c r="AG12" s="104">
        <v>9289</v>
      </c>
      <c r="AH12" s="56">
        <v>10125</v>
      </c>
      <c r="AI12" s="56"/>
      <c r="AJ12" s="56">
        <f t="shared" si="1"/>
        <v>125837</v>
      </c>
      <c r="AK12" s="85"/>
      <c r="AL12" s="56">
        <v>0</v>
      </c>
      <c r="AM12" s="56"/>
      <c r="AN12" s="88">
        <f t="shared" si="2"/>
        <v>125837</v>
      </c>
      <c r="AO12" s="88">
        <v>0</v>
      </c>
      <c r="AP12" s="88">
        <v>104275.51</v>
      </c>
      <c r="AQ12" s="56"/>
      <c r="AR12" s="56">
        <v>0</v>
      </c>
      <c r="AS12" s="56"/>
      <c r="AT12" s="56">
        <v>0</v>
      </c>
      <c r="AU12" s="56"/>
      <c r="AV12" s="56">
        <f t="shared" si="3"/>
        <v>104275.51</v>
      </c>
      <c r="AW12" s="56"/>
      <c r="AX12" s="56">
        <v>0</v>
      </c>
      <c r="AY12" s="56"/>
      <c r="AZ12" s="88">
        <v>104000</v>
      </c>
      <c r="BA12" s="56">
        <v>106000</v>
      </c>
      <c r="BB12" s="214"/>
      <c r="BC12" s="56"/>
      <c r="BD12" s="84">
        <f t="shared" si="4"/>
        <v>-21561.490000000005</v>
      </c>
      <c r="BE12" s="56"/>
      <c r="BF12" s="56"/>
      <c r="BG12" s="56"/>
      <c r="BH12" s="72">
        <v>1</v>
      </c>
      <c r="BJ12">
        <v>1</v>
      </c>
    </row>
    <row r="13" spans="1:62" ht="20.100000000000001" customHeight="1" outlineLevel="1">
      <c r="A13" s="77" t="s">
        <v>43</v>
      </c>
      <c r="B13" s="77" t="s">
        <v>912</v>
      </c>
      <c r="C13" s="77" t="s">
        <v>1103</v>
      </c>
      <c r="D13" s="78" t="s">
        <v>46</v>
      </c>
      <c r="E13" s="78" t="str">
        <f t="shared" si="5"/>
        <v>000</v>
      </c>
      <c r="F13" s="3">
        <v>633945</v>
      </c>
      <c r="G13" s="179" t="s">
        <v>913</v>
      </c>
      <c r="H13" s="87"/>
      <c r="I13" s="13">
        <v>0</v>
      </c>
      <c r="J13" s="13">
        <v>0</v>
      </c>
      <c r="L13" s="56">
        <v>0</v>
      </c>
      <c r="M13" s="56"/>
      <c r="N13" s="56">
        <v>0</v>
      </c>
      <c r="O13" s="56"/>
      <c r="P13" s="56">
        <v>0</v>
      </c>
      <c r="Q13" s="56"/>
      <c r="R13" s="56">
        <v>0</v>
      </c>
      <c r="S13" s="56"/>
      <c r="T13" s="56">
        <v>0</v>
      </c>
      <c r="U13" s="56"/>
      <c r="V13" s="56">
        <v>0</v>
      </c>
      <c r="W13" s="56"/>
      <c r="X13" s="56">
        <f>7982.76+1823.71</f>
        <v>9806.4700000000012</v>
      </c>
      <c r="Y13" s="56"/>
      <c r="Z13" s="56">
        <v>0</v>
      </c>
      <c r="AA13" s="56"/>
      <c r="AB13" s="56">
        <v>0</v>
      </c>
      <c r="AC13" s="56"/>
      <c r="AD13" s="56"/>
      <c r="AE13" s="56"/>
      <c r="AF13" s="56">
        <f t="shared" si="0"/>
        <v>0</v>
      </c>
      <c r="AG13" s="56">
        <v>0</v>
      </c>
      <c r="AH13" s="56">
        <v>0</v>
      </c>
      <c r="AI13" s="56"/>
      <c r="AJ13" s="56">
        <f t="shared" si="1"/>
        <v>0</v>
      </c>
      <c r="AK13" s="85"/>
      <c r="AL13" s="56">
        <v>0</v>
      </c>
      <c r="AM13" s="56"/>
      <c r="AN13" s="88">
        <f t="shared" si="2"/>
        <v>0</v>
      </c>
      <c r="AO13" s="88">
        <v>0</v>
      </c>
      <c r="AP13" s="88">
        <v>0</v>
      </c>
      <c r="AQ13" s="56"/>
      <c r="AR13" s="56">
        <v>0</v>
      </c>
      <c r="AS13" s="56"/>
      <c r="AT13" s="56">
        <v>0</v>
      </c>
      <c r="AU13" s="56"/>
      <c r="AV13" s="56">
        <f t="shared" si="3"/>
        <v>0</v>
      </c>
      <c r="AW13" s="56"/>
      <c r="AX13" s="56">
        <v>0</v>
      </c>
      <c r="AY13" s="56"/>
      <c r="AZ13" s="88">
        <v>0</v>
      </c>
      <c r="BA13" s="56">
        <v>0</v>
      </c>
      <c r="BB13" s="214"/>
      <c r="BC13" s="56"/>
      <c r="BD13" s="84">
        <f t="shared" si="4"/>
        <v>0</v>
      </c>
      <c r="BE13" s="56"/>
      <c r="BF13" s="56"/>
      <c r="BG13" s="56"/>
      <c r="BH13" s="72"/>
    </row>
    <row r="14" spans="1:62" ht="20.100000000000001" customHeight="1" outlineLevel="1">
      <c r="A14" s="77" t="s">
        <v>43</v>
      </c>
      <c r="B14" s="77" t="s">
        <v>912</v>
      </c>
      <c r="C14" s="77" t="s">
        <v>1103</v>
      </c>
      <c r="D14" s="78" t="s">
        <v>46</v>
      </c>
      <c r="E14" s="78" t="str">
        <f t="shared" si="5"/>
        <v>000</v>
      </c>
      <c r="F14" s="3">
        <v>634012</v>
      </c>
      <c r="G14" s="179" t="s">
        <v>914</v>
      </c>
      <c r="H14" s="87"/>
      <c r="I14" s="13">
        <v>0</v>
      </c>
      <c r="J14" s="13">
        <v>12000</v>
      </c>
      <c r="L14" s="56">
        <v>0</v>
      </c>
      <c r="M14" s="56"/>
      <c r="N14" s="56">
        <v>3000</v>
      </c>
      <c r="O14" s="56"/>
      <c r="P14" s="56">
        <v>3408</v>
      </c>
      <c r="Q14" s="56"/>
      <c r="R14" s="56">
        <v>3408</v>
      </c>
      <c r="S14" s="56"/>
      <c r="T14" s="56">
        <v>0</v>
      </c>
      <c r="U14" s="56"/>
      <c r="V14" s="56">
        <v>3408</v>
      </c>
      <c r="W14" s="56"/>
      <c r="X14" s="56">
        <v>399.84</v>
      </c>
      <c r="Y14" s="56"/>
      <c r="Z14" s="56">
        <v>3000</v>
      </c>
      <c r="AA14" s="56"/>
      <c r="AB14" s="56">
        <v>0</v>
      </c>
      <c r="AC14" s="56"/>
      <c r="AD14" s="56"/>
      <c r="AE14" s="56"/>
      <c r="AF14" s="56">
        <f t="shared" si="0"/>
        <v>3000</v>
      </c>
      <c r="AG14" s="56">
        <v>0</v>
      </c>
      <c r="AH14" s="56">
        <v>0</v>
      </c>
      <c r="AI14" s="56"/>
      <c r="AJ14" s="56">
        <f t="shared" si="1"/>
        <v>3000</v>
      </c>
      <c r="AK14" s="85"/>
      <c r="AL14" s="56">
        <v>0</v>
      </c>
      <c r="AM14" s="56"/>
      <c r="AN14" s="88">
        <f t="shared" si="2"/>
        <v>3000</v>
      </c>
      <c r="AO14" s="88">
        <v>0</v>
      </c>
      <c r="AP14" s="88">
        <v>0</v>
      </c>
      <c r="AQ14" s="56"/>
      <c r="AR14" s="56">
        <v>0</v>
      </c>
      <c r="AS14" s="56"/>
      <c r="AT14" s="56">
        <v>0</v>
      </c>
      <c r="AU14" s="56"/>
      <c r="AV14" s="56">
        <f t="shared" si="3"/>
        <v>0</v>
      </c>
      <c r="AW14" s="56"/>
      <c r="AX14" s="56">
        <v>0</v>
      </c>
      <c r="AY14" s="56"/>
      <c r="AZ14" s="88">
        <v>3000</v>
      </c>
      <c r="BA14" s="56">
        <v>3000</v>
      </c>
      <c r="BB14" s="214"/>
      <c r="BC14" s="56"/>
      <c r="BD14" s="84">
        <f t="shared" si="4"/>
        <v>-3000</v>
      </c>
      <c r="BE14" s="56"/>
      <c r="BF14" s="56"/>
      <c r="BG14" s="56"/>
      <c r="BH14" s="72"/>
    </row>
    <row r="15" spans="1:62" ht="20.100000000000001" customHeight="1" outlineLevel="1">
      <c r="A15" s="77" t="s">
        <v>43</v>
      </c>
      <c r="B15" s="77" t="s">
        <v>912</v>
      </c>
      <c r="C15" s="77" t="s">
        <v>1103</v>
      </c>
      <c r="D15" s="78" t="s">
        <v>46</v>
      </c>
      <c r="E15" s="78" t="str">
        <f t="shared" si="5"/>
        <v>000</v>
      </c>
      <c r="F15" s="3">
        <v>643011</v>
      </c>
      <c r="G15" s="180" t="s">
        <v>258</v>
      </c>
      <c r="H15" s="87"/>
      <c r="I15" s="13"/>
      <c r="J15" s="13"/>
      <c r="L15" s="56">
        <v>312</v>
      </c>
      <c r="M15" s="56"/>
      <c r="N15" s="56">
        <v>0</v>
      </c>
      <c r="O15" s="56"/>
      <c r="P15" s="56"/>
      <c r="Q15" s="56"/>
      <c r="R15" s="56"/>
      <c r="S15" s="56"/>
      <c r="T15" s="56">
        <v>0</v>
      </c>
      <c r="U15" s="56"/>
      <c r="V15" s="56">
        <v>0</v>
      </c>
      <c r="W15" s="56"/>
      <c r="X15" s="56">
        <v>0</v>
      </c>
      <c r="Y15" s="56"/>
      <c r="Z15" s="56">
        <v>0</v>
      </c>
      <c r="AA15" s="56"/>
      <c r="AB15" s="56">
        <v>0</v>
      </c>
      <c r="AC15" s="56"/>
      <c r="AD15" s="56"/>
      <c r="AE15" s="56"/>
      <c r="AF15" s="56">
        <f t="shared" si="0"/>
        <v>0</v>
      </c>
      <c r="AG15" s="56">
        <v>0</v>
      </c>
      <c r="AH15" s="56">
        <v>0</v>
      </c>
      <c r="AI15" s="56"/>
      <c r="AJ15" s="56">
        <f t="shared" si="1"/>
        <v>0</v>
      </c>
      <c r="AK15" s="85"/>
      <c r="AL15" s="56">
        <v>0</v>
      </c>
      <c r="AM15" s="56"/>
      <c r="AN15" s="88">
        <f t="shared" si="2"/>
        <v>0</v>
      </c>
      <c r="AO15" s="88">
        <v>0</v>
      </c>
      <c r="AP15" s="88">
        <v>1258.0999999999999</v>
      </c>
      <c r="AQ15" s="56"/>
      <c r="AR15" s="56">
        <v>0</v>
      </c>
      <c r="AS15" s="56"/>
      <c r="AT15" s="56">
        <v>0</v>
      </c>
      <c r="AU15" s="56"/>
      <c r="AV15" s="56">
        <f t="shared" si="3"/>
        <v>1258.0999999999999</v>
      </c>
      <c r="AW15" s="56"/>
      <c r="AX15" s="56">
        <v>0</v>
      </c>
      <c r="AY15" s="56"/>
      <c r="AZ15" s="88">
        <v>0</v>
      </c>
      <c r="BA15" s="56">
        <v>0</v>
      </c>
      <c r="BB15" s="214"/>
      <c r="BC15" s="56"/>
      <c r="BD15" s="84">
        <f t="shared" si="4"/>
        <v>1258.0999999999999</v>
      </c>
      <c r="BE15" s="56"/>
      <c r="BF15" s="56"/>
      <c r="BG15" s="56"/>
      <c r="BH15" s="72"/>
    </row>
    <row r="16" spans="1:62" ht="20.100000000000001" customHeight="1" outlineLevel="1">
      <c r="A16" s="77" t="s">
        <v>43</v>
      </c>
      <c r="B16" s="77" t="s">
        <v>912</v>
      </c>
      <c r="C16" s="77" t="s">
        <v>1103</v>
      </c>
      <c r="D16" s="78" t="s">
        <v>46</v>
      </c>
      <c r="E16" s="78" t="str">
        <f t="shared" si="5"/>
        <v>000</v>
      </c>
      <c r="F16" s="3">
        <v>644212</v>
      </c>
      <c r="G16" s="180" t="s">
        <v>1131</v>
      </c>
      <c r="H16" s="87"/>
      <c r="I16" s="13"/>
      <c r="J16" s="13"/>
      <c r="L16" s="56">
        <v>0</v>
      </c>
      <c r="M16" s="56"/>
      <c r="N16" s="56"/>
      <c r="O16" s="56"/>
      <c r="P16" s="56"/>
      <c r="Q16" s="56"/>
      <c r="R16" s="56"/>
      <c r="S16" s="56"/>
      <c r="T16" s="56"/>
      <c r="U16" s="56"/>
      <c r="V16" s="56"/>
      <c r="W16" s="56"/>
      <c r="X16" s="56">
        <v>0</v>
      </c>
      <c r="Y16" s="56"/>
      <c r="Z16" s="56"/>
      <c r="AA16" s="56"/>
      <c r="AB16" s="56"/>
      <c r="AC16" s="56"/>
      <c r="AD16" s="56"/>
      <c r="AE16" s="56"/>
      <c r="AF16" s="56"/>
      <c r="AG16" s="56"/>
      <c r="AH16" s="56"/>
      <c r="AI16" s="56"/>
      <c r="AJ16" s="56"/>
      <c r="AK16" s="85"/>
      <c r="AL16" s="56"/>
      <c r="AM16" s="56"/>
      <c r="AN16" s="88">
        <v>0</v>
      </c>
      <c r="AO16" s="88"/>
      <c r="AP16" s="88">
        <v>2070.58</v>
      </c>
      <c r="AQ16" s="56"/>
      <c r="AR16" s="56"/>
      <c r="AS16" s="56"/>
      <c r="AT16" s="56"/>
      <c r="AU16" s="56"/>
      <c r="AV16" s="56"/>
      <c r="AW16" s="56"/>
      <c r="AX16" s="56"/>
      <c r="AY16" s="56"/>
      <c r="AZ16" s="88">
        <v>0</v>
      </c>
      <c r="BA16" s="56">
        <v>0</v>
      </c>
      <c r="BB16" s="214"/>
      <c r="BC16" s="56"/>
      <c r="BD16" s="84"/>
      <c r="BE16" s="56"/>
      <c r="BF16" s="56"/>
      <c r="BG16" s="56"/>
      <c r="BH16" s="72"/>
    </row>
    <row r="17" spans="1:63" ht="20.100000000000001" customHeight="1" outlineLevel="1">
      <c r="A17" s="77" t="s">
        <v>43</v>
      </c>
      <c r="B17" s="77" t="s">
        <v>912</v>
      </c>
      <c r="C17" s="77" t="s">
        <v>1103</v>
      </c>
      <c r="D17" s="78" t="s">
        <v>46</v>
      </c>
      <c r="E17" s="78" t="str">
        <f t="shared" si="5"/>
        <v>000</v>
      </c>
      <c r="F17" s="3">
        <v>653051</v>
      </c>
      <c r="G17" s="180" t="s">
        <v>71</v>
      </c>
      <c r="H17" s="87"/>
      <c r="I17" s="13">
        <v>6866</v>
      </c>
      <c r="J17" s="13">
        <v>6737</v>
      </c>
      <c r="L17" s="56">
        <v>6818</v>
      </c>
      <c r="M17" s="56"/>
      <c r="N17" s="56">
        <v>6000</v>
      </c>
      <c r="O17" s="56"/>
      <c r="P17" s="56">
        <v>6000</v>
      </c>
      <c r="Q17" s="56"/>
      <c r="R17" s="56">
        <v>6000</v>
      </c>
      <c r="S17" s="56"/>
      <c r="T17" s="56">
        <v>0</v>
      </c>
      <c r="U17" s="56"/>
      <c r="V17" s="56">
        <v>6000</v>
      </c>
      <c r="W17" s="56"/>
      <c r="X17" s="56">
        <v>7143.96</v>
      </c>
      <c r="Y17" s="56"/>
      <c r="Z17" s="56">
        <v>6000</v>
      </c>
      <c r="AA17" s="56"/>
      <c r="AB17" s="56">
        <v>0</v>
      </c>
      <c r="AC17" s="56"/>
      <c r="AD17" s="56"/>
      <c r="AE17" s="56"/>
      <c r="AF17" s="56">
        <f t="shared" si="0"/>
        <v>6000</v>
      </c>
      <c r="AG17" s="56">
        <v>0</v>
      </c>
      <c r="AH17" s="56">
        <v>0</v>
      </c>
      <c r="AI17" s="56"/>
      <c r="AJ17" s="56">
        <f t="shared" si="1"/>
        <v>6000</v>
      </c>
      <c r="AK17" s="85"/>
      <c r="AL17" s="56">
        <v>0</v>
      </c>
      <c r="AM17" s="56"/>
      <c r="AN17" s="88">
        <f t="shared" si="2"/>
        <v>6000</v>
      </c>
      <c r="AO17" s="88">
        <v>0</v>
      </c>
      <c r="AP17" s="88">
        <v>8769.7900000000009</v>
      </c>
      <c r="AQ17" s="56"/>
      <c r="AR17" s="56">
        <v>0</v>
      </c>
      <c r="AS17" s="56"/>
      <c r="AT17" s="56">
        <v>0</v>
      </c>
      <c r="AU17" s="56"/>
      <c r="AV17" s="56">
        <f t="shared" si="3"/>
        <v>8769.7900000000009</v>
      </c>
      <c r="AW17" s="56"/>
      <c r="AX17" s="56">
        <v>0</v>
      </c>
      <c r="AY17" s="56"/>
      <c r="AZ17" s="88">
        <v>7000</v>
      </c>
      <c r="BA17" s="56">
        <v>7000</v>
      </c>
      <c r="BB17" s="214"/>
      <c r="BC17" s="56"/>
      <c r="BD17" s="84">
        <f t="shared" si="4"/>
        <v>2769.7900000000009</v>
      </c>
      <c r="BE17" s="56"/>
      <c r="BF17" s="56"/>
      <c r="BG17" s="56"/>
      <c r="BH17" s="72"/>
    </row>
    <row r="18" spans="1:63" ht="20.100000000000001" customHeight="1" outlineLevel="1">
      <c r="A18" s="77" t="s">
        <v>43</v>
      </c>
      <c r="B18" s="77" t="s">
        <v>912</v>
      </c>
      <c r="C18" s="77" t="s">
        <v>1103</v>
      </c>
      <c r="D18" s="78" t="s">
        <v>46</v>
      </c>
      <c r="E18" s="78" t="str">
        <f t="shared" si="5"/>
        <v>000</v>
      </c>
      <c r="F18" s="3">
        <v>658211</v>
      </c>
      <c r="G18" s="102" t="s">
        <v>72</v>
      </c>
      <c r="H18" s="87"/>
      <c r="I18" s="13">
        <v>0</v>
      </c>
      <c r="J18" s="13">
        <v>0</v>
      </c>
      <c r="L18" s="56"/>
      <c r="M18" s="56"/>
      <c r="N18" s="56">
        <v>0</v>
      </c>
      <c r="O18" s="56"/>
      <c r="P18" s="56">
        <v>0</v>
      </c>
      <c r="Q18" s="56"/>
      <c r="R18" s="56">
        <v>0</v>
      </c>
      <c r="S18" s="56"/>
      <c r="T18" s="56">
        <v>0</v>
      </c>
      <c r="U18" s="56"/>
      <c r="V18" s="56">
        <v>0</v>
      </c>
      <c r="W18" s="56"/>
      <c r="X18" s="56">
        <v>0</v>
      </c>
      <c r="Y18" s="56"/>
      <c r="Z18" s="56">
        <v>0</v>
      </c>
      <c r="AA18" s="56"/>
      <c r="AB18" s="56">
        <v>0</v>
      </c>
      <c r="AC18" s="56"/>
      <c r="AD18" s="56"/>
      <c r="AE18" s="56"/>
      <c r="AF18" s="56">
        <f t="shared" si="0"/>
        <v>0</v>
      </c>
      <c r="AG18" s="56">
        <v>0</v>
      </c>
      <c r="AH18" s="56">
        <v>0</v>
      </c>
      <c r="AI18" s="56"/>
      <c r="AJ18" s="56">
        <f t="shared" si="1"/>
        <v>0</v>
      </c>
      <c r="AK18" s="85"/>
      <c r="AL18" s="56">
        <v>0</v>
      </c>
      <c r="AM18" s="56"/>
      <c r="AN18" s="88">
        <f t="shared" si="2"/>
        <v>0</v>
      </c>
      <c r="AO18" s="88">
        <v>0</v>
      </c>
      <c r="AP18" s="88">
        <v>897.38</v>
      </c>
      <c r="AQ18" s="56"/>
      <c r="AR18" s="56">
        <v>0</v>
      </c>
      <c r="AS18" s="56"/>
      <c r="AT18" s="56">
        <v>0</v>
      </c>
      <c r="AU18" s="56"/>
      <c r="AV18" s="56">
        <f t="shared" si="3"/>
        <v>897.38</v>
      </c>
      <c r="AW18" s="56"/>
      <c r="AX18" s="56">
        <v>0</v>
      </c>
      <c r="AY18" s="56"/>
      <c r="AZ18" s="88">
        <v>0</v>
      </c>
      <c r="BA18" s="56">
        <v>0</v>
      </c>
      <c r="BB18" s="214"/>
      <c r="BC18" s="56"/>
      <c r="BD18" s="84">
        <f t="shared" si="4"/>
        <v>897.38</v>
      </c>
      <c r="BE18" s="56"/>
      <c r="BF18" s="56"/>
      <c r="BG18" s="56"/>
      <c r="BH18" s="72"/>
    </row>
    <row r="19" spans="1:63" ht="20.100000000000001" customHeight="1" outlineLevel="1">
      <c r="A19" s="77" t="s">
        <v>43</v>
      </c>
      <c r="B19" s="77" t="s">
        <v>912</v>
      </c>
      <c r="C19" s="77" t="s">
        <v>1103</v>
      </c>
      <c r="D19" s="78" t="s">
        <v>46</v>
      </c>
      <c r="E19" s="78" t="str">
        <f t="shared" si="5"/>
        <v>000</v>
      </c>
      <c r="F19" s="3">
        <v>661001</v>
      </c>
      <c r="G19" s="179" t="s">
        <v>73</v>
      </c>
      <c r="H19" s="87"/>
      <c r="I19" s="13">
        <v>4416</v>
      </c>
      <c r="J19" s="13">
        <v>5868</v>
      </c>
      <c r="L19" s="56">
        <v>4358</v>
      </c>
      <c r="M19" s="56"/>
      <c r="N19" s="56">
        <v>5100</v>
      </c>
      <c r="O19" s="56"/>
      <c r="P19" s="56">
        <v>5100</v>
      </c>
      <c r="Q19" s="56"/>
      <c r="R19" s="56">
        <v>5100</v>
      </c>
      <c r="S19" s="56"/>
      <c r="T19" s="56">
        <v>0</v>
      </c>
      <c r="U19" s="56"/>
      <c r="V19" s="56">
        <v>5100</v>
      </c>
      <c r="W19" s="56"/>
      <c r="X19" s="56">
        <f>2232.94+2940.32</f>
        <v>5173.26</v>
      </c>
      <c r="Y19" s="56"/>
      <c r="Z19" s="56">
        <v>7290</v>
      </c>
      <c r="AA19" s="56"/>
      <c r="AB19" s="56">
        <v>0</v>
      </c>
      <c r="AC19" s="56"/>
      <c r="AD19" s="56"/>
      <c r="AE19" s="56"/>
      <c r="AF19" s="56">
        <f t="shared" si="0"/>
        <v>7290</v>
      </c>
      <c r="AG19" s="56">
        <v>0</v>
      </c>
      <c r="AH19" s="56">
        <v>0</v>
      </c>
      <c r="AI19" s="56"/>
      <c r="AJ19" s="56">
        <f t="shared" si="1"/>
        <v>7290</v>
      </c>
      <c r="AK19" s="85"/>
      <c r="AL19" s="56">
        <v>0</v>
      </c>
      <c r="AM19" s="56"/>
      <c r="AN19" s="88">
        <f t="shared" si="2"/>
        <v>7290</v>
      </c>
      <c r="AO19" s="88">
        <v>0</v>
      </c>
      <c r="AP19" s="88">
        <v>8335.06</v>
      </c>
      <c r="AQ19" s="56"/>
      <c r="AR19" s="56">
        <v>0</v>
      </c>
      <c r="AS19" s="56"/>
      <c r="AT19" s="56">
        <v>0</v>
      </c>
      <c r="AU19" s="56"/>
      <c r="AV19" s="56">
        <f t="shared" si="3"/>
        <v>8335.06</v>
      </c>
      <c r="AW19" s="56"/>
      <c r="AX19" s="56">
        <v>0</v>
      </c>
      <c r="AY19" s="56"/>
      <c r="AZ19" s="88">
        <v>7000</v>
      </c>
      <c r="BA19" s="56">
        <v>7000</v>
      </c>
      <c r="BB19" s="214"/>
      <c r="BC19" s="56"/>
      <c r="BD19" s="84">
        <f t="shared" si="4"/>
        <v>1045.0599999999995</v>
      </c>
      <c r="BE19" s="56"/>
      <c r="BF19" s="56"/>
      <c r="BG19" s="56"/>
      <c r="BH19" s="72"/>
    </row>
    <row r="20" spans="1:63" ht="20.100000000000001" customHeight="1" outlineLevel="1">
      <c r="A20" s="77" t="s">
        <v>43</v>
      </c>
      <c r="B20" s="77" t="s">
        <v>912</v>
      </c>
      <c r="C20" s="77" t="s">
        <v>1103</v>
      </c>
      <c r="D20" s="78" t="s">
        <v>46</v>
      </c>
      <c r="E20" s="78" t="str">
        <f t="shared" si="5"/>
        <v>000</v>
      </c>
      <c r="F20" s="3">
        <v>673011</v>
      </c>
      <c r="G20" s="179" t="s">
        <v>57</v>
      </c>
      <c r="H20" s="87"/>
      <c r="I20" s="13">
        <v>0</v>
      </c>
      <c r="J20" s="13">
        <v>0</v>
      </c>
      <c r="L20" s="56">
        <v>0</v>
      </c>
      <c r="M20" s="56"/>
      <c r="N20" s="56">
        <v>0</v>
      </c>
      <c r="O20" s="56"/>
      <c r="P20" s="56">
        <v>1100</v>
      </c>
      <c r="Q20" s="56"/>
      <c r="R20" s="56">
        <v>1100</v>
      </c>
      <c r="S20" s="56"/>
      <c r="T20" s="56">
        <v>0</v>
      </c>
      <c r="U20" s="56"/>
      <c r="V20" s="56">
        <v>1100</v>
      </c>
      <c r="W20" s="56"/>
      <c r="X20" s="56">
        <v>1100</v>
      </c>
      <c r="Y20" s="56"/>
      <c r="Z20" s="56">
        <v>0</v>
      </c>
      <c r="AA20" s="56"/>
      <c r="AB20" s="56">
        <v>0</v>
      </c>
      <c r="AC20" s="56"/>
      <c r="AD20" s="56"/>
      <c r="AE20" s="56"/>
      <c r="AF20" s="56">
        <f t="shared" si="0"/>
        <v>0</v>
      </c>
      <c r="AG20" s="56">
        <v>0</v>
      </c>
      <c r="AH20" s="56">
        <v>0</v>
      </c>
      <c r="AI20" s="56"/>
      <c r="AJ20" s="56">
        <f t="shared" si="1"/>
        <v>0</v>
      </c>
      <c r="AK20" s="85"/>
      <c r="AL20" s="56">
        <v>0</v>
      </c>
      <c r="AM20" s="56"/>
      <c r="AN20" s="88">
        <f t="shared" si="2"/>
        <v>0</v>
      </c>
      <c r="AO20" s="88">
        <v>0</v>
      </c>
      <c r="AP20" s="88">
        <v>0</v>
      </c>
      <c r="AQ20" s="56"/>
      <c r="AR20" s="56">
        <v>0</v>
      </c>
      <c r="AS20" s="56"/>
      <c r="AT20" s="56">
        <v>0</v>
      </c>
      <c r="AU20" s="56"/>
      <c r="AV20" s="56">
        <f t="shared" si="3"/>
        <v>0</v>
      </c>
      <c r="AW20" s="56"/>
      <c r="AX20" s="56">
        <v>0</v>
      </c>
      <c r="AY20" s="56"/>
      <c r="AZ20" s="88">
        <v>0</v>
      </c>
      <c r="BA20" s="56">
        <v>0</v>
      </c>
      <c r="BB20" s="56"/>
      <c r="BC20" s="56"/>
      <c r="BD20" s="84">
        <f t="shared" si="4"/>
        <v>0</v>
      </c>
      <c r="BE20" s="56"/>
      <c r="BF20" s="56"/>
      <c r="BG20" s="56"/>
      <c r="BH20" s="72"/>
    </row>
    <row r="21" spans="1:63" ht="20.100000000000001" customHeight="1">
      <c r="B21" s="77"/>
      <c r="C21" s="77"/>
      <c r="D21" s="90"/>
      <c r="E21" s="90"/>
      <c r="F21" s="3"/>
      <c r="G21" s="110" t="s">
        <v>915</v>
      </c>
      <c r="H21" s="81"/>
      <c r="I21" s="92">
        <v>153589</v>
      </c>
      <c r="J21" s="93">
        <v>167177</v>
      </c>
      <c r="L21" s="125">
        <v>173481</v>
      </c>
      <c r="M21" s="126"/>
      <c r="N21" s="125">
        <v>175856</v>
      </c>
      <c r="O21" s="126"/>
      <c r="P21" s="181">
        <v>177364</v>
      </c>
      <c r="Q21" s="126"/>
      <c r="R21" s="181">
        <v>189705</v>
      </c>
      <c r="S21" s="95"/>
      <c r="T21" s="94">
        <v>0</v>
      </c>
      <c r="U21" s="126"/>
      <c r="V21" s="94">
        <v>189705</v>
      </c>
      <c r="W21" s="126"/>
      <c r="X21" s="125">
        <f>SUBTOTAL(9,X11:X20)</f>
        <v>196714.23</v>
      </c>
      <c r="Y21" s="126"/>
      <c r="Z21" s="94">
        <f>SUBTOTAL(9,Z11:Z20)</f>
        <v>182703</v>
      </c>
      <c r="AA21" s="126"/>
      <c r="AB21" s="94">
        <f>SUBTOTAL(9,AB11:AB20)</f>
        <v>0</v>
      </c>
      <c r="AC21" s="126"/>
      <c r="AD21" s="94">
        <f>SUBTOTAL(9,AD11:AD20)</f>
        <v>0</v>
      </c>
      <c r="AE21" s="126"/>
      <c r="AF21" s="94">
        <f>SUBTOTAL(9,AF11:AF20)</f>
        <v>182703</v>
      </c>
      <c r="AG21" s="94">
        <f>SUBTOTAL(9,AG11:AG20)</f>
        <v>9289</v>
      </c>
      <c r="AH21" s="94">
        <f>SUBTOTAL(9,AH11:AH20)</f>
        <v>11375</v>
      </c>
      <c r="AI21" s="126"/>
      <c r="AJ21" s="94">
        <f>SUBTOTAL(9,AJ11:AJ20)</f>
        <v>203367</v>
      </c>
      <c r="AK21" s="96"/>
      <c r="AL21" s="94">
        <f>SUBTOTAL(9,AL11:AL20)</f>
        <v>0</v>
      </c>
      <c r="AM21" s="126"/>
      <c r="AN21" s="97">
        <f>SUBTOTAL(9,AN11:AN20)</f>
        <v>203367</v>
      </c>
      <c r="AO21" s="97">
        <f>SUBTOTAL(9,AO11:AO20)</f>
        <v>0</v>
      </c>
      <c r="AP21" s="97">
        <f>SUBTOTAL(9,AP11:AP20)</f>
        <v>196919.42</v>
      </c>
      <c r="AQ21" s="126"/>
      <c r="AR21" s="94">
        <f>SUBTOTAL(9,AR11:AR20)</f>
        <v>0</v>
      </c>
      <c r="AS21" s="126"/>
      <c r="AT21" s="94">
        <f>SUBTOTAL(9,AT11:AT20)</f>
        <v>0</v>
      </c>
      <c r="AU21" s="126"/>
      <c r="AV21" s="94">
        <f>SUBTOTAL(9,AV11:AV20)</f>
        <v>194848.84000000003</v>
      </c>
      <c r="AW21" s="95"/>
      <c r="AX21" s="94">
        <f>SUBTOTAL(9,AX11:AX20)</f>
        <v>0</v>
      </c>
      <c r="AY21" s="95"/>
      <c r="AZ21" s="97">
        <f>SUBTOTAL(9,AZ11:AZ20)</f>
        <v>180990</v>
      </c>
      <c r="BA21" s="94">
        <f>SUBTOTAL(9,BA11:BA20)</f>
        <v>182990</v>
      </c>
      <c r="BB21" s="94"/>
      <c r="BC21" s="94"/>
      <c r="BD21" s="98">
        <f t="shared" si="4"/>
        <v>-6447.5799999999872</v>
      </c>
      <c r="BE21" s="95"/>
      <c r="BF21" s="95"/>
      <c r="BG21" s="95"/>
      <c r="BH21" s="99"/>
    </row>
    <row r="23" spans="1:63">
      <c r="R23" s="7">
        <v>420044982</v>
      </c>
      <c r="BI23" s="211"/>
      <c r="BJ23" s="7"/>
      <c r="BK23" s="7"/>
    </row>
    <row r="24" spans="1:63">
      <c r="BI24" s="211"/>
      <c r="BJ24" s="7"/>
    </row>
  </sheetData>
  <autoFilter ref="A9:BH21"/>
  <mergeCells count="8">
    <mergeCell ref="A6:F6"/>
    <mergeCell ref="A7:F7"/>
    <mergeCell ref="AB5:AD5"/>
    <mergeCell ref="A8:E8"/>
    <mergeCell ref="AG2:AH2"/>
    <mergeCell ref="AG3:AH3"/>
    <mergeCell ref="AG4:AH4"/>
    <mergeCell ref="AB4:AD4"/>
  </mergeCells>
  <phoneticPr fontId="3" type="noConversion"/>
  <conditionalFormatting sqref="F1:F1048576">
    <cfRule type="cellIs" dxfId="14" priority="1" stopIfTrue="1" operator="between">
      <formula>610000</formula>
      <formula>619999</formula>
    </cfRule>
  </conditionalFormatting>
  <pageMargins left="0.54" right="0.25" top="0.24" bottom="0.49" header="0.25" footer="0"/>
  <pageSetup scale="77" fitToHeight="0" orientation="landscape" r:id="rId1"/>
  <headerFooter alignWithMargins="0">
    <oddFooter>&amp;C&amp;8Detail of Expenditures Budget By Department, Page &amp;P of &amp;N</oddFooter>
  </headerFooter>
  <legacyDrawing r:id="rId2"/>
</worksheet>
</file>

<file path=xl/worksheets/sheet24.xml><?xml version="1.0" encoding="utf-8"?>
<worksheet xmlns="http://schemas.openxmlformats.org/spreadsheetml/2006/main" xmlns:r="http://schemas.openxmlformats.org/officeDocument/2006/relationships">
  <sheetPr codeName="Sheet30" enableFormatConditionsCalculation="0">
    <tabColor indexed="17"/>
    <pageSetUpPr fitToPage="1"/>
  </sheetPr>
  <dimension ref="A1:BJ21"/>
  <sheetViews>
    <sheetView zoomScale="87" zoomScaleNormal="90" workbookViewId="0">
      <pane xSplit="8" ySplit="9" topLeftCell="AN10" activePane="bottomRight" state="frozen"/>
      <selection activeCell="A28" sqref="A28"/>
      <selection pane="topRight" activeCell="A28" sqref="A28"/>
      <selection pane="bottomLeft" activeCell="A28" sqref="A28"/>
      <selection pane="bottomRight"/>
    </sheetView>
  </sheetViews>
  <sheetFormatPr defaultRowHeight="12.75" outlineLevelRow="1" outlineLevelCol="1"/>
  <cols>
    <col min="1" max="1" width="7" style="39" customWidth="1" outlineLevel="1"/>
    <col min="2" max="2" width="6.140625" style="39" customWidth="1" outlineLevel="1"/>
    <col min="3" max="3" width="3.7109375" style="39" customWidth="1" outlineLevel="1"/>
    <col min="4" max="5" width="4.85546875" style="168" customWidth="1" outlineLevel="1"/>
    <col min="6" max="6" width="8.7109375" style="40" customWidth="1" outlineLevel="1"/>
    <col min="7" max="7" width="28.5703125" style="4" customWidth="1"/>
    <col min="8" max="8" width="16.5703125" style="4" hidden="1" customWidth="1"/>
    <col min="9" max="10" width="15.140625" style="4" hidden="1" customWidth="1" collapsed="1"/>
    <col min="11" max="11" width="39.5703125" style="4" hidden="1" customWidth="1"/>
    <col min="12" max="12" width="15.140625" style="7" bestFit="1" customWidth="1" collapsed="1"/>
    <col min="13" max="13" width="31.7109375" style="7" hidden="1" customWidth="1"/>
    <col min="14" max="14" width="35.5703125" style="7" hidden="1" customWidth="1" collapsed="1"/>
    <col min="15" max="15" width="0.140625" style="7" customWidth="1"/>
    <col min="16" max="16" width="25.28515625" style="7" hidden="1" customWidth="1" outlineLevel="1" collapsed="1"/>
    <col min="17" max="17" width="23.42578125" style="7" hidden="1" customWidth="1" outlineLevel="1"/>
    <col min="18" max="18" width="20.5703125" style="7" hidden="1" customWidth="1" outlineLevel="1" collapsed="1"/>
    <col min="19" max="19" width="18" style="7" hidden="1" customWidth="1" outlineLevel="1"/>
    <col min="20" max="20" width="19.5703125" style="7" hidden="1" customWidth="1" outlineLevel="1"/>
    <col min="21" max="21" width="18.42578125" style="7" hidden="1" customWidth="1" outlineLevel="1"/>
    <col min="22" max="22" width="13.140625" style="7" hidden="1" customWidth="1"/>
    <col min="23" max="23" width="14.140625" style="7" hidden="1" customWidth="1"/>
    <col min="24" max="24" width="14.5703125" style="7" customWidth="1" collapsed="1"/>
    <col min="25" max="25" width="0.85546875" style="7" hidden="1" customWidth="1"/>
    <col min="26" max="26" width="16.140625" style="7" hidden="1" customWidth="1"/>
    <col min="27" max="27" width="0.140625" style="7" hidden="1" customWidth="1"/>
    <col min="28" max="28" width="16.140625" style="7" hidden="1" customWidth="1" outlineLevel="1"/>
    <col min="29" max="29" width="0.42578125" style="7" hidden="1" customWidth="1" outlineLevel="1"/>
    <col min="30" max="30" width="17.85546875" style="7" hidden="1" customWidth="1" outlineLevel="1"/>
    <col min="31" max="31" width="0.42578125" style="7" hidden="1" customWidth="1" outlineLevel="1"/>
    <col min="32" max="32" width="16.140625" style="7" hidden="1" customWidth="1" collapsed="1"/>
    <col min="33" max="33" width="16" style="7" hidden="1" customWidth="1" outlineLevel="1"/>
    <col min="34" max="34" width="17" style="7" hidden="1" customWidth="1" outlineLevel="1"/>
    <col min="35" max="35" width="10.5703125" style="7" hidden="1" customWidth="1" outlineLevel="1"/>
    <col min="36" max="36" width="16.140625" style="7" hidden="1" customWidth="1" collapsed="1"/>
    <col min="37" max="37" width="0.7109375" style="7" hidden="1" customWidth="1"/>
    <col min="38" max="38" width="16.140625" style="7" hidden="1" customWidth="1" outlineLevel="1"/>
    <col min="39" max="39" width="4.140625" style="7" hidden="1" customWidth="1" outlineLevel="1"/>
    <col min="40" max="40" width="16.140625" style="17" customWidth="1" collapsed="1"/>
    <col min="41" max="41" width="16.140625" style="17" hidden="1" customWidth="1" collapsed="1"/>
    <col min="42" max="42" width="16.140625" style="17" customWidth="1" collapsed="1"/>
    <col min="43" max="43" width="0.7109375" style="7" hidden="1" customWidth="1" outlineLevel="1"/>
    <col min="44" max="44" width="22.140625" style="7" hidden="1" customWidth="1" outlineLevel="1"/>
    <col min="45" max="45" width="0.42578125" style="7" hidden="1" customWidth="1" outlineLevel="1"/>
    <col min="46" max="46" width="17.85546875" style="7" hidden="1" customWidth="1" outlineLevel="1"/>
    <col min="47" max="47" width="0.42578125" style="7" hidden="1" customWidth="1" outlineLevel="1"/>
    <col min="48" max="48" width="18" style="7" hidden="1" customWidth="1" collapsed="1"/>
    <col min="49" max="49" width="0.5703125" style="7" hidden="1" customWidth="1"/>
    <col min="50" max="50" width="18" style="7" hidden="1" customWidth="1"/>
    <col min="51" max="51" width="0.5703125" style="7" customWidth="1"/>
    <col min="52" max="52" width="15.140625" style="7" customWidth="1"/>
    <col min="53" max="53" width="15.7109375" style="7" bestFit="1" customWidth="1"/>
    <col min="54" max="54" width="15.140625" style="7" customWidth="1"/>
    <col min="55" max="55" width="23.140625" style="7" customWidth="1"/>
    <col min="56" max="56" width="19.85546875" style="7" bestFit="1" customWidth="1"/>
    <col min="57" max="59" width="12.42578125" style="7" customWidth="1"/>
    <col min="60" max="60" width="3.85546875" style="76" customWidth="1"/>
    <col min="61" max="61" width="14.5703125" style="12" bestFit="1" customWidth="1"/>
  </cols>
  <sheetData>
    <row r="1" spans="1:62" ht="15">
      <c r="A1" s="1" t="s">
        <v>0</v>
      </c>
      <c r="B1" s="2"/>
      <c r="C1" s="2"/>
      <c r="D1" s="1"/>
      <c r="E1" s="1"/>
      <c r="F1" s="3"/>
      <c r="H1" s="5"/>
      <c r="I1" s="6"/>
      <c r="T1" s="8"/>
      <c r="Z1" s="9"/>
      <c r="AB1" s="9"/>
      <c r="AD1" s="9"/>
      <c r="AF1" s="9"/>
      <c r="AH1" s="10" t="e">
        <f>+#REF!</f>
        <v>#REF!</v>
      </c>
      <c r="AJ1" s="9"/>
      <c r="AK1" s="9"/>
      <c r="AN1" s="9"/>
      <c r="AO1" s="9"/>
      <c r="AP1" s="9"/>
      <c r="AR1" s="9"/>
      <c r="AT1" s="9"/>
      <c r="AV1" s="9"/>
      <c r="AW1" s="9"/>
      <c r="AX1" s="9"/>
      <c r="AY1" s="9"/>
      <c r="AZ1" s="9"/>
      <c r="BA1" s="9"/>
      <c r="BB1" s="9"/>
      <c r="BC1" s="9"/>
      <c r="BD1" s="9"/>
      <c r="BE1" s="9"/>
      <c r="BF1" s="9"/>
      <c r="BG1" s="9"/>
      <c r="BH1" s="11"/>
    </row>
    <row r="2" spans="1:62" ht="15">
      <c r="A2" s="1" t="s">
        <v>1053</v>
      </c>
      <c r="B2" s="2"/>
      <c r="C2" s="2"/>
      <c r="D2" s="1"/>
      <c r="E2" s="1"/>
      <c r="F2" s="3"/>
      <c r="H2" s="5"/>
      <c r="I2" s="13"/>
      <c r="J2" s="14"/>
      <c r="K2" s="14"/>
      <c r="L2" s="15"/>
      <c r="M2" s="15"/>
      <c r="N2" s="15"/>
      <c r="O2" s="15"/>
      <c r="P2" s="15"/>
      <c r="R2" s="15"/>
      <c r="T2" s="8"/>
      <c r="V2" s="15"/>
      <c r="X2" s="15"/>
      <c r="Z2" s="15"/>
      <c r="AB2" s="15"/>
      <c r="AD2" s="15"/>
      <c r="AF2" s="15"/>
      <c r="AG2" s="238" t="s">
        <v>1</v>
      </c>
      <c r="AH2" s="238"/>
      <c r="AI2" s="17"/>
      <c r="AJ2" s="18"/>
      <c r="AK2" s="15"/>
      <c r="AL2" s="10" t="e">
        <f>+#REF!</f>
        <v>#REF!</v>
      </c>
      <c r="AN2" s="18"/>
      <c r="AO2" s="18"/>
      <c r="AP2" s="18"/>
      <c r="AR2" s="15"/>
      <c r="AT2" s="15"/>
      <c r="AV2" s="15"/>
      <c r="AW2" s="15"/>
      <c r="AX2" s="15"/>
      <c r="AY2" s="15"/>
      <c r="AZ2" s="15"/>
      <c r="BA2" s="15"/>
      <c r="BB2" s="15"/>
      <c r="BC2" s="15"/>
      <c r="BD2" s="15"/>
      <c r="BE2" s="15"/>
      <c r="BF2" s="15"/>
      <c r="BG2" s="15"/>
      <c r="BH2" s="19"/>
    </row>
    <row r="3" spans="1:62">
      <c r="A3" s="20" t="str">
        <f>IF(G7=1,"DETAIL OF EXPENDITURES BUDGET BY DEPARTMENT WITH COMPARATIVE AMOUNTS", "SUMMARY OF EXPENDITURES BUDGET BY DEPARTMENT WITH COMPARATIVE AMOUNTS")</f>
        <v>DETAIL OF EXPENDITURES BUDGET BY DEPARTMENT WITH COMPARATIVE AMOUNTS</v>
      </c>
      <c r="B3" s="21"/>
      <c r="C3" s="21"/>
      <c r="D3" s="22"/>
      <c r="E3" s="22"/>
      <c r="F3" s="3"/>
      <c r="H3" s="5"/>
      <c r="I3" s="23"/>
      <c r="J3" s="15"/>
      <c r="L3" s="15"/>
      <c r="M3" s="10"/>
      <c r="N3" s="10"/>
      <c r="O3" s="10"/>
      <c r="P3" s="24"/>
      <c r="R3" s="24"/>
      <c r="V3" s="24"/>
      <c r="W3" s="24"/>
      <c r="X3" s="15"/>
      <c r="Y3" s="24"/>
      <c r="AA3" s="24"/>
      <c r="AB3" s="24" t="e">
        <f>+#REF!</f>
        <v>#REF!</v>
      </c>
      <c r="AC3" s="24"/>
      <c r="AD3" s="24" t="e">
        <f>+#REF!</f>
        <v>#REF!</v>
      </c>
      <c r="AE3" s="24"/>
      <c r="AF3" s="10" t="e">
        <f>+#REF!</f>
        <v>#REF!</v>
      </c>
      <c r="AG3" s="239" t="s">
        <v>2</v>
      </c>
      <c r="AH3" s="239"/>
      <c r="AI3" s="25"/>
      <c r="AJ3" s="25" t="e">
        <f>+#REF!</f>
        <v>#REF!</v>
      </c>
      <c r="AK3" s="24"/>
      <c r="AL3" s="16" t="s">
        <v>1</v>
      </c>
      <c r="AM3" s="25"/>
      <c r="AN3" s="25"/>
      <c r="AO3" s="25"/>
      <c r="AP3" s="25"/>
      <c r="AQ3" s="24"/>
      <c r="AR3" s="24" t="e">
        <f>+#REF!</f>
        <v>#REF!</v>
      </c>
      <c r="AS3" s="24"/>
      <c r="AT3" s="24" t="e">
        <f>+#REF!</f>
        <v>#REF!</v>
      </c>
      <c r="AU3" s="24"/>
      <c r="AV3" s="24" t="e">
        <f>+#REF!</f>
        <v>#REF!</v>
      </c>
      <c r="AW3" s="24"/>
      <c r="AX3" s="24" t="e">
        <f>+#REF!</f>
        <v>#REF!</v>
      </c>
      <c r="AY3" s="24"/>
      <c r="AZ3" s="24"/>
      <c r="BA3" s="24"/>
      <c r="BB3" s="24"/>
      <c r="BC3" s="24"/>
      <c r="BD3" s="26"/>
      <c r="BE3" s="26"/>
      <c r="BF3" s="26"/>
      <c r="BG3" s="26"/>
      <c r="BH3" s="27"/>
    </row>
    <row r="4" spans="1:62" ht="15">
      <c r="A4" s="28" t="s">
        <v>1070</v>
      </c>
      <c r="B4" s="29"/>
      <c r="C4" s="29"/>
      <c r="D4" s="28"/>
      <c r="E4" s="28"/>
      <c r="F4" s="3"/>
      <c r="H4" s="30"/>
      <c r="I4" s="31" t="e">
        <f>+#REF!</f>
        <v>#REF!</v>
      </c>
      <c r="J4" s="31" t="e">
        <f>+#REF!</f>
        <v>#REF!</v>
      </c>
      <c r="L4" s="31"/>
      <c r="M4" s="32"/>
      <c r="N4" s="33"/>
      <c r="O4" s="32"/>
      <c r="P4" s="33"/>
      <c r="R4" s="33"/>
      <c r="T4" s="33"/>
      <c r="X4" s="31"/>
      <c r="Z4" s="10"/>
      <c r="AB4" s="241"/>
      <c r="AC4" s="241"/>
      <c r="AD4" s="241"/>
      <c r="AE4" s="35"/>
      <c r="AF4" s="34"/>
      <c r="AG4" s="240"/>
      <c r="AH4" s="240"/>
      <c r="AI4" s="17"/>
      <c r="AJ4" s="16"/>
      <c r="AK4" s="24"/>
      <c r="AL4" s="16"/>
      <c r="AM4" s="17"/>
      <c r="AN4" s="31"/>
      <c r="AO4" s="31"/>
      <c r="AP4" s="31"/>
      <c r="AR4" s="34" t="s">
        <v>5</v>
      </c>
      <c r="AU4" s="35"/>
      <c r="AV4" s="34"/>
      <c r="AW4" s="34"/>
      <c r="AX4" s="34" t="s">
        <v>5</v>
      </c>
      <c r="AY4" s="34"/>
      <c r="AZ4" s="34"/>
      <c r="BA4" s="34"/>
      <c r="BB4" s="34"/>
      <c r="BC4" s="34"/>
      <c r="BD4" s="37"/>
      <c r="BE4" s="37"/>
      <c r="BF4" s="37"/>
      <c r="BG4" s="37"/>
      <c r="BH4" s="38"/>
    </row>
    <row r="5" spans="1:62" ht="15">
      <c r="B5" s="29"/>
      <c r="C5" s="29"/>
      <c r="D5" s="28"/>
      <c r="E5" s="28"/>
      <c r="G5" s="28"/>
      <c r="H5" s="5"/>
      <c r="I5" s="41" t="s">
        <v>6</v>
      </c>
      <c r="J5" s="42" t="s">
        <v>7</v>
      </c>
      <c r="L5" s="16" t="s">
        <v>8</v>
      </c>
      <c r="M5" s="16"/>
      <c r="N5" s="16" t="s">
        <v>9</v>
      </c>
      <c r="O5" s="16"/>
      <c r="P5" s="16" t="s">
        <v>9</v>
      </c>
      <c r="Q5" s="17"/>
      <c r="R5" s="43"/>
      <c r="S5" s="17"/>
      <c r="T5" s="16"/>
      <c r="U5" s="17"/>
      <c r="V5" s="16" t="s">
        <v>9</v>
      </c>
      <c r="X5" s="16" t="s">
        <v>9</v>
      </c>
      <c r="Z5" s="34" t="s">
        <v>1</v>
      </c>
      <c r="AB5" s="243" t="s">
        <v>10</v>
      </c>
      <c r="AC5" s="243"/>
      <c r="AD5" s="243"/>
      <c r="AE5" s="35"/>
      <c r="AF5" s="34" t="s">
        <v>1</v>
      </c>
      <c r="AG5" s="17"/>
      <c r="AH5" s="16" t="s">
        <v>11</v>
      </c>
      <c r="AI5" s="17"/>
      <c r="AJ5" s="16" t="s">
        <v>1</v>
      </c>
      <c r="AK5" s="24"/>
      <c r="AL5" s="43" t="s">
        <v>12</v>
      </c>
      <c r="AM5" s="17"/>
      <c r="AN5" s="16" t="s">
        <v>1</v>
      </c>
      <c r="AO5" s="45" t="s">
        <v>1</v>
      </c>
      <c r="AP5" s="46" t="s">
        <v>5</v>
      </c>
      <c r="AQ5" s="47"/>
      <c r="AR5" s="48" t="s">
        <v>10</v>
      </c>
      <c r="AS5" s="47"/>
      <c r="AT5" s="47"/>
      <c r="AU5" s="47"/>
      <c r="AV5" s="46" t="s">
        <v>5</v>
      </c>
      <c r="AW5" s="34"/>
      <c r="AX5" s="49" t="s">
        <v>3</v>
      </c>
      <c r="AY5" s="34"/>
      <c r="AZ5" s="16" t="s">
        <v>1054</v>
      </c>
      <c r="BA5" s="16" t="s">
        <v>1054</v>
      </c>
      <c r="BB5" s="34" t="s">
        <v>1069</v>
      </c>
      <c r="BC5" s="34"/>
      <c r="BD5" s="50" t="s">
        <v>13</v>
      </c>
      <c r="BE5" s="37"/>
      <c r="BF5" s="37"/>
      <c r="BG5" s="37"/>
      <c r="BH5" s="51"/>
    </row>
    <row r="6" spans="1:62">
      <c r="A6" s="242"/>
      <c r="B6" s="242"/>
      <c r="C6" s="242"/>
      <c r="D6" s="242"/>
      <c r="E6" s="242"/>
      <c r="F6" s="242"/>
      <c r="G6" s="22"/>
      <c r="H6" s="5"/>
      <c r="I6" s="52" t="s">
        <v>14</v>
      </c>
      <c r="J6" s="52" t="s">
        <v>14</v>
      </c>
      <c r="L6" s="43" t="s">
        <v>14</v>
      </c>
      <c r="M6" s="43"/>
      <c r="N6" s="43" t="s">
        <v>15</v>
      </c>
      <c r="O6" s="43"/>
      <c r="P6" s="43" t="s">
        <v>4</v>
      </c>
      <c r="Q6" s="17"/>
      <c r="R6" s="43" t="s">
        <v>4</v>
      </c>
      <c r="S6" s="43"/>
      <c r="T6" s="43" t="s">
        <v>16</v>
      </c>
      <c r="U6" s="43"/>
      <c r="V6" s="43" t="s">
        <v>4</v>
      </c>
      <c r="W6" s="43"/>
      <c r="X6" s="43" t="s">
        <v>14</v>
      </c>
      <c r="Y6" s="43"/>
      <c r="Z6" s="34" t="s">
        <v>17</v>
      </c>
      <c r="AA6" s="43"/>
      <c r="AB6" s="53" t="s">
        <v>16</v>
      </c>
      <c r="AC6" s="53"/>
      <c r="AD6" s="34"/>
      <c r="AE6" s="53"/>
      <c r="AF6" s="34" t="s">
        <v>17</v>
      </c>
      <c r="AG6" s="43" t="s">
        <v>16</v>
      </c>
      <c r="AH6" s="16" t="s">
        <v>18</v>
      </c>
      <c r="AI6" s="43"/>
      <c r="AJ6" s="16" t="s">
        <v>19</v>
      </c>
      <c r="AK6" s="24"/>
      <c r="AL6" s="43" t="s">
        <v>16</v>
      </c>
      <c r="AM6" s="43"/>
      <c r="AN6" s="43" t="s">
        <v>14</v>
      </c>
      <c r="AO6" s="45" t="s">
        <v>20</v>
      </c>
      <c r="AP6" s="43" t="s">
        <v>14</v>
      </c>
      <c r="AQ6" s="54"/>
      <c r="AR6" s="54" t="s">
        <v>16</v>
      </c>
      <c r="AS6" s="54"/>
      <c r="AT6" s="46"/>
      <c r="AU6" s="54"/>
      <c r="AV6" s="46" t="s">
        <v>19</v>
      </c>
      <c r="AW6" s="34"/>
      <c r="AX6" s="55" t="s">
        <v>16</v>
      </c>
      <c r="AY6" s="34"/>
      <c r="AZ6" s="16" t="s">
        <v>19</v>
      </c>
      <c r="BA6" s="16" t="s">
        <v>19</v>
      </c>
      <c r="BB6" s="34" t="s">
        <v>19</v>
      </c>
      <c r="BC6" s="56"/>
      <c r="BD6" s="50" t="s">
        <v>21</v>
      </c>
      <c r="BE6" s="37"/>
      <c r="BF6" s="37"/>
      <c r="BG6" s="37"/>
      <c r="BH6" s="57"/>
    </row>
    <row r="7" spans="1:62" ht="15">
      <c r="A7" s="237"/>
      <c r="B7" s="237"/>
      <c r="C7" s="237"/>
      <c r="D7" s="237"/>
      <c r="E7" s="237"/>
      <c r="F7" s="237"/>
      <c r="G7" s="59">
        <v>1</v>
      </c>
      <c r="H7" s="60"/>
      <c r="I7" s="52" t="s">
        <v>22</v>
      </c>
      <c r="J7" s="52" t="s">
        <v>22</v>
      </c>
      <c r="L7" s="43" t="s">
        <v>22</v>
      </c>
      <c r="M7" s="43"/>
      <c r="N7" s="43" t="s">
        <v>23</v>
      </c>
      <c r="O7" s="43"/>
      <c r="P7" s="43" t="s">
        <v>24</v>
      </c>
      <c r="Q7" s="43"/>
      <c r="R7" s="43" t="s">
        <v>24</v>
      </c>
      <c r="S7" s="43"/>
      <c r="T7" s="43" t="s">
        <v>25</v>
      </c>
      <c r="U7" s="43"/>
      <c r="V7" s="43" t="s">
        <v>24</v>
      </c>
      <c r="W7" s="43"/>
      <c r="X7" s="43" t="s">
        <v>22</v>
      </c>
      <c r="Y7" s="43"/>
      <c r="Z7" s="53" t="s">
        <v>15</v>
      </c>
      <c r="AA7" s="43"/>
      <c r="AB7" s="53" t="s">
        <v>26</v>
      </c>
      <c r="AC7" s="53"/>
      <c r="AD7" s="53"/>
      <c r="AE7" s="53"/>
      <c r="AF7" s="53" t="s">
        <v>4</v>
      </c>
      <c r="AG7" s="43" t="s">
        <v>26</v>
      </c>
      <c r="AH7" s="43" t="s">
        <v>27</v>
      </c>
      <c r="AI7" s="43"/>
      <c r="AJ7" s="43" t="s">
        <v>4</v>
      </c>
      <c r="AK7" s="24"/>
      <c r="AL7" s="43" t="s">
        <v>26</v>
      </c>
      <c r="AM7" s="43"/>
      <c r="AN7" s="43" t="s">
        <v>22</v>
      </c>
      <c r="AO7" s="61" t="s">
        <v>22</v>
      </c>
      <c r="AP7" s="43" t="s">
        <v>22</v>
      </c>
      <c r="AQ7" s="54"/>
      <c r="AR7" s="54" t="s">
        <v>26</v>
      </c>
      <c r="AS7" s="54"/>
      <c r="AT7" s="54"/>
      <c r="AU7" s="54"/>
      <c r="AV7" s="54" t="s">
        <v>4</v>
      </c>
      <c r="AW7" s="53"/>
      <c r="AX7" s="55" t="s">
        <v>26</v>
      </c>
      <c r="AY7" s="53"/>
      <c r="AZ7" s="16" t="s">
        <v>15</v>
      </c>
      <c r="BA7" s="43" t="s">
        <v>4</v>
      </c>
      <c r="BB7" s="34" t="s">
        <v>15</v>
      </c>
      <c r="BC7" s="56"/>
      <c r="BD7" s="50" t="s">
        <v>28</v>
      </c>
      <c r="BE7" s="62"/>
      <c r="BF7" s="62"/>
      <c r="BG7" s="62"/>
      <c r="BH7" s="57"/>
      <c r="BI7" s="63"/>
    </row>
    <row r="8" spans="1:62" ht="15">
      <c r="A8" s="237" t="s">
        <v>29</v>
      </c>
      <c r="B8" s="237"/>
      <c r="C8" s="237"/>
      <c r="D8" s="237"/>
      <c r="E8" s="237"/>
      <c r="F8" s="64" t="s">
        <v>30</v>
      </c>
      <c r="G8" s="64" t="s">
        <v>31</v>
      </c>
      <c r="H8" s="60"/>
      <c r="I8" s="65" t="s">
        <v>32</v>
      </c>
      <c r="J8" s="65" t="s">
        <v>32</v>
      </c>
      <c r="L8" s="66" t="s">
        <v>32</v>
      </c>
      <c r="M8" s="36"/>
      <c r="N8" s="36" t="s">
        <v>2</v>
      </c>
      <c r="O8" s="36"/>
      <c r="P8" s="36" t="s">
        <v>33</v>
      </c>
      <c r="Q8" s="36"/>
      <c r="R8" s="36" t="s">
        <v>34</v>
      </c>
      <c r="S8" s="36"/>
      <c r="T8" s="36" t="s">
        <v>35</v>
      </c>
      <c r="U8" s="36"/>
      <c r="V8" s="36" t="s">
        <v>36</v>
      </c>
      <c r="W8" s="36"/>
      <c r="X8" s="66" t="s">
        <v>32</v>
      </c>
      <c r="Y8" s="36"/>
      <c r="Z8" s="44" t="s">
        <v>24</v>
      </c>
      <c r="AA8" s="36"/>
      <c r="AB8" s="44" t="s">
        <v>35</v>
      </c>
      <c r="AC8" s="44"/>
      <c r="AD8" s="44" t="s">
        <v>37</v>
      </c>
      <c r="AE8" s="44"/>
      <c r="AF8" s="44" t="s">
        <v>38</v>
      </c>
      <c r="AG8" s="36" t="s">
        <v>35</v>
      </c>
      <c r="AH8" s="36" t="s">
        <v>39</v>
      </c>
      <c r="AI8" s="36"/>
      <c r="AJ8" s="36" t="s">
        <v>40</v>
      </c>
      <c r="AK8" s="24"/>
      <c r="AL8" s="36" t="s">
        <v>35</v>
      </c>
      <c r="AM8" s="36"/>
      <c r="AN8" s="36" t="s">
        <v>32</v>
      </c>
      <c r="AO8" s="67" t="s">
        <v>32</v>
      </c>
      <c r="AP8" s="36" t="s">
        <v>32</v>
      </c>
      <c r="AQ8" s="48"/>
      <c r="AR8" s="48" t="s">
        <v>35</v>
      </c>
      <c r="AS8" s="48"/>
      <c r="AT8" s="48" t="s">
        <v>37</v>
      </c>
      <c r="AU8" s="48"/>
      <c r="AV8" s="48" t="s">
        <v>38</v>
      </c>
      <c r="AW8" s="44"/>
      <c r="AX8" s="49" t="s">
        <v>35</v>
      </c>
      <c r="AY8" s="44"/>
      <c r="AZ8" s="36" t="s">
        <v>2</v>
      </c>
      <c r="BA8" s="36" t="s">
        <v>40</v>
      </c>
      <c r="BB8" s="44" t="s">
        <v>2</v>
      </c>
      <c r="BC8" s="56"/>
      <c r="BD8" s="50" t="s">
        <v>41</v>
      </c>
      <c r="BE8" s="68"/>
      <c r="BF8" s="68"/>
      <c r="BG8" s="68"/>
      <c r="BH8" s="69"/>
    </row>
    <row r="9" spans="1:62" ht="15">
      <c r="A9" s="58"/>
      <c r="B9" s="58"/>
      <c r="C9" s="58"/>
      <c r="D9" s="64"/>
      <c r="E9" s="64"/>
      <c r="F9" s="64"/>
      <c r="G9" s="70"/>
      <c r="H9" s="60"/>
      <c r="J9" s="71"/>
      <c r="AK9" s="24"/>
      <c r="AZ9" s="34"/>
      <c r="BB9" s="34"/>
      <c r="BC9" s="56"/>
      <c r="BH9" s="72">
        <v>2</v>
      </c>
    </row>
    <row r="10" spans="1:62" ht="20.100000000000001" customHeight="1" outlineLevel="1">
      <c r="A10" s="75" t="s">
        <v>916</v>
      </c>
      <c r="B10" s="77"/>
      <c r="C10" s="77"/>
      <c r="D10" s="90"/>
      <c r="E10" s="90"/>
      <c r="F10" s="3"/>
      <c r="H10" s="87"/>
      <c r="L10" s="44"/>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5"/>
      <c r="AL10" s="83"/>
      <c r="AM10" s="83"/>
      <c r="AN10" s="100"/>
      <c r="AO10" s="100"/>
      <c r="AP10" s="100"/>
      <c r="AQ10" s="83"/>
      <c r="AR10" s="83"/>
      <c r="AS10" s="83"/>
      <c r="AT10" s="83"/>
      <c r="AU10" s="83"/>
      <c r="AV10" s="83"/>
      <c r="AW10" s="83"/>
      <c r="AX10" s="83"/>
      <c r="AY10" s="83"/>
      <c r="AZ10" s="83"/>
      <c r="BA10" s="83"/>
      <c r="BB10" s="83"/>
      <c r="BC10" s="83"/>
      <c r="BD10" s="83"/>
      <c r="BE10" s="83"/>
      <c r="BF10" s="83"/>
      <c r="BG10" s="83"/>
      <c r="BH10" s="19"/>
    </row>
    <row r="11" spans="1:62" ht="20.100000000000001" customHeight="1" outlineLevel="1">
      <c r="A11" s="77" t="s">
        <v>43</v>
      </c>
      <c r="B11" s="77" t="s">
        <v>917</v>
      </c>
      <c r="C11" s="77" t="s">
        <v>1104</v>
      </c>
      <c r="D11" s="78" t="s">
        <v>46</v>
      </c>
      <c r="E11" s="78" t="str">
        <f>+D11</f>
        <v>000</v>
      </c>
      <c r="F11" s="79">
        <v>611117</v>
      </c>
      <c r="G11" s="102" t="s">
        <v>667</v>
      </c>
      <c r="H11" s="87"/>
      <c r="I11" s="82">
        <v>52370</v>
      </c>
      <c r="J11" s="82">
        <v>54632</v>
      </c>
      <c r="L11" s="83">
        <v>60838</v>
      </c>
      <c r="M11" s="83"/>
      <c r="N11" s="83">
        <v>68347</v>
      </c>
      <c r="O11" s="83"/>
      <c r="P11" s="83">
        <v>68347</v>
      </c>
      <c r="Q11" s="83"/>
      <c r="R11" s="83">
        <v>70047</v>
      </c>
      <c r="S11" s="83"/>
      <c r="T11" s="83">
        <v>0</v>
      </c>
      <c r="U11" s="83"/>
      <c r="V11" s="83">
        <v>70047</v>
      </c>
      <c r="W11" s="83"/>
      <c r="X11" s="83">
        <v>70046.960000000006</v>
      </c>
      <c r="Y11" s="83"/>
      <c r="Z11" s="83">
        <v>70484</v>
      </c>
      <c r="AA11" s="83"/>
      <c r="AB11" s="83"/>
      <c r="AC11" s="83"/>
      <c r="AD11" s="83"/>
      <c r="AE11" s="83"/>
      <c r="AF11" s="86">
        <f t="shared" ref="AF11:AF20" si="0">SUM(Z11:AE11)</f>
        <v>70484</v>
      </c>
      <c r="AG11" s="83">
        <v>0</v>
      </c>
      <c r="AH11" s="83">
        <v>1250</v>
      </c>
      <c r="AI11" s="83"/>
      <c r="AJ11" s="86">
        <f>SUM(AE11:AI11)</f>
        <v>71734</v>
      </c>
      <c r="AK11" s="85"/>
      <c r="AL11" s="83">
        <v>0</v>
      </c>
      <c r="AM11" s="83"/>
      <c r="AN11" s="86">
        <f>SUM(AI11:AM11)</f>
        <v>71734</v>
      </c>
      <c r="AO11" s="86">
        <v>0</v>
      </c>
      <c r="AP11" s="86">
        <v>71313</v>
      </c>
      <c r="AQ11" s="83"/>
      <c r="AR11" s="83">
        <v>0</v>
      </c>
      <c r="AS11" s="83"/>
      <c r="AT11" s="83">
        <v>0</v>
      </c>
      <c r="AU11" s="83"/>
      <c r="AV11" s="86">
        <f t="shared" ref="AV11:AV20" si="1">SUM(AP11:AU11)</f>
        <v>71313</v>
      </c>
      <c r="AW11" s="86"/>
      <c r="AX11" s="86">
        <v>0</v>
      </c>
      <c r="AY11" s="86"/>
      <c r="AZ11" s="86">
        <v>71313</v>
      </c>
      <c r="BA11" s="86">
        <v>72142</v>
      </c>
      <c r="BB11" s="214"/>
      <c r="BC11" s="86"/>
      <c r="BD11" s="84">
        <f>+AP11-AN11</f>
        <v>-421</v>
      </c>
      <c r="BE11" s="86"/>
      <c r="BF11" s="86"/>
      <c r="BG11" s="86"/>
      <c r="BH11" s="72">
        <v>1</v>
      </c>
      <c r="BJ11">
        <v>1</v>
      </c>
    </row>
    <row r="12" spans="1:62" ht="20.100000000000001" customHeight="1" outlineLevel="1">
      <c r="A12" s="77" t="s">
        <v>43</v>
      </c>
      <c r="B12" s="77" t="s">
        <v>917</v>
      </c>
      <c r="C12" s="77" t="s">
        <v>1104</v>
      </c>
      <c r="D12" s="78" t="s">
        <v>46</v>
      </c>
      <c r="E12" s="78" t="str">
        <f t="shared" ref="E12:E20" si="2">+D12</f>
        <v>000</v>
      </c>
      <c r="F12" s="3">
        <v>611411</v>
      </c>
      <c r="G12" s="102" t="s">
        <v>80</v>
      </c>
      <c r="H12" s="87"/>
      <c r="I12" s="13">
        <v>106233</v>
      </c>
      <c r="J12" s="13">
        <v>106074</v>
      </c>
      <c r="L12" s="56">
        <v>108219</v>
      </c>
      <c r="M12" s="56"/>
      <c r="N12" s="56">
        <v>98396</v>
      </c>
      <c r="O12" s="56"/>
      <c r="P12" s="56">
        <v>98396</v>
      </c>
      <c r="Q12" s="56"/>
      <c r="R12" s="56">
        <v>112650</v>
      </c>
      <c r="S12" s="56"/>
      <c r="T12" s="56">
        <v>0</v>
      </c>
      <c r="U12" s="56"/>
      <c r="V12" s="56">
        <v>112650</v>
      </c>
      <c r="W12" s="56"/>
      <c r="X12" s="56">
        <v>111971.36</v>
      </c>
      <c r="Y12" s="56"/>
      <c r="Z12" s="56">
        <v>108000</v>
      </c>
      <c r="AA12" s="56"/>
      <c r="AB12" s="56"/>
      <c r="AC12" s="56"/>
      <c r="AD12" s="56"/>
      <c r="AE12" s="56"/>
      <c r="AF12" s="56">
        <f t="shared" si="0"/>
        <v>108000</v>
      </c>
      <c r="AG12" s="56">
        <v>0</v>
      </c>
      <c r="AH12" s="56">
        <v>9000</v>
      </c>
      <c r="AI12" s="56"/>
      <c r="AJ12" s="56">
        <f>SUM(AE12:AI12)</f>
        <v>117000</v>
      </c>
      <c r="AK12" s="85"/>
      <c r="AL12" s="56">
        <v>0</v>
      </c>
      <c r="AM12" s="56"/>
      <c r="AN12" s="88">
        <f>SUM(AI12:AM12)</f>
        <v>117000</v>
      </c>
      <c r="AO12" s="88">
        <v>0</v>
      </c>
      <c r="AP12" s="88">
        <v>104275.51</v>
      </c>
      <c r="AQ12" s="56"/>
      <c r="AR12" s="56">
        <v>0</v>
      </c>
      <c r="AS12" s="56"/>
      <c r="AT12" s="56">
        <v>0</v>
      </c>
      <c r="AU12" s="56"/>
      <c r="AV12" s="56">
        <f t="shared" si="1"/>
        <v>104275.51</v>
      </c>
      <c r="AW12" s="56"/>
      <c r="AX12" s="56">
        <v>0</v>
      </c>
      <c r="AY12" s="56"/>
      <c r="AZ12" s="88">
        <v>114000</v>
      </c>
      <c r="BA12" s="56">
        <v>110000</v>
      </c>
      <c r="BB12" s="214"/>
      <c r="BC12" s="56"/>
      <c r="BD12" s="84">
        <f>+AP12-AN12</f>
        <v>-12724.490000000005</v>
      </c>
      <c r="BE12" s="56"/>
      <c r="BF12" s="56"/>
      <c r="BG12" s="56"/>
      <c r="BH12" s="72">
        <v>1</v>
      </c>
      <c r="BJ12">
        <v>1</v>
      </c>
    </row>
    <row r="13" spans="1:62" ht="20.100000000000001" customHeight="1" outlineLevel="1">
      <c r="A13" s="77" t="s">
        <v>43</v>
      </c>
      <c r="B13" s="77" t="s">
        <v>917</v>
      </c>
      <c r="C13" s="77" t="s">
        <v>1104</v>
      </c>
      <c r="D13" s="78" t="s">
        <v>46</v>
      </c>
      <c r="E13" s="78" t="str">
        <f t="shared" si="2"/>
        <v>000</v>
      </c>
      <c r="F13" s="3">
        <v>633945</v>
      </c>
      <c r="G13" s="102" t="s">
        <v>68</v>
      </c>
      <c r="H13" s="87"/>
      <c r="I13" s="13">
        <v>1107</v>
      </c>
      <c r="J13" s="13">
        <v>0</v>
      </c>
      <c r="L13" s="56">
        <v>0</v>
      </c>
      <c r="M13" s="56"/>
      <c r="N13" s="56">
        <v>3000</v>
      </c>
      <c r="O13" s="56"/>
      <c r="P13" s="56">
        <v>3000</v>
      </c>
      <c r="Q13" s="56"/>
      <c r="R13" s="56">
        <v>3000</v>
      </c>
      <c r="S13" s="56"/>
      <c r="T13" s="56">
        <v>0</v>
      </c>
      <c r="U13" s="56"/>
      <c r="V13" s="56">
        <v>3000</v>
      </c>
      <c r="W13" s="56"/>
      <c r="X13" s="56">
        <v>0</v>
      </c>
      <c r="Y13" s="56"/>
      <c r="Z13" s="56">
        <v>3000</v>
      </c>
      <c r="AA13" s="56"/>
      <c r="AB13" s="56"/>
      <c r="AC13" s="56"/>
      <c r="AD13" s="56"/>
      <c r="AE13" s="56"/>
      <c r="AF13" s="56">
        <f t="shared" si="0"/>
        <v>3000</v>
      </c>
      <c r="AG13" s="56">
        <v>0</v>
      </c>
      <c r="AH13" s="56">
        <v>0</v>
      </c>
      <c r="AI13" s="56"/>
      <c r="AJ13" s="56">
        <f>SUM(AE13:AI13)</f>
        <v>3000</v>
      </c>
      <c r="AK13" s="85"/>
      <c r="AL13" s="56">
        <v>0</v>
      </c>
      <c r="AM13" s="56"/>
      <c r="AN13" s="88">
        <f>SUM(AI13:AM13)</f>
        <v>3000</v>
      </c>
      <c r="AO13" s="88">
        <v>0</v>
      </c>
      <c r="AP13" s="88">
        <v>0</v>
      </c>
      <c r="AQ13" s="56"/>
      <c r="AR13" s="56">
        <v>0</v>
      </c>
      <c r="AS13" s="56"/>
      <c r="AT13" s="56">
        <v>0</v>
      </c>
      <c r="AU13" s="56"/>
      <c r="AV13" s="56">
        <f t="shared" si="1"/>
        <v>0</v>
      </c>
      <c r="AW13" s="56"/>
      <c r="AX13" s="56">
        <v>0</v>
      </c>
      <c r="AY13" s="56"/>
      <c r="AZ13" s="88">
        <v>3000</v>
      </c>
      <c r="BA13" s="56">
        <v>3000</v>
      </c>
      <c r="BB13" s="214"/>
      <c r="BC13" s="56"/>
      <c r="BD13" s="84">
        <f>+AP13-AN13</f>
        <v>-3000</v>
      </c>
      <c r="BE13" s="56"/>
      <c r="BF13" s="56"/>
      <c r="BG13" s="56"/>
      <c r="BH13" s="72"/>
    </row>
    <row r="14" spans="1:62" ht="20.100000000000001" customHeight="1" outlineLevel="1">
      <c r="A14" s="77" t="s">
        <v>43</v>
      </c>
      <c r="B14" s="77" t="s">
        <v>917</v>
      </c>
      <c r="C14" s="77" t="s">
        <v>1104</v>
      </c>
      <c r="D14" s="78" t="s">
        <v>46</v>
      </c>
      <c r="E14" s="78" t="str">
        <f t="shared" si="2"/>
        <v>000</v>
      </c>
      <c r="F14" s="3">
        <v>643011</v>
      </c>
      <c r="G14" s="102" t="s">
        <v>258</v>
      </c>
      <c r="H14" s="87"/>
      <c r="I14" s="13">
        <v>132</v>
      </c>
      <c r="J14" s="13">
        <v>762</v>
      </c>
      <c r="L14" s="56">
        <v>898</v>
      </c>
      <c r="M14" s="56"/>
      <c r="N14" s="56">
        <v>1000</v>
      </c>
      <c r="O14" s="56"/>
      <c r="P14" s="56">
        <v>1205</v>
      </c>
      <c r="Q14" s="56"/>
      <c r="R14" s="56">
        <v>1205</v>
      </c>
      <c r="S14" s="56"/>
      <c r="T14" s="56">
        <v>0</v>
      </c>
      <c r="U14" s="56"/>
      <c r="V14" s="56">
        <v>1205</v>
      </c>
      <c r="W14" s="56"/>
      <c r="X14" s="56">
        <f>837+140</f>
        <v>977</v>
      </c>
      <c r="Y14" s="56"/>
      <c r="Z14" s="56">
        <v>1000</v>
      </c>
      <c r="AA14" s="56"/>
      <c r="AB14" s="56"/>
      <c r="AC14" s="56"/>
      <c r="AD14" s="56"/>
      <c r="AE14" s="56"/>
      <c r="AF14" s="56">
        <f t="shared" si="0"/>
        <v>1000</v>
      </c>
      <c r="AG14" s="56">
        <v>0</v>
      </c>
      <c r="AH14" s="56">
        <v>0</v>
      </c>
      <c r="AI14" s="56"/>
      <c r="AJ14" s="56">
        <f>SUM(AE14:AI14)</f>
        <v>1000</v>
      </c>
      <c r="AK14" s="85"/>
      <c r="AL14" s="56">
        <v>0</v>
      </c>
      <c r="AM14" s="56"/>
      <c r="AN14" s="88">
        <f>SUM(AI14:AM14)</f>
        <v>1000</v>
      </c>
      <c r="AO14" s="88">
        <v>0</v>
      </c>
      <c r="AP14" s="88">
        <v>1258.0999999999999</v>
      </c>
      <c r="AQ14" s="56"/>
      <c r="AR14" s="56">
        <v>-2458</v>
      </c>
      <c r="AS14" s="56"/>
      <c r="AT14" s="56">
        <v>0</v>
      </c>
      <c r="AU14" s="56"/>
      <c r="AV14" s="56">
        <f t="shared" si="1"/>
        <v>-1199.9000000000001</v>
      </c>
      <c r="AW14" s="56"/>
      <c r="AX14" s="56">
        <v>0</v>
      </c>
      <c r="AY14" s="56"/>
      <c r="AZ14" s="88">
        <v>912</v>
      </c>
      <c r="BA14" s="56">
        <v>912</v>
      </c>
      <c r="BB14" s="214"/>
      <c r="BC14" s="56"/>
      <c r="BD14" s="84">
        <f>+AP14-AN14</f>
        <v>258.09999999999991</v>
      </c>
      <c r="BE14" s="56"/>
      <c r="BF14" s="56"/>
      <c r="BG14" s="56"/>
      <c r="BH14" s="72"/>
    </row>
    <row r="15" spans="1:62" ht="20.100000000000001" customHeight="1" outlineLevel="1">
      <c r="A15" s="77" t="s">
        <v>43</v>
      </c>
      <c r="B15" s="77" t="s">
        <v>917</v>
      </c>
      <c r="C15" s="77" t="s">
        <v>1104</v>
      </c>
      <c r="D15" s="78" t="s">
        <v>46</v>
      </c>
      <c r="E15" s="78" t="str">
        <f t="shared" si="2"/>
        <v>000</v>
      </c>
      <c r="F15" s="3">
        <v>644212</v>
      </c>
      <c r="G15" s="102" t="s">
        <v>907</v>
      </c>
      <c r="H15" s="87"/>
      <c r="I15" s="13">
        <v>0</v>
      </c>
      <c r="J15" s="13">
        <v>0</v>
      </c>
      <c r="L15" s="56">
        <v>0</v>
      </c>
      <c r="M15" s="56"/>
      <c r="N15" s="56"/>
      <c r="O15" s="56"/>
      <c r="P15" s="56"/>
      <c r="Q15" s="56"/>
      <c r="R15" s="56"/>
      <c r="S15" s="56"/>
      <c r="T15" s="56"/>
      <c r="U15" s="56"/>
      <c r="V15" s="56"/>
      <c r="W15" s="56"/>
      <c r="X15" s="56">
        <v>0</v>
      </c>
      <c r="Y15" s="56"/>
      <c r="Z15" s="56">
        <v>0</v>
      </c>
      <c r="AA15" s="56"/>
      <c r="AB15" s="56"/>
      <c r="AC15" s="56"/>
      <c r="AD15" s="56"/>
      <c r="AE15" s="56"/>
      <c r="AF15" s="56">
        <f t="shared" si="0"/>
        <v>0</v>
      </c>
      <c r="AG15" s="56"/>
      <c r="AH15" s="56"/>
      <c r="AI15" s="56"/>
      <c r="AJ15" s="56"/>
      <c r="AK15" s="85"/>
      <c r="AL15" s="56"/>
      <c r="AM15" s="56"/>
      <c r="AN15" s="88">
        <v>0</v>
      </c>
      <c r="AO15" s="88">
        <v>0</v>
      </c>
      <c r="AP15" s="88">
        <v>2070.58</v>
      </c>
      <c r="AQ15" s="56"/>
      <c r="AR15" s="56">
        <f>-AR14</f>
        <v>2458</v>
      </c>
      <c r="AS15" s="56"/>
      <c r="AT15" s="56">
        <v>0</v>
      </c>
      <c r="AU15" s="56"/>
      <c r="AV15" s="56">
        <f t="shared" si="1"/>
        <v>4528.58</v>
      </c>
      <c r="AW15" s="56"/>
      <c r="AX15" s="56">
        <v>0</v>
      </c>
      <c r="AY15" s="56"/>
      <c r="AZ15" s="88">
        <v>1200</v>
      </c>
      <c r="BA15" s="56">
        <v>1200</v>
      </c>
      <c r="BB15" s="214"/>
      <c r="BC15" s="56"/>
      <c r="BD15" s="84"/>
      <c r="BE15" s="56"/>
      <c r="BF15" s="56"/>
      <c r="BG15" s="56"/>
      <c r="BH15" s="72"/>
    </row>
    <row r="16" spans="1:62" ht="20.100000000000001" customHeight="1" outlineLevel="1">
      <c r="A16" s="77" t="s">
        <v>43</v>
      </c>
      <c r="B16" s="77" t="s">
        <v>917</v>
      </c>
      <c r="C16" s="77" t="s">
        <v>1104</v>
      </c>
      <c r="D16" s="78" t="s">
        <v>46</v>
      </c>
      <c r="E16" s="78" t="str">
        <f t="shared" si="2"/>
        <v>000</v>
      </c>
      <c r="F16" s="3">
        <v>653051</v>
      </c>
      <c r="G16" s="102" t="s">
        <v>71</v>
      </c>
      <c r="H16" s="87"/>
      <c r="I16" s="13">
        <v>9030</v>
      </c>
      <c r="J16" s="13">
        <v>11881</v>
      </c>
      <c r="L16" s="56">
        <v>12327</v>
      </c>
      <c r="M16" s="56"/>
      <c r="N16" s="56">
        <v>11504</v>
      </c>
      <c r="O16" s="56"/>
      <c r="P16" s="56">
        <v>11504</v>
      </c>
      <c r="Q16" s="56"/>
      <c r="R16" s="56">
        <v>11504</v>
      </c>
      <c r="S16" s="56"/>
      <c r="T16" s="56">
        <v>0</v>
      </c>
      <c r="U16" s="56"/>
      <c r="V16" s="56">
        <v>11504</v>
      </c>
      <c r="W16" s="56"/>
      <c r="X16" s="56">
        <v>11699.98</v>
      </c>
      <c r="Y16" s="56"/>
      <c r="Z16" s="56">
        <v>11528</v>
      </c>
      <c r="AA16" s="56"/>
      <c r="AB16" s="56"/>
      <c r="AC16" s="56"/>
      <c r="AD16" s="56"/>
      <c r="AE16" s="56"/>
      <c r="AF16" s="56">
        <f t="shared" si="0"/>
        <v>11528</v>
      </c>
      <c r="AG16" s="56">
        <v>0</v>
      </c>
      <c r="AH16" s="56">
        <v>0</v>
      </c>
      <c r="AI16" s="56"/>
      <c r="AJ16" s="56">
        <f>SUM(AE16:AI16)</f>
        <v>11528</v>
      </c>
      <c r="AK16" s="85"/>
      <c r="AL16" s="56">
        <v>0</v>
      </c>
      <c r="AM16" s="56"/>
      <c r="AN16" s="88">
        <f>SUM(AI16:AM16)</f>
        <v>11528</v>
      </c>
      <c r="AO16" s="88">
        <v>0</v>
      </c>
      <c r="AP16" s="88">
        <v>8769.7900000000009</v>
      </c>
      <c r="AQ16" s="56"/>
      <c r="AR16" s="56">
        <v>0</v>
      </c>
      <c r="AS16" s="56"/>
      <c r="AT16" s="56">
        <v>0</v>
      </c>
      <c r="AU16" s="56"/>
      <c r="AV16" s="56">
        <f t="shared" si="1"/>
        <v>8769.7900000000009</v>
      </c>
      <c r="AW16" s="56"/>
      <c r="AX16" s="56">
        <v>0</v>
      </c>
      <c r="AY16" s="56"/>
      <c r="AZ16" s="88">
        <v>13033</v>
      </c>
      <c r="BA16" s="56">
        <v>13033</v>
      </c>
      <c r="BB16" s="214"/>
      <c r="BC16" s="56"/>
      <c r="BD16" s="84">
        <f t="shared" ref="BD16:BD21" si="3">+AP16-AN16</f>
        <v>-2758.2099999999991</v>
      </c>
      <c r="BE16" s="56"/>
      <c r="BF16" s="56"/>
      <c r="BG16" s="56"/>
      <c r="BH16" s="72"/>
    </row>
    <row r="17" spans="1:60" ht="20.100000000000001" customHeight="1" outlineLevel="1">
      <c r="A17" s="77" t="s">
        <v>43</v>
      </c>
      <c r="B17" s="77" t="s">
        <v>917</v>
      </c>
      <c r="C17" s="77" t="s">
        <v>1104</v>
      </c>
      <c r="D17" s="78" t="s">
        <v>46</v>
      </c>
      <c r="E17" s="78" t="str">
        <f t="shared" si="2"/>
        <v>000</v>
      </c>
      <c r="F17" s="3">
        <v>658211</v>
      </c>
      <c r="G17" s="102" t="s">
        <v>72</v>
      </c>
      <c r="H17" s="87"/>
      <c r="I17" s="13">
        <v>576</v>
      </c>
      <c r="J17" s="13">
        <v>849</v>
      </c>
      <c r="L17" s="56">
        <v>543</v>
      </c>
      <c r="M17" s="56"/>
      <c r="N17" s="56">
        <v>1405</v>
      </c>
      <c r="O17" s="56"/>
      <c r="P17" s="56">
        <v>1405</v>
      </c>
      <c r="Q17" s="56"/>
      <c r="R17" s="56">
        <v>1405</v>
      </c>
      <c r="S17" s="56"/>
      <c r="T17" s="56">
        <v>0</v>
      </c>
      <c r="U17" s="56"/>
      <c r="V17" s="56">
        <v>1405</v>
      </c>
      <c r="W17" s="56"/>
      <c r="X17" s="56">
        <v>475</v>
      </c>
      <c r="Y17" s="56"/>
      <c r="Z17" s="56">
        <v>1405</v>
      </c>
      <c r="AA17" s="56"/>
      <c r="AB17" s="56"/>
      <c r="AC17" s="56"/>
      <c r="AD17" s="56"/>
      <c r="AE17" s="56"/>
      <c r="AF17" s="56">
        <f t="shared" si="0"/>
        <v>1405</v>
      </c>
      <c r="AG17" s="56">
        <v>0</v>
      </c>
      <c r="AH17" s="56">
        <v>0</v>
      </c>
      <c r="AI17" s="56"/>
      <c r="AJ17" s="56">
        <f>SUM(AE17:AI17)</f>
        <v>1405</v>
      </c>
      <c r="AK17" s="85"/>
      <c r="AL17" s="56">
        <v>0</v>
      </c>
      <c r="AM17" s="56"/>
      <c r="AN17" s="88">
        <f>SUM(AI17:AM17)</f>
        <v>1405</v>
      </c>
      <c r="AO17" s="88">
        <v>0</v>
      </c>
      <c r="AP17" s="88">
        <v>897.38</v>
      </c>
      <c r="AQ17" s="56"/>
      <c r="AR17" s="56">
        <v>0</v>
      </c>
      <c r="AS17" s="56"/>
      <c r="AT17" s="56">
        <v>0</v>
      </c>
      <c r="AU17" s="56"/>
      <c r="AV17" s="56">
        <f t="shared" si="1"/>
        <v>897.38</v>
      </c>
      <c r="AW17" s="56"/>
      <c r="AX17" s="56">
        <v>0</v>
      </c>
      <c r="AY17" s="56"/>
      <c r="AZ17" s="88">
        <v>800</v>
      </c>
      <c r="BA17" s="56">
        <v>800</v>
      </c>
      <c r="BB17" s="214"/>
      <c r="BC17" s="56"/>
      <c r="BD17" s="84">
        <f t="shared" si="3"/>
        <v>-507.62</v>
      </c>
      <c r="BE17" s="56"/>
      <c r="BF17" s="56"/>
      <c r="BG17" s="56"/>
      <c r="BH17" s="72"/>
    </row>
    <row r="18" spans="1:60" ht="20.100000000000001" customHeight="1" outlineLevel="1">
      <c r="A18" s="77" t="s">
        <v>43</v>
      </c>
      <c r="B18" s="77" t="s">
        <v>917</v>
      </c>
      <c r="C18" s="77" t="s">
        <v>1104</v>
      </c>
      <c r="D18" s="78" t="s">
        <v>46</v>
      </c>
      <c r="E18" s="78" t="str">
        <f t="shared" si="2"/>
        <v>000</v>
      </c>
      <c r="F18" s="3">
        <v>661001</v>
      </c>
      <c r="G18" s="102" t="s">
        <v>73</v>
      </c>
      <c r="H18" s="87"/>
      <c r="I18" s="13">
        <v>9132</v>
      </c>
      <c r="J18" s="13">
        <v>28498</v>
      </c>
      <c r="L18" s="56">
        <v>6822</v>
      </c>
      <c r="M18" s="56"/>
      <c r="N18" s="56">
        <v>12990</v>
      </c>
      <c r="O18" s="56"/>
      <c r="P18" s="56">
        <v>12990</v>
      </c>
      <c r="Q18" s="56"/>
      <c r="R18" s="56">
        <v>12990</v>
      </c>
      <c r="S18" s="56"/>
      <c r="T18" s="56">
        <v>0</v>
      </c>
      <c r="U18" s="56"/>
      <c r="V18" s="56">
        <v>12990</v>
      </c>
      <c r="W18" s="56"/>
      <c r="X18" s="56">
        <f>9044.51+246.5</f>
        <v>9291.01</v>
      </c>
      <c r="Y18" s="56"/>
      <c r="Z18" s="56">
        <v>12820</v>
      </c>
      <c r="AA18" s="56"/>
      <c r="AB18" s="56"/>
      <c r="AC18" s="56"/>
      <c r="AD18" s="56"/>
      <c r="AE18" s="56"/>
      <c r="AF18" s="56">
        <f t="shared" si="0"/>
        <v>12820</v>
      </c>
      <c r="AG18" s="56">
        <v>0</v>
      </c>
      <c r="AH18" s="56">
        <v>0</v>
      </c>
      <c r="AI18" s="56"/>
      <c r="AJ18" s="56">
        <f>SUM(AE18:AI18)</f>
        <v>12820</v>
      </c>
      <c r="AK18" s="85"/>
      <c r="AL18" s="56">
        <v>0</v>
      </c>
      <c r="AM18" s="56"/>
      <c r="AN18" s="88">
        <f>SUM(AI18:AM18)</f>
        <v>12820</v>
      </c>
      <c r="AO18" s="88">
        <v>0</v>
      </c>
      <c r="AP18" s="88">
        <v>8335.06</v>
      </c>
      <c r="AQ18" s="56"/>
      <c r="AR18" s="56">
        <v>0</v>
      </c>
      <c r="AS18" s="56"/>
      <c r="AT18" s="56">
        <v>655.01</v>
      </c>
      <c r="AU18" s="56"/>
      <c r="AV18" s="56">
        <f t="shared" si="1"/>
        <v>8990.07</v>
      </c>
      <c r="AW18" s="56"/>
      <c r="AX18" s="56">
        <v>0</v>
      </c>
      <c r="AY18" s="56"/>
      <c r="AZ18" s="88">
        <v>8750</v>
      </c>
      <c r="BA18" s="56">
        <v>8750</v>
      </c>
      <c r="BB18" s="214"/>
      <c r="BC18" s="56"/>
      <c r="BD18" s="84">
        <f t="shared" si="3"/>
        <v>-4484.9400000000005</v>
      </c>
      <c r="BE18" s="56"/>
      <c r="BF18" s="56"/>
      <c r="BG18" s="56"/>
      <c r="BH18" s="72"/>
    </row>
    <row r="19" spans="1:60" ht="20.100000000000001" customHeight="1" outlineLevel="1">
      <c r="A19" s="77" t="s">
        <v>43</v>
      </c>
      <c r="B19" s="77" t="s">
        <v>917</v>
      </c>
      <c r="C19" s="77" t="s">
        <v>1104</v>
      </c>
      <c r="D19" s="78" t="s">
        <v>46</v>
      </c>
      <c r="E19" s="78" t="str">
        <f t="shared" si="2"/>
        <v>000</v>
      </c>
      <c r="F19" s="3">
        <v>673001</v>
      </c>
      <c r="G19" s="102" t="s">
        <v>57</v>
      </c>
      <c r="H19" s="87"/>
      <c r="I19" s="13">
        <v>0</v>
      </c>
      <c r="J19" s="13">
        <v>0</v>
      </c>
      <c r="L19" s="56">
        <v>0</v>
      </c>
      <c r="M19" s="56"/>
      <c r="N19" s="56">
        <v>0</v>
      </c>
      <c r="O19" s="56"/>
      <c r="P19" s="56">
        <v>0</v>
      </c>
      <c r="Q19" s="56"/>
      <c r="R19" s="56">
        <v>0</v>
      </c>
      <c r="S19" s="56"/>
      <c r="T19" s="56">
        <v>0</v>
      </c>
      <c r="U19" s="56"/>
      <c r="V19" s="56">
        <v>0</v>
      </c>
      <c r="W19" s="56"/>
      <c r="X19" s="56">
        <v>0</v>
      </c>
      <c r="Y19" s="56"/>
      <c r="Z19" s="56">
        <v>0</v>
      </c>
      <c r="AA19" s="56"/>
      <c r="AB19" s="56"/>
      <c r="AC19" s="56"/>
      <c r="AD19" s="56"/>
      <c r="AE19" s="56"/>
      <c r="AF19" s="56">
        <f t="shared" si="0"/>
        <v>0</v>
      </c>
      <c r="AG19" s="56">
        <v>0</v>
      </c>
      <c r="AH19" s="56">
        <v>0</v>
      </c>
      <c r="AI19" s="56"/>
      <c r="AJ19" s="56">
        <f>SUM(AE19:AI19)</f>
        <v>0</v>
      </c>
      <c r="AK19" s="85"/>
      <c r="AL19" s="56">
        <v>0</v>
      </c>
      <c r="AM19" s="56"/>
      <c r="AN19" s="88">
        <f>SUM(AI19:AM19)</f>
        <v>0</v>
      </c>
      <c r="AO19" s="88">
        <v>0</v>
      </c>
      <c r="AP19" s="88">
        <v>0</v>
      </c>
      <c r="AQ19" s="56"/>
      <c r="AR19" s="56">
        <v>0</v>
      </c>
      <c r="AS19" s="56"/>
      <c r="AT19" s="56">
        <v>0</v>
      </c>
      <c r="AU19" s="56"/>
      <c r="AV19" s="56">
        <f t="shared" si="1"/>
        <v>0</v>
      </c>
      <c r="AW19" s="56"/>
      <c r="AX19" s="56">
        <v>0</v>
      </c>
      <c r="AY19" s="56"/>
      <c r="AZ19" s="88">
        <v>0</v>
      </c>
      <c r="BA19" s="56">
        <v>0</v>
      </c>
      <c r="BB19" s="214"/>
      <c r="BC19" s="56"/>
      <c r="BD19" s="84">
        <f t="shared" si="3"/>
        <v>0</v>
      </c>
      <c r="BE19" s="56"/>
      <c r="BF19" s="56"/>
      <c r="BG19" s="56"/>
      <c r="BH19" s="72"/>
    </row>
    <row r="20" spans="1:60" ht="20.100000000000001" customHeight="1" outlineLevel="1">
      <c r="A20" s="77" t="s">
        <v>43</v>
      </c>
      <c r="B20" s="77" t="s">
        <v>917</v>
      </c>
      <c r="C20" s="77" t="s">
        <v>1104</v>
      </c>
      <c r="D20" s="78" t="s">
        <v>46</v>
      </c>
      <c r="E20" s="78" t="str">
        <f t="shared" si="2"/>
        <v>000</v>
      </c>
      <c r="F20" s="3">
        <v>681011</v>
      </c>
      <c r="G20" s="102" t="s">
        <v>74</v>
      </c>
      <c r="H20" s="87"/>
      <c r="I20" s="13">
        <v>0</v>
      </c>
      <c r="J20" s="13">
        <v>0</v>
      </c>
      <c r="L20" s="56">
        <v>0</v>
      </c>
      <c r="M20" s="56"/>
      <c r="N20" s="56">
        <v>0</v>
      </c>
      <c r="O20" s="56"/>
      <c r="P20" s="56">
        <v>0</v>
      </c>
      <c r="Q20" s="56"/>
      <c r="R20" s="56">
        <v>0</v>
      </c>
      <c r="S20" s="56"/>
      <c r="T20" s="56">
        <v>0</v>
      </c>
      <c r="U20" s="56"/>
      <c r="V20" s="56">
        <v>0</v>
      </c>
      <c r="W20" s="56"/>
      <c r="X20" s="56">
        <v>0</v>
      </c>
      <c r="Y20" s="56"/>
      <c r="Z20" s="56">
        <v>0</v>
      </c>
      <c r="AA20" s="56"/>
      <c r="AB20" s="56"/>
      <c r="AC20" s="56"/>
      <c r="AD20" s="56"/>
      <c r="AE20" s="56"/>
      <c r="AF20" s="56">
        <f t="shared" si="0"/>
        <v>0</v>
      </c>
      <c r="AG20" s="56">
        <v>0</v>
      </c>
      <c r="AH20" s="56">
        <v>0</v>
      </c>
      <c r="AI20" s="56"/>
      <c r="AJ20" s="56">
        <f>SUM(AE20:AI20)</f>
        <v>0</v>
      </c>
      <c r="AK20" s="85"/>
      <c r="AL20" s="56">
        <v>0</v>
      </c>
      <c r="AM20" s="56"/>
      <c r="AN20" s="88">
        <f>SUM(AI20:AM20)</f>
        <v>0</v>
      </c>
      <c r="AO20" s="88">
        <v>0</v>
      </c>
      <c r="AP20" s="88">
        <v>0</v>
      </c>
      <c r="AQ20" s="56"/>
      <c r="AR20" s="56">
        <v>0</v>
      </c>
      <c r="AS20" s="56"/>
      <c r="AT20" s="56">
        <v>0</v>
      </c>
      <c r="AU20" s="56"/>
      <c r="AV20" s="56">
        <f t="shared" si="1"/>
        <v>0</v>
      </c>
      <c r="AW20" s="56"/>
      <c r="AX20" s="56">
        <v>0</v>
      </c>
      <c r="AY20" s="56"/>
      <c r="AZ20" s="88">
        <v>0</v>
      </c>
      <c r="BA20" s="56">
        <v>0</v>
      </c>
      <c r="BB20" s="56"/>
      <c r="BC20" s="56"/>
      <c r="BD20" s="84">
        <f t="shared" si="3"/>
        <v>0</v>
      </c>
      <c r="BE20" s="56"/>
      <c r="BF20" s="56"/>
      <c r="BG20" s="56"/>
      <c r="BH20" s="72"/>
    </row>
    <row r="21" spans="1:60" ht="20.100000000000001" customHeight="1">
      <c r="B21" s="77"/>
      <c r="C21" s="77"/>
      <c r="D21" s="90"/>
      <c r="E21" s="90"/>
      <c r="F21" s="3"/>
      <c r="G21" s="110" t="s">
        <v>918</v>
      </c>
      <c r="H21" s="81"/>
      <c r="I21" s="92">
        <v>178580</v>
      </c>
      <c r="J21" s="93">
        <v>202696</v>
      </c>
      <c r="L21" s="94">
        <v>189647</v>
      </c>
      <c r="M21" s="95"/>
      <c r="N21" s="94">
        <v>196642</v>
      </c>
      <c r="O21" s="95"/>
      <c r="P21" s="94">
        <v>196847</v>
      </c>
      <c r="Q21" s="95"/>
      <c r="R21" s="94">
        <v>212801</v>
      </c>
      <c r="S21" s="95"/>
      <c r="T21" s="94">
        <v>0</v>
      </c>
      <c r="U21" s="95"/>
      <c r="V21" s="94">
        <v>212801</v>
      </c>
      <c r="W21" s="95"/>
      <c r="X21" s="94">
        <f>SUBTOTAL(9,X11:X20)</f>
        <v>204461.31000000003</v>
      </c>
      <c r="Y21" s="95"/>
      <c r="Z21" s="94">
        <f>SUBTOTAL(9,Z11:Z20)</f>
        <v>208237</v>
      </c>
      <c r="AA21" s="95"/>
      <c r="AB21" s="94">
        <f>SUBTOTAL(9,AB11:AB20)</f>
        <v>0</v>
      </c>
      <c r="AD21" s="94">
        <f>SUBTOTAL(9,AD11:AD20)</f>
        <v>0</v>
      </c>
      <c r="AE21" s="95"/>
      <c r="AF21" s="94">
        <f>SUBTOTAL(9,AF11:AF20)</f>
        <v>208237</v>
      </c>
      <c r="AG21" s="92">
        <f>SUBTOTAL(9,AG11:AG20)</f>
        <v>0</v>
      </c>
      <c r="AH21" s="94">
        <f>SUBTOTAL(9,AH11:AH20)</f>
        <v>10250</v>
      </c>
      <c r="AI21" s="95"/>
      <c r="AJ21" s="94">
        <f>SUBTOTAL(9,AJ11:AJ20)</f>
        <v>218487</v>
      </c>
      <c r="AK21" s="96"/>
      <c r="AL21" s="94">
        <f>SUBTOTAL(9,AL11:AL20)</f>
        <v>0</v>
      </c>
      <c r="AM21" s="95"/>
      <c r="AN21" s="97">
        <f>SUBTOTAL(9,AN11:AN20)</f>
        <v>218487</v>
      </c>
      <c r="AO21" s="97">
        <f>SUBTOTAL(9,AO11:AO20)</f>
        <v>0</v>
      </c>
      <c r="AP21" s="97">
        <f>SUBTOTAL(9,AP11:AP20)</f>
        <v>196919.42</v>
      </c>
      <c r="AQ21" s="95"/>
      <c r="AR21" s="94">
        <f>SUBTOTAL(9,AR11:AR20)</f>
        <v>0</v>
      </c>
      <c r="AT21" s="94">
        <f>SUBTOTAL(9,AT11:AT20)</f>
        <v>655.01</v>
      </c>
      <c r="AU21" s="95"/>
      <c r="AV21" s="94">
        <f>SUBTOTAL(9,AV11:AV20)</f>
        <v>197574.43000000002</v>
      </c>
      <c r="AW21" s="95"/>
      <c r="AX21" s="94">
        <f>SUBTOTAL(9,AX11:AX20)</f>
        <v>0</v>
      </c>
      <c r="AY21" s="95"/>
      <c r="AZ21" s="97">
        <f>SUBTOTAL(9,AZ11:AZ20)</f>
        <v>213008</v>
      </c>
      <c r="BA21" s="94">
        <f>SUBTOTAL(9,BA11:BA20)</f>
        <v>209837</v>
      </c>
      <c r="BB21" s="94"/>
      <c r="BC21" s="94"/>
      <c r="BD21" s="98">
        <f t="shared" si="3"/>
        <v>-21567.579999999987</v>
      </c>
      <c r="BE21" s="95"/>
      <c r="BF21" s="95"/>
      <c r="BG21" s="95"/>
      <c r="BH21" s="99"/>
    </row>
  </sheetData>
  <autoFilter ref="A9:BH21"/>
  <mergeCells count="8">
    <mergeCell ref="A8:E8"/>
    <mergeCell ref="AG2:AH2"/>
    <mergeCell ref="AG3:AH3"/>
    <mergeCell ref="AG4:AH4"/>
    <mergeCell ref="AB4:AD4"/>
    <mergeCell ref="A6:F6"/>
    <mergeCell ref="A7:F7"/>
    <mergeCell ref="AB5:AD5"/>
  </mergeCells>
  <phoneticPr fontId="3" type="noConversion"/>
  <conditionalFormatting sqref="F1:F1048576">
    <cfRule type="cellIs" dxfId="13" priority="1" stopIfTrue="1" operator="between">
      <formula>610000</formula>
      <formula>619999</formula>
    </cfRule>
  </conditionalFormatting>
  <pageMargins left="0.54" right="0.25" top="0.24" bottom="0.49" header="0.25" footer="0"/>
  <pageSetup scale="77" fitToHeight="0" orientation="landscape" r:id="rId1"/>
  <headerFooter alignWithMargins="0">
    <oddFooter>&amp;C&amp;8Detail of Expenditures Budget By Department, Page &amp;P of &amp;N</oddFooter>
  </headerFooter>
  <legacyDrawing r:id="rId2"/>
</worksheet>
</file>

<file path=xl/worksheets/sheet25.xml><?xml version="1.0" encoding="utf-8"?>
<worksheet xmlns="http://schemas.openxmlformats.org/spreadsheetml/2006/main" xmlns:r="http://schemas.openxmlformats.org/officeDocument/2006/relationships">
  <sheetPr codeName="Sheet27" enableFormatConditionsCalculation="0">
    <tabColor indexed="17"/>
    <pageSetUpPr fitToPage="1"/>
  </sheetPr>
  <dimension ref="A1:BJ30"/>
  <sheetViews>
    <sheetView zoomScale="87" zoomScaleNormal="90" workbookViewId="0">
      <pane xSplit="8" ySplit="9" topLeftCell="X10" activePane="bottomRight" state="frozen"/>
      <selection activeCell="A28" sqref="A28"/>
      <selection pane="topRight" activeCell="A28" sqref="A28"/>
      <selection pane="bottomLeft" activeCell="A28" sqref="A28"/>
      <selection pane="bottomRight"/>
    </sheetView>
  </sheetViews>
  <sheetFormatPr defaultRowHeight="12.75" outlineLevelRow="1" outlineLevelCol="1"/>
  <cols>
    <col min="1" max="1" width="7" style="39" customWidth="1" outlineLevel="1"/>
    <col min="2" max="2" width="6.140625" style="39" customWidth="1" outlineLevel="1"/>
    <col min="3" max="3" width="3.7109375" style="39" customWidth="1" outlineLevel="1"/>
    <col min="4" max="5" width="4.85546875" style="168" customWidth="1" outlineLevel="1"/>
    <col min="6" max="6" width="8.7109375" style="40" customWidth="1" outlineLevel="1"/>
    <col min="7" max="7" width="28.5703125" style="4" customWidth="1"/>
    <col min="8" max="8" width="16.5703125" style="4" hidden="1" customWidth="1"/>
    <col min="9" max="10" width="15.140625" style="4" hidden="1" customWidth="1" collapsed="1"/>
    <col min="11" max="11" width="39.5703125" style="4" hidden="1" customWidth="1"/>
    <col min="12" max="12" width="15.140625" style="7" bestFit="1" customWidth="1" collapsed="1"/>
    <col min="13" max="13" width="31.7109375" style="7" hidden="1" customWidth="1"/>
    <col min="14" max="14" width="35.5703125" style="7" hidden="1" customWidth="1" collapsed="1"/>
    <col min="15" max="15" width="0.140625" style="7" customWidth="1"/>
    <col min="16" max="16" width="25.28515625" style="7" hidden="1" customWidth="1" outlineLevel="1" collapsed="1"/>
    <col min="17" max="17" width="23.42578125" style="7" hidden="1" customWidth="1" outlineLevel="1"/>
    <col min="18" max="18" width="20.5703125" style="7" hidden="1" customWidth="1" outlineLevel="1" collapsed="1"/>
    <col min="19" max="19" width="18" style="7" hidden="1" customWidth="1" outlineLevel="1"/>
    <col min="20" max="20" width="19.5703125" style="7" hidden="1" customWidth="1" outlineLevel="1"/>
    <col min="21" max="21" width="18.42578125" style="7" hidden="1" customWidth="1" outlineLevel="1"/>
    <col min="22" max="22" width="13.140625" style="7" hidden="1" customWidth="1"/>
    <col min="23" max="23" width="14.140625" style="7" hidden="1" customWidth="1"/>
    <col min="24" max="24" width="14.5703125" style="7" customWidth="1" collapsed="1"/>
    <col min="25" max="25" width="0.85546875" style="7" hidden="1" customWidth="1"/>
    <col min="26" max="26" width="16.140625" style="7" hidden="1" customWidth="1"/>
    <col min="27" max="27" width="0.140625" style="7" hidden="1" customWidth="1"/>
    <col min="28" max="28" width="16.140625" style="7" hidden="1" customWidth="1" outlineLevel="1"/>
    <col min="29" max="29" width="0.42578125" style="7" hidden="1" customWidth="1" outlineLevel="1"/>
    <col min="30" max="30" width="17.85546875" style="7" hidden="1" customWidth="1" outlineLevel="1"/>
    <col min="31" max="31" width="0.42578125" style="7" hidden="1" customWidth="1" outlineLevel="1"/>
    <col min="32" max="32" width="16.140625" style="7" hidden="1" customWidth="1" collapsed="1"/>
    <col min="33" max="33" width="16" style="7" hidden="1" customWidth="1" outlineLevel="1"/>
    <col min="34" max="34" width="17" style="7" hidden="1" customWidth="1" outlineLevel="1"/>
    <col min="35" max="35" width="10.5703125" style="7" hidden="1" customWidth="1" outlineLevel="1"/>
    <col min="36" max="36" width="16.140625" style="7" hidden="1" customWidth="1" collapsed="1"/>
    <col min="37" max="37" width="0.7109375" style="7" hidden="1" customWidth="1"/>
    <col min="38" max="38" width="16.140625" style="7" hidden="1" customWidth="1" outlineLevel="1"/>
    <col min="39" max="39" width="4.140625" style="7" hidden="1" customWidth="1" outlineLevel="1"/>
    <col min="40" max="40" width="16.140625" style="17" customWidth="1" collapsed="1"/>
    <col min="41" max="41" width="16.140625" style="17" hidden="1" customWidth="1" collapsed="1"/>
    <col min="42" max="42" width="16.140625" style="17" customWidth="1" collapsed="1"/>
    <col min="43" max="43" width="0.7109375" style="7" hidden="1" customWidth="1" outlineLevel="1"/>
    <col min="44" max="44" width="22.140625" style="7" hidden="1" customWidth="1" outlineLevel="1"/>
    <col min="45" max="45" width="0.42578125" style="7" hidden="1" customWidth="1" outlineLevel="1"/>
    <col min="46" max="46" width="17.85546875" style="7" hidden="1" customWidth="1" outlineLevel="1"/>
    <col min="47" max="47" width="0.42578125" style="7" hidden="1" customWidth="1" outlineLevel="1"/>
    <col min="48" max="48" width="18" style="7" hidden="1" customWidth="1" collapsed="1"/>
    <col min="49" max="49" width="0.5703125" style="7" hidden="1" customWidth="1"/>
    <col min="50" max="50" width="18" style="7" hidden="1" customWidth="1"/>
    <col min="51" max="51" width="0.5703125" style="7" customWidth="1"/>
    <col min="52" max="52" width="15.140625" style="7" customWidth="1"/>
    <col min="53" max="53" width="15.7109375" style="7" bestFit="1" customWidth="1"/>
    <col min="54" max="54" width="15.140625" style="7" customWidth="1"/>
    <col min="55" max="55" width="23.140625" style="7" customWidth="1"/>
    <col min="56" max="56" width="19.85546875" style="7" bestFit="1" customWidth="1"/>
    <col min="57" max="59" width="12.42578125" style="7" customWidth="1"/>
    <col min="60" max="60" width="3.85546875" style="76" customWidth="1"/>
    <col min="61" max="61" width="14.5703125" style="12" bestFit="1" customWidth="1"/>
  </cols>
  <sheetData>
    <row r="1" spans="1:62" ht="15">
      <c r="A1" s="1" t="s">
        <v>0</v>
      </c>
      <c r="B1" s="2"/>
      <c r="C1" s="2"/>
      <c r="D1" s="1"/>
      <c r="E1" s="1"/>
      <c r="F1" s="3"/>
      <c r="H1" s="5"/>
      <c r="I1" s="6"/>
      <c r="T1" s="8"/>
      <c r="Z1" s="9"/>
      <c r="AB1" s="9"/>
      <c r="AD1" s="9"/>
      <c r="AF1" s="9"/>
      <c r="AH1" s="10" t="e">
        <f>+#REF!</f>
        <v>#REF!</v>
      </c>
      <c r="AJ1" s="9"/>
      <c r="AK1" s="9"/>
      <c r="AN1" s="9"/>
      <c r="AO1" s="9"/>
      <c r="AP1" s="9"/>
      <c r="AR1" s="9"/>
      <c r="AT1" s="9"/>
      <c r="AV1" s="9"/>
      <c r="AW1" s="9"/>
      <c r="AX1" s="9"/>
      <c r="AY1" s="9"/>
      <c r="AZ1" s="9"/>
      <c r="BA1" s="9"/>
      <c r="BB1" s="9"/>
      <c r="BC1" s="9"/>
      <c r="BD1" s="9"/>
      <c r="BE1" s="9"/>
      <c r="BF1" s="9"/>
      <c r="BG1" s="9"/>
      <c r="BH1" s="11"/>
    </row>
    <row r="2" spans="1:62" ht="15">
      <c r="A2" s="1" t="s">
        <v>1053</v>
      </c>
      <c r="B2" s="2"/>
      <c r="C2" s="2"/>
      <c r="D2" s="1"/>
      <c r="E2" s="1"/>
      <c r="F2" s="3"/>
      <c r="H2" s="5"/>
      <c r="I2" s="13"/>
      <c r="J2" s="14"/>
      <c r="K2" s="14"/>
      <c r="L2" s="15"/>
      <c r="M2" s="15"/>
      <c r="N2" s="15"/>
      <c r="O2" s="15"/>
      <c r="P2" s="15"/>
      <c r="R2" s="15"/>
      <c r="T2" s="8"/>
      <c r="V2" s="15"/>
      <c r="X2" s="15"/>
      <c r="Z2" s="15"/>
      <c r="AB2" s="15"/>
      <c r="AD2" s="15"/>
      <c r="AF2" s="15"/>
      <c r="AG2" s="238" t="s">
        <v>1</v>
      </c>
      <c r="AH2" s="238"/>
      <c r="AI2" s="17"/>
      <c r="AJ2" s="18"/>
      <c r="AK2" s="15"/>
      <c r="AL2" s="10" t="e">
        <f>+#REF!</f>
        <v>#REF!</v>
      </c>
      <c r="AN2" s="18"/>
      <c r="AO2" s="18"/>
      <c r="AP2" s="18"/>
      <c r="AR2" s="15"/>
      <c r="AT2" s="15"/>
      <c r="AV2" s="15"/>
      <c r="AW2" s="15"/>
      <c r="AX2" s="15"/>
      <c r="AY2" s="15"/>
      <c r="AZ2" s="15"/>
      <c r="BA2" s="15"/>
      <c r="BB2" s="15"/>
      <c r="BC2" s="15"/>
      <c r="BD2" s="15"/>
      <c r="BE2" s="15"/>
      <c r="BF2" s="15"/>
      <c r="BG2" s="15"/>
      <c r="BH2" s="19"/>
    </row>
    <row r="3" spans="1:62">
      <c r="A3" s="20" t="str">
        <f>IF(G7=1,"DETAIL OF EXPENDITURES BUDGET BY DEPARTMENT WITH COMPARATIVE AMOUNTS", "SUMMARY OF EXPENDITURES BUDGET BY DEPARTMENT WITH COMPARATIVE AMOUNTS")</f>
        <v>DETAIL OF EXPENDITURES BUDGET BY DEPARTMENT WITH COMPARATIVE AMOUNTS</v>
      </c>
      <c r="B3" s="21"/>
      <c r="C3" s="21"/>
      <c r="D3" s="22"/>
      <c r="E3" s="22"/>
      <c r="F3" s="3"/>
      <c r="H3" s="5"/>
      <c r="I3" s="23"/>
      <c r="J3" s="15"/>
      <c r="L3" s="15"/>
      <c r="M3" s="10"/>
      <c r="N3" s="10"/>
      <c r="O3" s="10"/>
      <c r="P3" s="24"/>
      <c r="R3" s="24"/>
      <c r="V3" s="24"/>
      <c r="W3" s="24"/>
      <c r="X3" s="15"/>
      <c r="Y3" s="24"/>
      <c r="AA3" s="24"/>
      <c r="AB3" s="24" t="e">
        <f>+#REF!</f>
        <v>#REF!</v>
      </c>
      <c r="AC3" s="24"/>
      <c r="AD3" s="24" t="e">
        <f>+#REF!</f>
        <v>#REF!</v>
      </c>
      <c r="AE3" s="24"/>
      <c r="AF3" s="10" t="e">
        <f>+#REF!</f>
        <v>#REF!</v>
      </c>
      <c r="AG3" s="239" t="s">
        <v>2</v>
      </c>
      <c r="AH3" s="239"/>
      <c r="AI3" s="25"/>
      <c r="AJ3" s="25" t="e">
        <f>+#REF!</f>
        <v>#REF!</v>
      </c>
      <c r="AK3" s="24"/>
      <c r="AL3" s="16" t="s">
        <v>1</v>
      </c>
      <c r="AM3" s="25"/>
      <c r="AN3" s="25"/>
      <c r="AO3" s="25"/>
      <c r="AP3" s="25"/>
      <c r="AQ3" s="24"/>
      <c r="AR3" s="24" t="e">
        <f>+#REF!</f>
        <v>#REF!</v>
      </c>
      <c r="AS3" s="24"/>
      <c r="AT3" s="24" t="e">
        <f>+#REF!</f>
        <v>#REF!</v>
      </c>
      <c r="AU3" s="24"/>
      <c r="AV3" s="24" t="e">
        <f>+#REF!</f>
        <v>#REF!</v>
      </c>
      <c r="AW3" s="24"/>
      <c r="AX3" s="24" t="e">
        <f>+#REF!</f>
        <v>#REF!</v>
      </c>
      <c r="AY3" s="24"/>
      <c r="AZ3" s="24"/>
      <c r="BA3" s="24"/>
      <c r="BB3" s="24"/>
      <c r="BC3" s="24"/>
      <c r="BD3" s="26"/>
      <c r="BE3" s="26"/>
      <c r="BF3" s="26"/>
      <c r="BG3" s="26"/>
      <c r="BH3" s="27"/>
    </row>
    <row r="4" spans="1:62" ht="15">
      <c r="A4" s="28" t="s">
        <v>1070</v>
      </c>
      <c r="B4" s="29"/>
      <c r="C4" s="29"/>
      <c r="D4" s="28"/>
      <c r="E4" s="28"/>
      <c r="F4" s="3"/>
      <c r="H4" s="30"/>
      <c r="I4" s="31" t="e">
        <f>+#REF!</f>
        <v>#REF!</v>
      </c>
      <c r="J4" s="31" t="e">
        <f>+#REF!</f>
        <v>#REF!</v>
      </c>
      <c r="L4" s="31"/>
      <c r="M4" s="32"/>
      <c r="N4" s="33"/>
      <c r="O4" s="32"/>
      <c r="P4" s="33"/>
      <c r="R4" s="33"/>
      <c r="T4" s="33"/>
      <c r="X4" s="31"/>
      <c r="Z4" s="10"/>
      <c r="AB4" s="241"/>
      <c r="AC4" s="241"/>
      <c r="AD4" s="241"/>
      <c r="AE4" s="35"/>
      <c r="AF4" s="34"/>
      <c r="AG4" s="240"/>
      <c r="AH4" s="240"/>
      <c r="AI4" s="17"/>
      <c r="AJ4" s="16"/>
      <c r="AK4" s="24"/>
      <c r="AL4" s="16"/>
      <c r="AM4" s="17"/>
      <c r="AN4" s="31"/>
      <c r="AO4" s="31"/>
      <c r="AP4" s="31"/>
      <c r="AR4" s="34" t="s">
        <v>5</v>
      </c>
      <c r="AU4" s="35"/>
      <c r="AV4" s="34"/>
      <c r="AW4" s="34"/>
      <c r="AX4" s="34" t="s">
        <v>5</v>
      </c>
      <c r="AY4" s="34"/>
      <c r="AZ4" s="34"/>
      <c r="BA4" s="34"/>
      <c r="BB4" s="34"/>
      <c r="BC4" s="34"/>
      <c r="BD4" s="37"/>
      <c r="BE4" s="37"/>
      <c r="BF4" s="37"/>
      <c r="BG4" s="37"/>
      <c r="BH4" s="38"/>
    </row>
    <row r="5" spans="1:62" ht="15">
      <c r="B5" s="29"/>
      <c r="C5" s="29"/>
      <c r="D5" s="28"/>
      <c r="E5" s="28"/>
      <c r="G5" s="28"/>
      <c r="H5" s="5"/>
      <c r="I5" s="41" t="s">
        <v>6</v>
      </c>
      <c r="J5" s="42" t="s">
        <v>7</v>
      </c>
      <c r="L5" s="16" t="s">
        <v>8</v>
      </c>
      <c r="M5" s="16"/>
      <c r="N5" s="16" t="s">
        <v>9</v>
      </c>
      <c r="O5" s="16"/>
      <c r="P5" s="16" t="s">
        <v>9</v>
      </c>
      <c r="Q5" s="17"/>
      <c r="R5" s="43"/>
      <c r="S5" s="17"/>
      <c r="T5" s="16"/>
      <c r="U5" s="17"/>
      <c r="V5" s="16" t="s">
        <v>9</v>
      </c>
      <c r="X5" s="16" t="s">
        <v>9</v>
      </c>
      <c r="Z5" s="34" t="s">
        <v>1</v>
      </c>
      <c r="AB5" s="243" t="s">
        <v>10</v>
      </c>
      <c r="AC5" s="243"/>
      <c r="AD5" s="243"/>
      <c r="AE5" s="35"/>
      <c r="AF5" s="34" t="s">
        <v>1</v>
      </c>
      <c r="AG5" s="17"/>
      <c r="AH5" s="16" t="s">
        <v>11</v>
      </c>
      <c r="AI5" s="17"/>
      <c r="AJ5" s="16" t="s">
        <v>1</v>
      </c>
      <c r="AK5" s="24"/>
      <c r="AL5" s="43" t="s">
        <v>12</v>
      </c>
      <c r="AM5" s="17"/>
      <c r="AN5" s="16" t="s">
        <v>1</v>
      </c>
      <c r="AO5" s="45" t="s">
        <v>1</v>
      </c>
      <c r="AP5" s="46" t="s">
        <v>5</v>
      </c>
      <c r="AQ5" s="47"/>
      <c r="AR5" s="48" t="s">
        <v>10</v>
      </c>
      <c r="AS5" s="47"/>
      <c r="AT5" s="47"/>
      <c r="AU5" s="47"/>
      <c r="AV5" s="46" t="s">
        <v>5</v>
      </c>
      <c r="AW5" s="34"/>
      <c r="AX5" s="49" t="s">
        <v>3</v>
      </c>
      <c r="AY5" s="34"/>
      <c r="AZ5" s="16" t="s">
        <v>1054</v>
      </c>
      <c r="BA5" s="16" t="s">
        <v>1054</v>
      </c>
      <c r="BB5" s="34" t="s">
        <v>1069</v>
      </c>
      <c r="BC5" s="34"/>
      <c r="BD5" s="50" t="s">
        <v>13</v>
      </c>
      <c r="BE5" s="37"/>
      <c r="BF5" s="37"/>
      <c r="BG5" s="37"/>
      <c r="BH5" s="51"/>
    </row>
    <row r="6" spans="1:62">
      <c r="A6" s="242"/>
      <c r="B6" s="242"/>
      <c r="C6" s="242"/>
      <c r="D6" s="242"/>
      <c r="E6" s="242"/>
      <c r="F6" s="242"/>
      <c r="G6" s="22"/>
      <c r="H6" s="5"/>
      <c r="I6" s="52" t="s">
        <v>14</v>
      </c>
      <c r="J6" s="52" t="s">
        <v>14</v>
      </c>
      <c r="L6" s="43" t="s">
        <v>14</v>
      </c>
      <c r="M6" s="43"/>
      <c r="N6" s="43" t="s">
        <v>15</v>
      </c>
      <c r="O6" s="43"/>
      <c r="P6" s="43" t="s">
        <v>4</v>
      </c>
      <c r="Q6" s="17"/>
      <c r="R6" s="43" t="s">
        <v>4</v>
      </c>
      <c r="S6" s="43"/>
      <c r="T6" s="43" t="s">
        <v>16</v>
      </c>
      <c r="U6" s="43"/>
      <c r="V6" s="43" t="s">
        <v>4</v>
      </c>
      <c r="W6" s="43"/>
      <c r="X6" s="43" t="s">
        <v>14</v>
      </c>
      <c r="Y6" s="43"/>
      <c r="Z6" s="34" t="s">
        <v>17</v>
      </c>
      <c r="AA6" s="43"/>
      <c r="AB6" s="53" t="s">
        <v>16</v>
      </c>
      <c r="AC6" s="53"/>
      <c r="AD6" s="34"/>
      <c r="AE6" s="53"/>
      <c r="AF6" s="34" t="s">
        <v>17</v>
      </c>
      <c r="AG6" s="43" t="s">
        <v>16</v>
      </c>
      <c r="AH6" s="16" t="s">
        <v>18</v>
      </c>
      <c r="AI6" s="43"/>
      <c r="AJ6" s="16" t="s">
        <v>19</v>
      </c>
      <c r="AK6" s="24"/>
      <c r="AL6" s="43" t="s">
        <v>16</v>
      </c>
      <c r="AM6" s="43"/>
      <c r="AN6" s="43" t="s">
        <v>14</v>
      </c>
      <c r="AO6" s="45" t="s">
        <v>20</v>
      </c>
      <c r="AP6" s="43" t="s">
        <v>14</v>
      </c>
      <c r="AQ6" s="54"/>
      <c r="AR6" s="54" t="s">
        <v>16</v>
      </c>
      <c r="AS6" s="54"/>
      <c r="AT6" s="46"/>
      <c r="AU6" s="54"/>
      <c r="AV6" s="46" t="s">
        <v>19</v>
      </c>
      <c r="AW6" s="34"/>
      <c r="AX6" s="55" t="s">
        <v>16</v>
      </c>
      <c r="AY6" s="34"/>
      <c r="AZ6" s="16" t="s">
        <v>17</v>
      </c>
      <c r="BA6" s="16" t="s">
        <v>17</v>
      </c>
      <c r="BB6" s="34" t="s">
        <v>19</v>
      </c>
      <c r="BC6" s="56"/>
      <c r="BD6" s="50" t="s">
        <v>21</v>
      </c>
      <c r="BE6" s="37"/>
      <c r="BF6" s="37"/>
      <c r="BG6" s="37"/>
      <c r="BH6" s="57"/>
    </row>
    <row r="7" spans="1:62" ht="15">
      <c r="A7" s="237"/>
      <c r="B7" s="237"/>
      <c r="C7" s="237"/>
      <c r="D7" s="237"/>
      <c r="E7" s="237"/>
      <c r="F7" s="237"/>
      <c r="G7" s="59">
        <v>1</v>
      </c>
      <c r="H7" s="60"/>
      <c r="I7" s="52" t="s">
        <v>22</v>
      </c>
      <c r="J7" s="52" t="s">
        <v>22</v>
      </c>
      <c r="L7" s="43" t="s">
        <v>22</v>
      </c>
      <c r="M7" s="43"/>
      <c r="N7" s="43" t="s">
        <v>23</v>
      </c>
      <c r="O7" s="43"/>
      <c r="P7" s="43" t="s">
        <v>24</v>
      </c>
      <c r="Q7" s="43"/>
      <c r="R7" s="43" t="s">
        <v>24</v>
      </c>
      <c r="S7" s="43"/>
      <c r="T7" s="43" t="s">
        <v>25</v>
      </c>
      <c r="U7" s="43"/>
      <c r="V7" s="43" t="s">
        <v>24</v>
      </c>
      <c r="W7" s="43"/>
      <c r="X7" s="43" t="s">
        <v>22</v>
      </c>
      <c r="Y7" s="43"/>
      <c r="Z7" s="53" t="s">
        <v>15</v>
      </c>
      <c r="AA7" s="43"/>
      <c r="AB7" s="53" t="s">
        <v>26</v>
      </c>
      <c r="AC7" s="53"/>
      <c r="AD7" s="53"/>
      <c r="AE7" s="53"/>
      <c r="AF7" s="53" t="s">
        <v>4</v>
      </c>
      <c r="AG7" s="43" t="s">
        <v>26</v>
      </c>
      <c r="AH7" s="43" t="s">
        <v>27</v>
      </c>
      <c r="AI7" s="43"/>
      <c r="AJ7" s="43" t="s">
        <v>4</v>
      </c>
      <c r="AK7" s="24"/>
      <c r="AL7" s="43" t="s">
        <v>26</v>
      </c>
      <c r="AM7" s="43"/>
      <c r="AN7" s="43" t="s">
        <v>22</v>
      </c>
      <c r="AO7" s="61" t="s">
        <v>22</v>
      </c>
      <c r="AP7" s="43" t="s">
        <v>22</v>
      </c>
      <c r="AQ7" s="54"/>
      <c r="AR7" s="54" t="s">
        <v>26</v>
      </c>
      <c r="AS7" s="54"/>
      <c r="AT7" s="54"/>
      <c r="AU7" s="54"/>
      <c r="AV7" s="54" t="s">
        <v>4</v>
      </c>
      <c r="AW7" s="53"/>
      <c r="AX7" s="55" t="s">
        <v>26</v>
      </c>
      <c r="AY7" s="53"/>
      <c r="AZ7" s="16" t="s">
        <v>15</v>
      </c>
      <c r="BA7" s="43" t="s">
        <v>4</v>
      </c>
      <c r="BB7" s="34" t="s">
        <v>15</v>
      </c>
      <c r="BC7" s="56"/>
      <c r="BD7" s="50" t="s">
        <v>28</v>
      </c>
      <c r="BE7" s="62"/>
      <c r="BF7" s="62"/>
      <c r="BG7" s="62"/>
      <c r="BH7" s="57"/>
      <c r="BI7" s="63"/>
    </row>
    <row r="8" spans="1:62" ht="15">
      <c r="A8" s="237" t="s">
        <v>29</v>
      </c>
      <c r="B8" s="237"/>
      <c r="C8" s="237"/>
      <c r="D8" s="237"/>
      <c r="E8" s="237"/>
      <c r="F8" s="64" t="s">
        <v>30</v>
      </c>
      <c r="G8" s="64" t="s">
        <v>31</v>
      </c>
      <c r="H8" s="60"/>
      <c r="I8" s="65" t="s">
        <v>32</v>
      </c>
      <c r="J8" s="65" t="s">
        <v>32</v>
      </c>
      <c r="L8" s="66" t="s">
        <v>32</v>
      </c>
      <c r="M8" s="36"/>
      <c r="N8" s="36" t="s">
        <v>2</v>
      </c>
      <c r="O8" s="36"/>
      <c r="P8" s="36" t="s">
        <v>33</v>
      </c>
      <c r="Q8" s="36"/>
      <c r="R8" s="36" t="s">
        <v>34</v>
      </c>
      <c r="S8" s="36"/>
      <c r="T8" s="36" t="s">
        <v>35</v>
      </c>
      <c r="U8" s="36"/>
      <c r="V8" s="36" t="s">
        <v>36</v>
      </c>
      <c r="W8" s="36"/>
      <c r="X8" s="66" t="s">
        <v>32</v>
      </c>
      <c r="Y8" s="36"/>
      <c r="Z8" s="44" t="s">
        <v>24</v>
      </c>
      <c r="AA8" s="36"/>
      <c r="AB8" s="44" t="s">
        <v>35</v>
      </c>
      <c r="AC8" s="44"/>
      <c r="AD8" s="44" t="s">
        <v>37</v>
      </c>
      <c r="AE8" s="44"/>
      <c r="AF8" s="44" t="s">
        <v>38</v>
      </c>
      <c r="AG8" s="36" t="s">
        <v>35</v>
      </c>
      <c r="AH8" s="36" t="s">
        <v>39</v>
      </c>
      <c r="AI8" s="36"/>
      <c r="AJ8" s="36" t="s">
        <v>40</v>
      </c>
      <c r="AK8" s="24"/>
      <c r="AL8" s="36" t="s">
        <v>35</v>
      </c>
      <c r="AM8" s="36"/>
      <c r="AN8" s="36" t="s">
        <v>32</v>
      </c>
      <c r="AO8" s="67" t="s">
        <v>32</v>
      </c>
      <c r="AP8" s="36" t="s">
        <v>32</v>
      </c>
      <c r="AQ8" s="48"/>
      <c r="AR8" s="48" t="s">
        <v>35</v>
      </c>
      <c r="AS8" s="48"/>
      <c r="AT8" s="48" t="s">
        <v>37</v>
      </c>
      <c r="AU8" s="48"/>
      <c r="AV8" s="48" t="s">
        <v>38</v>
      </c>
      <c r="AW8" s="44"/>
      <c r="AX8" s="49" t="s">
        <v>35</v>
      </c>
      <c r="AY8" s="44"/>
      <c r="AZ8" s="36" t="s">
        <v>2</v>
      </c>
      <c r="BA8" s="36" t="s">
        <v>40</v>
      </c>
      <c r="BB8" s="44" t="s">
        <v>2</v>
      </c>
      <c r="BC8" s="56"/>
      <c r="BD8" s="50" t="s">
        <v>41</v>
      </c>
      <c r="BE8" s="68"/>
      <c r="BF8" s="68"/>
      <c r="BG8" s="68"/>
      <c r="BH8" s="69"/>
    </row>
    <row r="9" spans="1:62" ht="15">
      <c r="A9" s="58"/>
      <c r="B9" s="58"/>
      <c r="C9" s="58"/>
      <c r="D9" s="64"/>
      <c r="E9" s="64"/>
      <c r="F9" s="64"/>
      <c r="G9" s="70"/>
      <c r="H9" s="60"/>
      <c r="J9" s="71"/>
      <c r="AK9" s="24"/>
      <c r="AZ9" s="34"/>
      <c r="BB9" s="34"/>
      <c r="BC9" s="56"/>
      <c r="BH9" s="72">
        <v>2</v>
      </c>
    </row>
    <row r="10" spans="1:62" ht="20.100000000000001" customHeight="1" outlineLevel="1">
      <c r="A10" s="75" t="s">
        <v>869</v>
      </c>
      <c r="B10" s="77"/>
      <c r="C10" s="77"/>
      <c r="D10" s="90"/>
      <c r="E10" s="90"/>
      <c r="F10" s="3"/>
      <c r="H10" s="87"/>
      <c r="L10" s="44"/>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5"/>
      <c r="AL10" s="83"/>
      <c r="AM10" s="83"/>
      <c r="AN10" s="100"/>
      <c r="AO10" s="100"/>
      <c r="AP10" s="100"/>
      <c r="AQ10" s="83"/>
      <c r="AR10" s="83"/>
      <c r="AS10" s="83"/>
      <c r="AT10" s="83"/>
      <c r="AU10" s="83"/>
      <c r="AV10" s="83"/>
      <c r="AW10" s="83"/>
      <c r="AX10" s="83"/>
      <c r="AY10" s="83"/>
      <c r="AZ10" s="83"/>
      <c r="BA10" s="83"/>
      <c r="BB10" s="83"/>
      <c r="BC10" s="83"/>
      <c r="BD10" s="83"/>
      <c r="BE10" s="83"/>
      <c r="BF10" s="83"/>
      <c r="BG10" s="83"/>
      <c r="BH10" s="19"/>
    </row>
    <row r="11" spans="1:62" ht="20.100000000000001" customHeight="1" outlineLevel="1">
      <c r="A11" s="77" t="s">
        <v>43</v>
      </c>
      <c r="B11" s="77" t="s">
        <v>203</v>
      </c>
      <c r="C11" s="77" t="s">
        <v>1136</v>
      </c>
      <c r="D11" s="78" t="s">
        <v>46</v>
      </c>
      <c r="E11" s="78" t="str">
        <f>+D11</f>
        <v>000</v>
      </c>
      <c r="F11" s="79">
        <v>626011</v>
      </c>
      <c r="G11" s="102" t="s">
        <v>870</v>
      </c>
      <c r="H11" s="87"/>
      <c r="I11" s="82">
        <v>2062553</v>
      </c>
      <c r="J11" s="82">
        <v>2098816</v>
      </c>
      <c r="L11" s="83">
        <v>2171357</v>
      </c>
      <c r="M11" s="83"/>
      <c r="N11" s="83">
        <v>2000000</v>
      </c>
      <c r="O11" s="83"/>
      <c r="P11" s="83">
        <v>2000000</v>
      </c>
      <c r="Q11" s="83"/>
      <c r="R11" s="83">
        <v>2000000</v>
      </c>
      <c r="S11" s="83"/>
      <c r="T11" s="83">
        <v>0</v>
      </c>
      <c r="U11" s="83"/>
      <c r="V11" s="83">
        <v>2000000</v>
      </c>
      <c r="W11" s="83"/>
      <c r="X11" s="83">
        <v>2411918.09</v>
      </c>
      <c r="Y11" s="83"/>
      <c r="Z11" s="83">
        <v>1800000</v>
      </c>
      <c r="AA11" s="83"/>
      <c r="AB11" s="83">
        <v>0</v>
      </c>
      <c r="AC11" s="83"/>
      <c r="AD11" s="83">
        <v>0</v>
      </c>
      <c r="AE11" s="83"/>
      <c r="AF11" s="86">
        <f t="shared" ref="AF11:AF29" si="0">SUM(Z11:AE11)</f>
        <v>1800000</v>
      </c>
      <c r="AG11" s="83">
        <v>0</v>
      </c>
      <c r="AH11" s="83">
        <v>0</v>
      </c>
      <c r="AI11" s="83"/>
      <c r="AJ11" s="86">
        <f t="shared" ref="AJ11:AJ29" si="1">SUM(AE11:AI11)</f>
        <v>1800000</v>
      </c>
      <c r="AK11" s="85"/>
      <c r="AL11" s="83">
        <v>0</v>
      </c>
      <c r="AM11" s="83"/>
      <c r="AN11" s="86">
        <f>1706861+5302</f>
        <v>1712163</v>
      </c>
      <c r="AO11" s="86">
        <v>0</v>
      </c>
      <c r="AP11" s="86">
        <f>2260520.07+7811.42+9382.96+17834.22</f>
        <v>2295548.67</v>
      </c>
      <c r="AQ11" s="83"/>
      <c r="AR11" s="83">
        <v>0</v>
      </c>
      <c r="AS11" s="83"/>
      <c r="AT11" s="83">
        <v>0</v>
      </c>
      <c r="AU11" s="83"/>
      <c r="AV11" s="86">
        <f t="shared" ref="AV11:AV29" si="2">SUM(AP11:AU11)</f>
        <v>2295548.67</v>
      </c>
      <c r="AW11" s="86"/>
      <c r="AX11" s="84">
        <v>250000</v>
      </c>
      <c r="AY11" s="86"/>
      <c r="AZ11" s="86">
        <v>2493075</v>
      </c>
      <c r="BA11" s="86">
        <v>2493075</v>
      </c>
      <c r="BB11" s="214"/>
      <c r="BC11" s="86"/>
      <c r="BD11" s="84">
        <f t="shared" ref="BD11:BD30" si="3">+AP11-AN11</f>
        <v>583385.66999999993</v>
      </c>
      <c r="BE11" s="86"/>
      <c r="BF11" s="86"/>
      <c r="BG11" s="86"/>
      <c r="BH11" s="19"/>
      <c r="BJ11" s="9" t="s">
        <v>871</v>
      </c>
    </row>
    <row r="12" spans="1:62" ht="20.100000000000001" customHeight="1" outlineLevel="1">
      <c r="A12" s="77" t="s">
        <v>43</v>
      </c>
      <c r="B12" s="77" t="s">
        <v>203</v>
      </c>
      <c r="C12" s="77" t="str">
        <f>+C11</f>
        <v>BF</v>
      </c>
      <c r="D12" s="78" t="s">
        <v>46</v>
      </c>
      <c r="E12" s="78" t="str">
        <f t="shared" ref="E12:E29" si="4">+D12</f>
        <v>000</v>
      </c>
      <c r="F12" s="3">
        <v>626012</v>
      </c>
      <c r="G12" s="102" t="s">
        <v>872</v>
      </c>
      <c r="H12" s="87"/>
      <c r="I12" s="13">
        <v>8159</v>
      </c>
      <c r="J12" s="13">
        <v>7598</v>
      </c>
      <c r="L12" s="56">
        <v>0</v>
      </c>
      <c r="M12" s="56"/>
      <c r="N12" s="56">
        <v>25000</v>
      </c>
      <c r="O12" s="56"/>
      <c r="P12" s="56">
        <v>25000</v>
      </c>
      <c r="Q12" s="56"/>
      <c r="R12" s="56">
        <v>25000</v>
      </c>
      <c r="S12" s="56"/>
      <c r="T12" s="56">
        <v>0</v>
      </c>
      <c r="U12" s="56"/>
      <c r="V12" s="56">
        <v>25000</v>
      </c>
      <c r="W12" s="56"/>
      <c r="X12" s="56">
        <v>0</v>
      </c>
      <c r="Y12" s="56"/>
      <c r="Z12" s="56">
        <v>25000</v>
      </c>
      <c r="AA12" s="56"/>
      <c r="AB12" s="89">
        <v>18000</v>
      </c>
      <c r="AC12" s="56"/>
      <c r="AD12" s="56">
        <v>0</v>
      </c>
      <c r="AE12" s="56"/>
      <c r="AF12" s="56">
        <f t="shared" si="0"/>
        <v>43000</v>
      </c>
      <c r="AG12" s="56">
        <v>0</v>
      </c>
      <c r="AH12" s="56">
        <v>0</v>
      </c>
      <c r="AI12" s="56"/>
      <c r="AJ12" s="56">
        <f t="shared" si="1"/>
        <v>43000</v>
      </c>
      <c r="AK12" s="85"/>
      <c r="AL12" s="56">
        <v>0</v>
      </c>
      <c r="AM12" s="56"/>
      <c r="AN12" s="88">
        <v>10521.73</v>
      </c>
      <c r="AO12" s="88">
        <v>0</v>
      </c>
      <c r="AP12" s="88">
        <v>21657.41</v>
      </c>
      <c r="AQ12" s="56"/>
      <c r="AR12" s="89">
        <v>0</v>
      </c>
      <c r="AS12" s="56"/>
      <c r="AT12" s="56">
        <v>0</v>
      </c>
      <c r="AU12" s="56"/>
      <c r="AV12" s="56">
        <f t="shared" si="2"/>
        <v>21657.41</v>
      </c>
      <c r="AW12" s="56"/>
      <c r="AX12" s="56">
        <v>0</v>
      </c>
      <c r="AY12" s="56"/>
      <c r="AZ12" s="88">
        <v>25000</v>
      </c>
      <c r="BA12" s="56">
        <v>25000</v>
      </c>
      <c r="BB12" s="214"/>
      <c r="BC12" s="56"/>
      <c r="BD12" s="84">
        <f t="shared" si="3"/>
        <v>11135.68</v>
      </c>
      <c r="BE12" s="56"/>
      <c r="BF12" s="56"/>
      <c r="BG12" s="56"/>
      <c r="BH12" s="19"/>
    </row>
    <row r="13" spans="1:62" ht="20.100000000000001" customHeight="1" outlineLevel="1">
      <c r="A13" s="77" t="s">
        <v>43</v>
      </c>
      <c r="B13" s="77" t="s">
        <v>487</v>
      </c>
      <c r="C13" s="77" t="str">
        <f t="shared" ref="C13:C29" si="5">+C12</f>
        <v>BF</v>
      </c>
      <c r="D13" s="78" t="s">
        <v>46</v>
      </c>
      <c r="E13" s="78" t="str">
        <f t="shared" si="4"/>
        <v>000</v>
      </c>
      <c r="F13" s="3">
        <v>652311</v>
      </c>
      <c r="G13" s="102" t="s">
        <v>873</v>
      </c>
      <c r="H13" s="87"/>
      <c r="I13" s="13">
        <v>13800</v>
      </c>
      <c r="J13" s="13">
        <v>7786</v>
      </c>
      <c r="L13" s="56">
        <v>13809</v>
      </c>
      <c r="M13" s="56"/>
      <c r="N13" s="56">
        <v>21741</v>
      </c>
      <c r="O13" s="56"/>
      <c r="P13" s="56">
        <v>21741</v>
      </c>
      <c r="Q13" s="56"/>
      <c r="R13" s="56">
        <v>21741</v>
      </c>
      <c r="S13" s="56"/>
      <c r="T13" s="56">
        <v>0</v>
      </c>
      <c r="U13" s="56"/>
      <c r="V13" s="56">
        <v>21741</v>
      </c>
      <c r="W13" s="56"/>
      <c r="X13" s="56">
        <v>21804</v>
      </c>
      <c r="Y13" s="56"/>
      <c r="Z13" s="56">
        <v>13809</v>
      </c>
      <c r="AA13" s="56"/>
      <c r="AB13" s="56">
        <v>0</v>
      </c>
      <c r="AC13" s="56"/>
      <c r="AD13" s="56">
        <v>0</v>
      </c>
      <c r="AE13" s="56"/>
      <c r="AF13" s="56">
        <f t="shared" si="0"/>
        <v>13809</v>
      </c>
      <c r="AG13" s="56">
        <v>0</v>
      </c>
      <c r="AH13" s="56">
        <v>0</v>
      </c>
      <c r="AI13" s="56"/>
      <c r="AJ13" s="56">
        <f t="shared" si="1"/>
        <v>13809</v>
      </c>
      <c r="AK13" s="85"/>
      <c r="AL13" s="56">
        <v>0</v>
      </c>
      <c r="AM13" s="56"/>
      <c r="AN13" s="88">
        <f>SUM(AI13:AM13)</f>
        <v>13809</v>
      </c>
      <c r="AO13" s="88">
        <v>0</v>
      </c>
      <c r="AP13" s="88">
        <v>9241.0499999999993</v>
      </c>
      <c r="AQ13" s="56"/>
      <c r="AR13" s="56">
        <v>0</v>
      </c>
      <c r="AS13" s="56"/>
      <c r="AT13" s="56">
        <v>0</v>
      </c>
      <c r="AU13" s="56"/>
      <c r="AV13" s="56">
        <f t="shared" si="2"/>
        <v>9241.0499999999993</v>
      </c>
      <c r="AW13" s="56"/>
      <c r="AX13" s="56">
        <v>0</v>
      </c>
      <c r="AY13" s="56"/>
      <c r="AZ13" s="88">
        <v>15000</v>
      </c>
      <c r="BA13" s="56">
        <v>15000</v>
      </c>
      <c r="BB13" s="214"/>
      <c r="BC13" s="56"/>
      <c r="BD13" s="84">
        <f t="shared" si="3"/>
        <v>-4567.9500000000007</v>
      </c>
      <c r="BE13" s="56"/>
      <c r="BF13" s="56"/>
      <c r="BG13" s="56"/>
      <c r="BH13" s="72"/>
    </row>
    <row r="14" spans="1:62" ht="20.100000000000001" customHeight="1" outlineLevel="1">
      <c r="A14" s="77" t="s">
        <v>43</v>
      </c>
      <c r="B14" s="77" t="s">
        <v>44</v>
      </c>
      <c r="C14" s="77" t="str">
        <f t="shared" si="5"/>
        <v>BF</v>
      </c>
      <c r="D14" s="78" t="s">
        <v>46</v>
      </c>
      <c r="E14" s="78" t="str">
        <f t="shared" si="4"/>
        <v>000</v>
      </c>
      <c r="F14" s="3">
        <v>633200</v>
      </c>
      <c r="G14" s="102" t="s">
        <v>874</v>
      </c>
      <c r="H14" s="87"/>
      <c r="I14" s="13">
        <v>124829</v>
      </c>
      <c r="J14" s="13">
        <v>33018</v>
      </c>
      <c r="L14" s="56">
        <v>157931</v>
      </c>
      <c r="M14" s="56"/>
      <c r="N14" s="56">
        <v>110000</v>
      </c>
      <c r="O14" s="56"/>
      <c r="P14" s="56">
        <v>110000</v>
      </c>
      <c r="Q14" s="56"/>
      <c r="R14" s="56">
        <v>110000</v>
      </c>
      <c r="S14" s="56"/>
      <c r="T14" s="56">
        <v>0</v>
      </c>
      <c r="U14" s="56"/>
      <c r="V14" s="56">
        <v>110000</v>
      </c>
      <c r="W14" s="56"/>
      <c r="X14" s="56">
        <v>112005.18</v>
      </c>
      <c r="Y14" s="56"/>
      <c r="Z14" s="56">
        <v>110000</v>
      </c>
      <c r="AA14" s="56"/>
      <c r="AB14" s="56">
        <v>0</v>
      </c>
      <c r="AC14" s="56"/>
      <c r="AD14" s="56">
        <v>0</v>
      </c>
      <c r="AE14" s="56"/>
      <c r="AF14" s="56">
        <f t="shared" si="0"/>
        <v>110000</v>
      </c>
      <c r="AG14" s="56">
        <v>0</v>
      </c>
      <c r="AH14" s="56">
        <v>0</v>
      </c>
      <c r="AI14" s="56"/>
      <c r="AJ14" s="56">
        <f t="shared" si="1"/>
        <v>110000</v>
      </c>
      <c r="AK14" s="85"/>
      <c r="AL14" s="56">
        <v>0</v>
      </c>
      <c r="AM14" s="56"/>
      <c r="AN14" s="88">
        <v>97481.27</v>
      </c>
      <c r="AO14" s="88">
        <v>0</v>
      </c>
      <c r="AP14" s="88">
        <v>167855.39</v>
      </c>
      <c r="AQ14" s="56"/>
      <c r="AR14" s="56">
        <v>0</v>
      </c>
      <c r="AS14" s="56"/>
      <c r="AT14" s="56">
        <v>0</v>
      </c>
      <c r="AU14" s="56"/>
      <c r="AV14" s="56">
        <f t="shared" si="2"/>
        <v>167855.39</v>
      </c>
      <c r="AW14" s="56"/>
      <c r="AX14" s="56">
        <v>0</v>
      </c>
      <c r="AY14" s="56"/>
      <c r="AZ14" s="88">
        <v>110000</v>
      </c>
      <c r="BA14" s="56">
        <v>110000</v>
      </c>
      <c r="BB14" s="214"/>
      <c r="BC14" s="56"/>
      <c r="BD14" s="84">
        <f t="shared" si="3"/>
        <v>70374.12000000001</v>
      </c>
      <c r="BE14" s="56"/>
      <c r="BF14" s="56"/>
      <c r="BG14" s="56"/>
      <c r="BH14" s="72"/>
    </row>
    <row r="15" spans="1:62" ht="20.100000000000001" customHeight="1" outlineLevel="1">
      <c r="A15" s="77" t="s">
        <v>43</v>
      </c>
      <c r="B15" s="77" t="s">
        <v>44</v>
      </c>
      <c r="C15" s="77" t="str">
        <f t="shared" si="5"/>
        <v>BF</v>
      </c>
      <c r="D15" s="78" t="s">
        <v>46</v>
      </c>
      <c r="E15" s="78" t="str">
        <f t="shared" si="4"/>
        <v>000</v>
      </c>
      <c r="F15" s="3">
        <v>633212</v>
      </c>
      <c r="G15" s="102" t="s">
        <v>875</v>
      </c>
      <c r="H15" s="87"/>
      <c r="I15" s="13">
        <v>97809</v>
      </c>
      <c r="J15" s="13">
        <v>95677</v>
      </c>
      <c r="L15" s="56">
        <v>22347</v>
      </c>
      <c r="M15" s="56"/>
      <c r="N15" s="56">
        <v>75000</v>
      </c>
      <c r="O15" s="56"/>
      <c r="P15" s="56">
        <v>75000</v>
      </c>
      <c r="Q15" s="56"/>
      <c r="R15" s="56">
        <v>475000</v>
      </c>
      <c r="S15" s="56"/>
      <c r="T15" s="56">
        <v>0</v>
      </c>
      <c r="U15" s="56"/>
      <c r="V15" s="56">
        <v>475000</v>
      </c>
      <c r="W15" s="56"/>
      <c r="X15" s="56">
        <v>47484.99</v>
      </c>
      <c r="Y15" s="56"/>
      <c r="Z15" s="56">
        <v>35000</v>
      </c>
      <c r="AA15" s="56"/>
      <c r="AB15" s="56">
        <v>0</v>
      </c>
      <c r="AC15" s="56"/>
      <c r="AD15" s="56">
        <v>0</v>
      </c>
      <c r="AE15" s="56"/>
      <c r="AF15" s="56">
        <f t="shared" si="0"/>
        <v>35000</v>
      </c>
      <c r="AG15" s="56">
        <v>0</v>
      </c>
      <c r="AH15" s="56">
        <v>0</v>
      </c>
      <c r="AI15" s="56"/>
      <c r="AJ15" s="56">
        <f t="shared" si="1"/>
        <v>35000</v>
      </c>
      <c r="AK15" s="85"/>
      <c r="AL15" s="56">
        <v>0</v>
      </c>
      <c r="AM15" s="56"/>
      <c r="AN15" s="88">
        <v>53154.85</v>
      </c>
      <c r="AO15" s="88">
        <v>0</v>
      </c>
      <c r="AP15" s="88">
        <v>68662.009999999995</v>
      </c>
      <c r="AQ15" s="56"/>
      <c r="AR15" s="56">
        <v>0</v>
      </c>
      <c r="AS15" s="56"/>
      <c r="AT15" s="56">
        <v>0</v>
      </c>
      <c r="AU15" s="56"/>
      <c r="AV15" s="56">
        <f t="shared" si="2"/>
        <v>68662.009999999995</v>
      </c>
      <c r="AW15" s="56"/>
      <c r="AX15" s="56">
        <v>0</v>
      </c>
      <c r="AY15" s="56"/>
      <c r="AZ15" s="88">
        <v>35000</v>
      </c>
      <c r="BA15" s="56">
        <v>35000</v>
      </c>
      <c r="BB15" s="214"/>
      <c r="BC15" s="56"/>
      <c r="BD15" s="84">
        <f t="shared" si="3"/>
        <v>15507.159999999996</v>
      </c>
      <c r="BE15" s="56"/>
      <c r="BF15" s="56"/>
      <c r="BG15" s="56"/>
      <c r="BH15" s="72"/>
    </row>
    <row r="16" spans="1:62" ht="20.100000000000001" customHeight="1" outlineLevel="1">
      <c r="A16" s="77" t="s">
        <v>43</v>
      </c>
      <c r="B16" s="77" t="s">
        <v>44</v>
      </c>
      <c r="C16" s="77" t="str">
        <f t="shared" si="5"/>
        <v>BF</v>
      </c>
      <c r="D16" s="78" t="s">
        <v>46</v>
      </c>
      <c r="E16" s="78" t="str">
        <f t="shared" si="4"/>
        <v>000</v>
      </c>
      <c r="F16" s="3">
        <v>652111</v>
      </c>
      <c r="G16" s="102" t="s">
        <v>876</v>
      </c>
      <c r="H16" s="87"/>
      <c r="I16" s="13">
        <v>513010</v>
      </c>
      <c r="J16" s="13">
        <v>531233</v>
      </c>
      <c r="L16" s="56">
        <v>358000</v>
      </c>
      <c r="M16" s="56"/>
      <c r="N16" s="56">
        <v>410235</v>
      </c>
      <c r="O16" s="56"/>
      <c r="P16" s="56">
        <v>410235</v>
      </c>
      <c r="Q16" s="56"/>
      <c r="R16" s="56">
        <v>410235</v>
      </c>
      <c r="S16" s="56"/>
      <c r="T16" s="56">
        <v>0</v>
      </c>
      <c r="U16" s="56"/>
      <c r="V16" s="56">
        <v>410235</v>
      </c>
      <c r="W16" s="56"/>
      <c r="X16" s="56">
        <v>177461</v>
      </c>
      <c r="Y16" s="56"/>
      <c r="Z16" s="56">
        <f>351450+41099</f>
        <v>392549</v>
      </c>
      <c r="AA16" s="56"/>
      <c r="AB16" s="56">
        <v>0</v>
      </c>
      <c r="AC16" s="56"/>
      <c r="AD16" s="56">
        <v>0</v>
      </c>
      <c r="AE16" s="56"/>
      <c r="AF16" s="56">
        <f t="shared" si="0"/>
        <v>392549</v>
      </c>
      <c r="AG16" s="56">
        <v>0</v>
      </c>
      <c r="AH16" s="56">
        <v>0</v>
      </c>
      <c r="AI16" s="56"/>
      <c r="AJ16" s="56">
        <f t="shared" si="1"/>
        <v>392549</v>
      </c>
      <c r="AK16" s="85"/>
      <c r="AL16" s="56">
        <v>0</v>
      </c>
      <c r="AM16" s="56"/>
      <c r="AN16" s="88">
        <v>365625</v>
      </c>
      <c r="AO16" s="88">
        <v>0</v>
      </c>
      <c r="AP16" s="88">
        <v>412933</v>
      </c>
      <c r="AQ16" s="56"/>
      <c r="AR16" s="56">
        <v>0</v>
      </c>
      <c r="AS16" s="56"/>
      <c r="AT16" s="56">
        <v>0</v>
      </c>
      <c r="AU16" s="56"/>
      <c r="AV16" s="56">
        <f t="shared" si="2"/>
        <v>412933</v>
      </c>
      <c r="AW16" s="56"/>
      <c r="AX16" s="56">
        <v>0</v>
      </c>
      <c r="AY16" s="56"/>
      <c r="AZ16" s="88">
        <v>415000</v>
      </c>
      <c r="BA16" s="56">
        <v>415000</v>
      </c>
      <c r="BB16" s="214"/>
      <c r="BC16" s="56"/>
      <c r="BD16" s="84">
        <f t="shared" si="3"/>
        <v>47308</v>
      </c>
      <c r="BE16" s="56"/>
      <c r="BF16" s="56"/>
      <c r="BG16" s="56"/>
      <c r="BH16" s="72"/>
    </row>
    <row r="17" spans="1:62" ht="20.100000000000001" customHeight="1" outlineLevel="1">
      <c r="A17" s="77" t="s">
        <v>43</v>
      </c>
      <c r="B17" s="77" t="s">
        <v>44</v>
      </c>
      <c r="C17" s="77" t="str">
        <f t="shared" si="5"/>
        <v>BF</v>
      </c>
      <c r="D17" s="78" t="s">
        <v>46</v>
      </c>
      <c r="E17" s="78" t="str">
        <f t="shared" si="4"/>
        <v>000</v>
      </c>
      <c r="F17" s="3">
        <v>652112</v>
      </c>
      <c r="G17" s="102" t="s">
        <v>877</v>
      </c>
      <c r="H17" s="87"/>
      <c r="I17" s="13">
        <v>260000</v>
      </c>
      <c r="J17" s="13">
        <v>286600</v>
      </c>
      <c r="L17" s="56">
        <v>286600</v>
      </c>
      <c r="M17" s="56"/>
      <c r="N17" s="56">
        <v>300000</v>
      </c>
      <c r="O17" s="56"/>
      <c r="P17" s="56">
        <v>300000</v>
      </c>
      <c r="Q17" s="56"/>
      <c r="R17" s="56">
        <v>300000</v>
      </c>
      <c r="S17" s="56"/>
      <c r="T17" s="56">
        <v>0</v>
      </c>
      <c r="U17" s="56"/>
      <c r="V17" s="56">
        <v>300000</v>
      </c>
      <c r="W17" s="56"/>
      <c r="X17" s="56">
        <v>309528</v>
      </c>
      <c r="Y17" s="56"/>
      <c r="Z17" s="56">
        <v>300000</v>
      </c>
      <c r="AA17" s="56"/>
      <c r="AB17" s="56">
        <v>0</v>
      </c>
      <c r="AC17" s="56"/>
      <c r="AD17" s="56">
        <v>0</v>
      </c>
      <c r="AE17" s="56"/>
      <c r="AF17" s="56">
        <f t="shared" si="0"/>
        <v>300000</v>
      </c>
      <c r="AG17" s="56">
        <v>0</v>
      </c>
      <c r="AH17" s="56">
        <v>0</v>
      </c>
      <c r="AI17" s="56"/>
      <c r="AJ17" s="56">
        <f t="shared" si="1"/>
        <v>300000</v>
      </c>
      <c r="AK17" s="85"/>
      <c r="AL17" s="89">
        <v>40481</v>
      </c>
      <c r="AM17" s="56"/>
      <c r="AN17" s="88">
        <f>SUM(AI17:AM17)</f>
        <v>340481</v>
      </c>
      <c r="AO17" s="88">
        <v>0</v>
      </c>
      <c r="AP17" s="88">
        <v>340481</v>
      </c>
      <c r="AQ17" s="56"/>
      <c r="AR17" s="56">
        <v>0</v>
      </c>
      <c r="AS17" s="56"/>
      <c r="AT17" s="56">
        <v>0</v>
      </c>
      <c r="AU17" s="56"/>
      <c r="AV17" s="56">
        <f t="shared" si="2"/>
        <v>340481</v>
      </c>
      <c r="AW17" s="56"/>
      <c r="AX17" s="56">
        <v>0</v>
      </c>
      <c r="AY17" s="56"/>
      <c r="AZ17" s="88">
        <v>340000</v>
      </c>
      <c r="BA17" s="56">
        <v>340000</v>
      </c>
      <c r="BB17" s="214"/>
      <c r="BC17" s="56"/>
      <c r="BD17" s="84">
        <f t="shared" si="3"/>
        <v>0</v>
      </c>
      <c r="BE17" s="56"/>
      <c r="BF17" s="56"/>
      <c r="BG17" s="56"/>
      <c r="BH17" s="72"/>
    </row>
    <row r="18" spans="1:62" ht="20.100000000000001" customHeight="1" outlineLevel="1">
      <c r="A18" s="77" t="s">
        <v>43</v>
      </c>
      <c r="B18" s="77" t="s">
        <v>44</v>
      </c>
      <c r="C18" s="77" t="str">
        <f t="shared" si="5"/>
        <v>BF</v>
      </c>
      <c r="D18" s="78" t="s">
        <v>46</v>
      </c>
      <c r="E18" s="78" t="str">
        <f t="shared" si="4"/>
        <v>000</v>
      </c>
      <c r="F18" s="3">
        <v>652113</v>
      </c>
      <c r="G18" s="102" t="s">
        <v>878</v>
      </c>
      <c r="H18" s="87"/>
      <c r="I18" s="13">
        <v>49112</v>
      </c>
      <c r="J18" s="13">
        <v>24960</v>
      </c>
      <c r="L18" s="56">
        <v>151235</v>
      </c>
      <c r="M18" s="56"/>
      <c r="N18" s="56">
        <v>100000</v>
      </c>
      <c r="O18" s="56"/>
      <c r="P18" s="56">
        <v>100300</v>
      </c>
      <c r="Q18" s="56"/>
      <c r="R18" s="56">
        <v>100300</v>
      </c>
      <c r="S18" s="56"/>
      <c r="T18" s="56">
        <v>0</v>
      </c>
      <c r="U18" s="56"/>
      <c r="V18" s="56">
        <v>100300</v>
      </c>
      <c r="W18" s="56"/>
      <c r="X18" s="56">
        <v>97119.79</v>
      </c>
      <c r="Y18" s="56"/>
      <c r="Z18" s="56">
        <v>100000</v>
      </c>
      <c r="AA18" s="56"/>
      <c r="AB18" s="56">
        <v>0</v>
      </c>
      <c r="AC18" s="56"/>
      <c r="AD18" s="56">
        <v>0</v>
      </c>
      <c r="AE18" s="56"/>
      <c r="AF18" s="56">
        <f t="shared" si="0"/>
        <v>100000</v>
      </c>
      <c r="AG18" s="56">
        <v>0</v>
      </c>
      <c r="AH18" s="56">
        <v>0</v>
      </c>
      <c r="AI18" s="56"/>
      <c r="AJ18" s="56">
        <f t="shared" si="1"/>
        <v>100000</v>
      </c>
      <c r="AK18" s="85"/>
      <c r="AL18" s="89">
        <v>210000</v>
      </c>
      <c r="AM18" s="56"/>
      <c r="AN18" s="88">
        <v>316500.39</v>
      </c>
      <c r="AO18" s="88">
        <v>0</v>
      </c>
      <c r="AP18" s="88">
        <v>193696.6</v>
      </c>
      <c r="AQ18" s="56"/>
      <c r="AR18" s="56">
        <v>0</v>
      </c>
      <c r="AS18" s="56"/>
      <c r="AT18" s="56">
        <v>0</v>
      </c>
      <c r="AU18" s="56"/>
      <c r="AV18" s="56">
        <f t="shared" si="2"/>
        <v>193696.6</v>
      </c>
      <c r="AW18" s="56"/>
      <c r="AX18" s="56">
        <v>0</v>
      </c>
      <c r="AY18" s="56"/>
      <c r="AZ18" s="88">
        <v>100000</v>
      </c>
      <c r="BA18" s="56">
        <v>100000</v>
      </c>
      <c r="BB18" s="214"/>
      <c r="BC18" s="56"/>
      <c r="BD18" s="84">
        <f t="shared" si="3"/>
        <v>-122803.79000000001</v>
      </c>
      <c r="BE18" s="56"/>
      <c r="BF18" s="56"/>
      <c r="BG18" s="56"/>
      <c r="BH18" s="72"/>
    </row>
    <row r="19" spans="1:62" ht="20.100000000000001" customHeight="1" outlineLevel="1">
      <c r="A19" s="77" t="s">
        <v>43</v>
      </c>
      <c r="B19" s="77" t="s">
        <v>756</v>
      </c>
      <c r="C19" s="77" t="str">
        <f t="shared" si="5"/>
        <v>BF</v>
      </c>
      <c r="D19" s="78" t="s">
        <v>46</v>
      </c>
      <c r="E19" s="78" t="str">
        <f t="shared" si="4"/>
        <v>000</v>
      </c>
      <c r="F19" s="3">
        <v>652316</v>
      </c>
      <c r="G19" s="102" t="s">
        <v>879</v>
      </c>
      <c r="H19" s="87"/>
      <c r="I19" s="13">
        <v>55753</v>
      </c>
      <c r="J19" s="13">
        <v>111715</v>
      </c>
      <c r="L19" s="56">
        <v>225893</v>
      </c>
      <c r="M19" s="56"/>
      <c r="N19" s="56">
        <v>125000</v>
      </c>
      <c r="O19" s="56"/>
      <c r="P19" s="56">
        <v>125000</v>
      </c>
      <c r="Q19" s="56"/>
      <c r="R19" s="56">
        <v>125000</v>
      </c>
      <c r="S19" s="56"/>
      <c r="T19" s="56">
        <v>0</v>
      </c>
      <c r="U19" s="56"/>
      <c r="V19" s="56">
        <v>125000</v>
      </c>
      <c r="W19" s="56"/>
      <c r="X19" s="56">
        <v>629324.91</v>
      </c>
      <c r="Y19" s="56"/>
      <c r="Z19" s="56">
        <v>125000</v>
      </c>
      <c r="AA19" s="56"/>
      <c r="AB19" s="56">
        <v>0</v>
      </c>
      <c r="AC19" s="56"/>
      <c r="AD19" s="56">
        <v>0</v>
      </c>
      <c r="AE19" s="56"/>
      <c r="AF19" s="56">
        <f t="shared" si="0"/>
        <v>125000</v>
      </c>
      <c r="AG19" s="56">
        <v>0</v>
      </c>
      <c r="AH19" s="56">
        <v>0</v>
      </c>
      <c r="AI19" s="56"/>
      <c r="AJ19" s="56">
        <f t="shared" si="1"/>
        <v>125000</v>
      </c>
      <c r="AK19" s="85"/>
      <c r="AL19" s="89">
        <v>75000</v>
      </c>
      <c r="AM19" s="56"/>
      <c r="AN19" s="88">
        <v>207787.45</v>
      </c>
      <c r="AO19" s="88">
        <v>0</v>
      </c>
      <c r="AP19" s="88">
        <v>327722.75</v>
      </c>
      <c r="AQ19" s="56"/>
      <c r="AR19" s="56">
        <v>0</v>
      </c>
      <c r="AS19" s="56"/>
      <c r="AT19" s="56">
        <v>0</v>
      </c>
      <c r="AU19" s="56"/>
      <c r="AV19" s="56">
        <f t="shared" si="2"/>
        <v>327722.75</v>
      </c>
      <c r="AW19" s="56"/>
      <c r="AX19" s="56">
        <v>0</v>
      </c>
      <c r="AY19" s="56"/>
      <c r="AZ19" s="88">
        <v>125000</v>
      </c>
      <c r="BA19" s="56">
        <v>125000</v>
      </c>
      <c r="BB19" s="214"/>
      <c r="BC19" s="56"/>
      <c r="BD19" s="84">
        <f t="shared" si="3"/>
        <v>119935.29999999999</v>
      </c>
      <c r="BE19" s="56"/>
      <c r="BF19" s="56"/>
      <c r="BG19" s="56"/>
      <c r="BH19" s="72"/>
    </row>
    <row r="20" spans="1:62" ht="20.100000000000001" customHeight="1" outlineLevel="1">
      <c r="A20" s="77" t="s">
        <v>43</v>
      </c>
      <c r="B20" s="77" t="s">
        <v>44</v>
      </c>
      <c r="C20" s="77" t="str">
        <f t="shared" si="5"/>
        <v>BF</v>
      </c>
      <c r="D20" s="78" t="s">
        <v>46</v>
      </c>
      <c r="E20" s="78" t="str">
        <f t="shared" si="4"/>
        <v>000</v>
      </c>
      <c r="F20" s="3">
        <v>652411</v>
      </c>
      <c r="G20" s="102" t="s">
        <v>880</v>
      </c>
      <c r="H20" s="87"/>
      <c r="I20" s="13">
        <v>0</v>
      </c>
      <c r="J20" s="13">
        <v>47581</v>
      </c>
      <c r="L20" s="56">
        <v>45235</v>
      </c>
      <c r="M20" s="56"/>
      <c r="N20" s="56">
        <v>0</v>
      </c>
      <c r="O20" s="56"/>
      <c r="P20" s="56">
        <v>0</v>
      </c>
      <c r="Q20" s="56"/>
      <c r="R20" s="56">
        <v>0</v>
      </c>
      <c r="S20" s="56"/>
      <c r="T20" s="56">
        <v>0</v>
      </c>
      <c r="U20" s="56"/>
      <c r="V20" s="56">
        <v>0</v>
      </c>
      <c r="W20" s="56"/>
      <c r="X20" s="56">
        <v>45255</v>
      </c>
      <c r="Y20" s="56"/>
      <c r="Z20" s="56">
        <v>0</v>
      </c>
      <c r="AA20" s="56"/>
      <c r="AB20" s="56">
        <v>0</v>
      </c>
      <c r="AC20" s="56"/>
      <c r="AD20" s="56">
        <v>0</v>
      </c>
      <c r="AE20" s="56"/>
      <c r="AF20" s="56">
        <f t="shared" si="0"/>
        <v>0</v>
      </c>
      <c r="AG20" s="56">
        <v>0</v>
      </c>
      <c r="AH20" s="56">
        <v>0</v>
      </c>
      <c r="AI20" s="56"/>
      <c r="AJ20" s="56">
        <f t="shared" si="1"/>
        <v>0</v>
      </c>
      <c r="AK20" s="85"/>
      <c r="AL20" s="56">
        <v>0</v>
      </c>
      <c r="AM20" s="56"/>
      <c r="AN20" s="88">
        <v>41099</v>
      </c>
      <c r="AO20" s="88">
        <v>0</v>
      </c>
      <c r="AP20" s="88">
        <v>3012</v>
      </c>
      <c r="AQ20" s="56"/>
      <c r="AR20" s="56">
        <v>0</v>
      </c>
      <c r="AS20" s="56"/>
      <c r="AT20" s="56">
        <v>0</v>
      </c>
      <c r="AU20" s="56"/>
      <c r="AV20" s="56">
        <f t="shared" si="2"/>
        <v>3012</v>
      </c>
      <c r="AW20" s="56"/>
      <c r="AX20" s="56">
        <v>0</v>
      </c>
      <c r="AY20" s="56"/>
      <c r="AZ20" s="88">
        <v>0</v>
      </c>
      <c r="BA20" s="56">
        <v>0</v>
      </c>
      <c r="BB20" s="214"/>
      <c r="BC20" s="56"/>
      <c r="BD20" s="84">
        <f t="shared" si="3"/>
        <v>-38087</v>
      </c>
      <c r="BE20" s="56"/>
      <c r="BF20" s="56"/>
      <c r="BG20" s="56"/>
      <c r="BH20" s="72"/>
    </row>
    <row r="21" spans="1:62" ht="20.100000000000001" customHeight="1" outlineLevel="1">
      <c r="A21" s="77" t="s">
        <v>43</v>
      </c>
      <c r="B21" s="77" t="s">
        <v>44</v>
      </c>
      <c r="C21" s="77" t="str">
        <f t="shared" si="5"/>
        <v>BF</v>
      </c>
      <c r="D21" s="78" t="s">
        <v>46</v>
      </c>
      <c r="E21" s="78" t="str">
        <f t="shared" si="4"/>
        <v>000</v>
      </c>
      <c r="F21" s="3">
        <v>652511</v>
      </c>
      <c r="G21" s="102" t="s">
        <v>881</v>
      </c>
      <c r="H21" s="87"/>
      <c r="I21" s="13">
        <v>4878</v>
      </c>
      <c r="J21" s="13">
        <v>8284</v>
      </c>
      <c r="L21" s="56">
        <v>8641</v>
      </c>
      <c r="M21" s="56"/>
      <c r="N21" s="56">
        <v>8500</v>
      </c>
      <c r="O21" s="56"/>
      <c r="P21" s="56">
        <v>8500</v>
      </c>
      <c r="Q21" s="56"/>
      <c r="R21" s="56">
        <v>8500</v>
      </c>
      <c r="S21" s="56"/>
      <c r="T21" s="56">
        <v>0</v>
      </c>
      <c r="U21" s="56"/>
      <c r="V21" s="56">
        <v>8500</v>
      </c>
      <c r="W21" s="56"/>
      <c r="X21" s="56">
        <v>8081</v>
      </c>
      <c r="Y21" s="56"/>
      <c r="Z21" s="56">
        <v>8750</v>
      </c>
      <c r="AA21" s="56"/>
      <c r="AB21" s="56">
        <v>0</v>
      </c>
      <c r="AC21" s="56"/>
      <c r="AD21" s="56">
        <v>0</v>
      </c>
      <c r="AE21" s="56"/>
      <c r="AF21" s="56">
        <f t="shared" si="0"/>
        <v>8750</v>
      </c>
      <c r="AG21" s="56">
        <v>0</v>
      </c>
      <c r="AH21" s="56">
        <v>0</v>
      </c>
      <c r="AI21" s="56"/>
      <c r="AJ21" s="56">
        <f t="shared" si="1"/>
        <v>8750</v>
      </c>
      <c r="AK21" s="85"/>
      <c r="AL21" s="56">
        <v>0</v>
      </c>
      <c r="AM21" s="56"/>
      <c r="AN21" s="88">
        <v>3742</v>
      </c>
      <c r="AO21" s="88">
        <v>0</v>
      </c>
      <c r="AP21" s="88">
        <v>710</v>
      </c>
      <c r="AQ21" s="56"/>
      <c r="AR21" s="56">
        <v>0</v>
      </c>
      <c r="AS21" s="56"/>
      <c r="AT21" s="56">
        <v>0</v>
      </c>
      <c r="AU21" s="56"/>
      <c r="AV21" s="56">
        <f t="shared" si="2"/>
        <v>710</v>
      </c>
      <c r="AW21" s="56"/>
      <c r="AX21" s="56">
        <v>0</v>
      </c>
      <c r="AY21" s="56"/>
      <c r="AZ21" s="88">
        <v>8750</v>
      </c>
      <c r="BA21" s="56">
        <v>8750</v>
      </c>
      <c r="BB21" s="214"/>
      <c r="BC21" s="56"/>
      <c r="BD21" s="84">
        <f t="shared" si="3"/>
        <v>-3032</v>
      </c>
      <c r="BE21" s="56"/>
      <c r="BF21" s="56"/>
      <c r="BG21" s="56"/>
      <c r="BH21" s="72"/>
    </row>
    <row r="22" spans="1:62" ht="20.100000000000001" customHeight="1" outlineLevel="1">
      <c r="A22" s="77" t="s">
        <v>43</v>
      </c>
      <c r="B22" s="77" t="s">
        <v>44</v>
      </c>
      <c r="C22" s="77" t="str">
        <f t="shared" si="5"/>
        <v>BF</v>
      </c>
      <c r="D22" s="78" t="s">
        <v>46</v>
      </c>
      <c r="E22" s="78" t="str">
        <f t="shared" si="4"/>
        <v>000</v>
      </c>
      <c r="F22" s="3">
        <v>689037</v>
      </c>
      <c r="G22" s="102" t="s">
        <v>882</v>
      </c>
      <c r="H22" s="87"/>
      <c r="I22" s="13">
        <v>29424</v>
      </c>
      <c r="J22" s="13">
        <v>41089</v>
      </c>
      <c r="L22" s="56">
        <v>91588</v>
      </c>
      <c r="M22" s="56"/>
      <c r="N22" s="56">
        <v>35000</v>
      </c>
      <c r="O22" s="56"/>
      <c r="P22" s="56">
        <v>35702</v>
      </c>
      <c r="Q22" s="56"/>
      <c r="R22" s="56">
        <v>35702</v>
      </c>
      <c r="S22" s="56"/>
      <c r="T22" s="56">
        <v>0</v>
      </c>
      <c r="U22" s="56"/>
      <c r="V22" s="56">
        <v>35702</v>
      </c>
      <c r="W22" s="56"/>
      <c r="X22" s="56">
        <v>78895.929999999993</v>
      </c>
      <c r="Y22" s="56"/>
      <c r="Z22" s="56">
        <v>35000</v>
      </c>
      <c r="AA22" s="56"/>
      <c r="AB22" s="56">
        <v>0</v>
      </c>
      <c r="AC22" s="56"/>
      <c r="AD22" s="56">
        <v>0</v>
      </c>
      <c r="AE22" s="56"/>
      <c r="AF22" s="56">
        <f t="shared" si="0"/>
        <v>35000</v>
      </c>
      <c r="AG22" s="56">
        <v>0</v>
      </c>
      <c r="AH22" s="56">
        <v>0</v>
      </c>
      <c r="AI22" s="56"/>
      <c r="AJ22" s="56">
        <f t="shared" si="1"/>
        <v>35000</v>
      </c>
      <c r="AK22" s="85"/>
      <c r="AL22" s="89">
        <v>150000</v>
      </c>
      <c r="AM22" s="56"/>
      <c r="AN22" s="88">
        <v>153887.54999999999</v>
      </c>
      <c r="AO22" s="88">
        <v>0</v>
      </c>
      <c r="AP22" s="88">
        <v>115244.16</v>
      </c>
      <c r="AQ22" s="56"/>
      <c r="AR22" s="56">
        <v>0</v>
      </c>
      <c r="AS22" s="56"/>
      <c r="AT22" s="56">
        <v>0</v>
      </c>
      <c r="AU22" s="56"/>
      <c r="AV22" s="56">
        <f t="shared" si="2"/>
        <v>115244.16</v>
      </c>
      <c r="AW22" s="56"/>
      <c r="AX22" s="56">
        <v>0</v>
      </c>
      <c r="AY22" s="56"/>
      <c r="AZ22" s="88">
        <v>150000</v>
      </c>
      <c r="BA22" s="56">
        <v>150000</v>
      </c>
      <c r="BB22" s="214"/>
      <c r="BC22" s="56"/>
      <c r="BD22" s="84">
        <f t="shared" si="3"/>
        <v>-38643.389999999985</v>
      </c>
      <c r="BE22" s="56"/>
      <c r="BF22" s="56"/>
      <c r="BG22" s="56"/>
      <c r="BH22" s="72"/>
    </row>
    <row r="23" spans="1:62" ht="20.100000000000001" customHeight="1" outlineLevel="1">
      <c r="A23" s="77" t="s">
        <v>43</v>
      </c>
      <c r="B23" s="77" t="s">
        <v>883</v>
      </c>
      <c r="C23" s="77" t="str">
        <f t="shared" si="5"/>
        <v>BF</v>
      </c>
      <c r="D23" s="78" t="s">
        <v>46</v>
      </c>
      <c r="E23" s="78" t="str">
        <f t="shared" si="4"/>
        <v>000</v>
      </c>
      <c r="F23" s="3">
        <v>631310</v>
      </c>
      <c r="G23" s="102" t="s">
        <v>884</v>
      </c>
      <c r="H23" s="87"/>
      <c r="I23" s="13">
        <v>586645</v>
      </c>
      <c r="J23" s="13">
        <v>602378</v>
      </c>
      <c r="L23" s="56">
        <v>656831</v>
      </c>
      <c r="M23" s="56"/>
      <c r="N23" s="56">
        <v>605000</v>
      </c>
      <c r="O23" s="56"/>
      <c r="P23" s="56">
        <v>605000</v>
      </c>
      <c r="Q23" s="56"/>
      <c r="R23" s="56">
        <v>605000</v>
      </c>
      <c r="S23" s="56"/>
      <c r="T23" s="56">
        <v>0</v>
      </c>
      <c r="U23" s="56"/>
      <c r="V23" s="56">
        <v>605000</v>
      </c>
      <c r="W23" s="56"/>
      <c r="X23" s="56">
        <v>726684.68</v>
      </c>
      <c r="Y23" s="56"/>
      <c r="Z23" s="56">
        <v>660000</v>
      </c>
      <c r="AA23" s="56"/>
      <c r="AB23" s="56">
        <v>0</v>
      </c>
      <c r="AC23" s="56"/>
      <c r="AD23" s="56">
        <v>0</v>
      </c>
      <c r="AE23" s="56"/>
      <c r="AF23" s="56">
        <f t="shared" si="0"/>
        <v>660000</v>
      </c>
      <c r="AG23" s="56">
        <v>0</v>
      </c>
      <c r="AH23" s="56">
        <v>0</v>
      </c>
      <c r="AI23" s="56"/>
      <c r="AJ23" s="56">
        <f t="shared" si="1"/>
        <v>660000</v>
      </c>
      <c r="AK23" s="85"/>
      <c r="AL23" s="89">
        <v>144000</v>
      </c>
      <c r="AM23" s="56"/>
      <c r="AN23" s="88">
        <v>803972.2</v>
      </c>
      <c r="AO23" s="88">
        <v>0</v>
      </c>
      <c r="AP23" s="88">
        <v>827788.44</v>
      </c>
      <c r="AQ23" s="56"/>
      <c r="AR23" s="56">
        <v>0</v>
      </c>
      <c r="AS23" s="56"/>
      <c r="AT23" s="56">
        <v>0</v>
      </c>
      <c r="AU23" s="56"/>
      <c r="AV23" s="56">
        <f t="shared" si="2"/>
        <v>827788.44</v>
      </c>
      <c r="AW23" s="56"/>
      <c r="AX23" s="56">
        <v>0</v>
      </c>
      <c r="AY23" s="56"/>
      <c r="AZ23" s="88">
        <v>815000</v>
      </c>
      <c r="BA23" s="56">
        <v>815000</v>
      </c>
      <c r="BB23" s="214"/>
      <c r="BC23" s="56"/>
      <c r="BD23" s="84">
        <f t="shared" si="3"/>
        <v>23816.239999999991</v>
      </c>
      <c r="BE23" s="56"/>
      <c r="BF23" s="56"/>
      <c r="BG23" s="56"/>
      <c r="BH23" s="72"/>
    </row>
    <row r="24" spans="1:62" ht="20.100000000000001" customHeight="1" outlineLevel="1">
      <c r="A24" s="77" t="s">
        <v>43</v>
      </c>
      <c r="B24" s="77" t="s">
        <v>137</v>
      </c>
      <c r="C24" s="77" t="str">
        <f t="shared" si="5"/>
        <v>BF</v>
      </c>
      <c r="D24" s="78" t="s">
        <v>46</v>
      </c>
      <c r="E24" s="78" t="str">
        <f t="shared" si="4"/>
        <v>000</v>
      </c>
      <c r="F24" s="3">
        <v>652211</v>
      </c>
      <c r="G24" s="102" t="s">
        <v>885</v>
      </c>
      <c r="H24" s="87"/>
      <c r="I24" s="13">
        <v>19270</v>
      </c>
      <c r="J24" s="13">
        <v>21657</v>
      </c>
      <c r="L24" s="56">
        <v>34738</v>
      </c>
      <c r="M24" s="56"/>
      <c r="N24" s="56">
        <v>34738</v>
      </c>
      <c r="O24" s="56"/>
      <c r="P24" s="56">
        <v>34738</v>
      </c>
      <c r="Q24" s="56"/>
      <c r="R24" s="56">
        <v>34738</v>
      </c>
      <c r="S24" s="56"/>
      <c r="T24" s="56">
        <v>0</v>
      </c>
      <c r="U24" s="56"/>
      <c r="V24" s="56">
        <v>34738</v>
      </c>
      <c r="W24" s="56"/>
      <c r="X24" s="56">
        <v>36479</v>
      </c>
      <c r="Y24" s="56"/>
      <c r="Z24" s="56">
        <v>35000</v>
      </c>
      <c r="AA24" s="56"/>
      <c r="AB24" s="56">
        <v>0</v>
      </c>
      <c r="AC24" s="56"/>
      <c r="AD24" s="56">
        <v>0</v>
      </c>
      <c r="AE24" s="56"/>
      <c r="AF24" s="56">
        <f t="shared" si="0"/>
        <v>35000</v>
      </c>
      <c r="AG24" s="56">
        <v>0</v>
      </c>
      <c r="AH24" s="56">
        <v>0</v>
      </c>
      <c r="AI24" s="56"/>
      <c r="AJ24" s="56">
        <f t="shared" si="1"/>
        <v>35000</v>
      </c>
      <c r="AK24" s="85"/>
      <c r="AL24" s="56">
        <v>0</v>
      </c>
      <c r="AM24" s="56"/>
      <c r="AN24" s="88">
        <v>27909</v>
      </c>
      <c r="AO24" s="88">
        <v>0</v>
      </c>
      <c r="AP24" s="88">
        <v>0</v>
      </c>
      <c r="AQ24" s="56"/>
      <c r="AR24" s="56">
        <v>0</v>
      </c>
      <c r="AS24" s="56"/>
      <c r="AT24" s="56">
        <v>0</v>
      </c>
      <c r="AU24" s="56"/>
      <c r="AV24" s="56">
        <f t="shared" si="2"/>
        <v>0</v>
      </c>
      <c r="AW24" s="56"/>
      <c r="AX24" s="56">
        <v>0</v>
      </c>
      <c r="AY24" s="56"/>
      <c r="AZ24" s="88">
        <v>38000</v>
      </c>
      <c r="BA24" s="56">
        <v>38000</v>
      </c>
      <c r="BB24" s="214"/>
      <c r="BC24" s="56"/>
      <c r="BD24" s="84">
        <f t="shared" si="3"/>
        <v>-27909</v>
      </c>
      <c r="BE24" s="56"/>
      <c r="BF24" s="56"/>
      <c r="BG24" s="56"/>
      <c r="BH24" s="72"/>
    </row>
    <row r="25" spans="1:62" ht="20.100000000000001" customHeight="1" outlineLevel="1">
      <c r="A25" s="77" t="s">
        <v>43</v>
      </c>
      <c r="B25" s="77" t="s">
        <v>137</v>
      </c>
      <c r="C25" s="77" t="str">
        <f t="shared" si="5"/>
        <v>BF</v>
      </c>
      <c r="D25" s="78" t="s">
        <v>46</v>
      </c>
      <c r="E25" s="78" t="str">
        <f t="shared" si="4"/>
        <v>000</v>
      </c>
      <c r="F25" s="3">
        <v>652212</v>
      </c>
      <c r="G25" s="102" t="s">
        <v>886</v>
      </c>
      <c r="H25" s="87"/>
      <c r="I25" s="13">
        <v>31589</v>
      </c>
      <c r="J25" s="13">
        <v>31300</v>
      </c>
      <c r="L25" s="56">
        <v>45428</v>
      </c>
      <c r="M25" s="56"/>
      <c r="N25" s="56">
        <v>0</v>
      </c>
      <c r="O25" s="56"/>
      <c r="P25" s="56">
        <v>0</v>
      </c>
      <c r="Q25" s="56"/>
      <c r="R25" s="56">
        <v>0</v>
      </c>
      <c r="S25" s="56"/>
      <c r="T25" s="56">
        <v>0</v>
      </c>
      <c r="U25" s="56"/>
      <c r="V25" s="56">
        <v>0</v>
      </c>
      <c r="W25" s="56"/>
      <c r="X25" s="56">
        <v>0</v>
      </c>
      <c r="Y25" s="56"/>
      <c r="Z25" s="56"/>
      <c r="AA25" s="56"/>
      <c r="AB25" s="56">
        <v>0</v>
      </c>
      <c r="AC25" s="56"/>
      <c r="AD25" s="56">
        <v>0</v>
      </c>
      <c r="AE25" s="56"/>
      <c r="AF25" s="56">
        <f t="shared" si="0"/>
        <v>0</v>
      </c>
      <c r="AG25" s="56">
        <v>0</v>
      </c>
      <c r="AH25" s="56">
        <v>0</v>
      </c>
      <c r="AI25" s="56"/>
      <c r="AJ25" s="56">
        <f t="shared" si="1"/>
        <v>0</v>
      </c>
      <c r="AK25" s="85"/>
      <c r="AL25" s="56">
        <v>0</v>
      </c>
      <c r="AM25" s="56"/>
      <c r="AN25" s="88">
        <f>SUM(AI25:AM25)</f>
        <v>0</v>
      </c>
      <c r="AO25" s="88">
        <v>0</v>
      </c>
      <c r="AP25" s="88">
        <v>0</v>
      </c>
      <c r="AQ25" s="56"/>
      <c r="AR25" s="56">
        <v>0</v>
      </c>
      <c r="AS25" s="56"/>
      <c r="AT25" s="56">
        <v>0</v>
      </c>
      <c r="AU25" s="56"/>
      <c r="AV25" s="56">
        <f t="shared" si="2"/>
        <v>0</v>
      </c>
      <c r="AW25" s="56"/>
      <c r="AX25" s="56">
        <v>0</v>
      </c>
      <c r="AY25" s="56"/>
      <c r="AZ25" s="88">
        <v>0</v>
      </c>
      <c r="BA25" s="56">
        <v>0</v>
      </c>
      <c r="BB25" s="214"/>
      <c r="BC25" s="56"/>
      <c r="BD25" s="84">
        <f t="shared" si="3"/>
        <v>0</v>
      </c>
      <c r="BE25" s="56"/>
      <c r="BF25" s="56"/>
      <c r="BG25" s="56"/>
      <c r="BH25" s="72"/>
    </row>
    <row r="26" spans="1:62" ht="20.100000000000001" customHeight="1" outlineLevel="1">
      <c r="A26" s="77" t="s">
        <v>43</v>
      </c>
      <c r="B26" s="77" t="s">
        <v>137</v>
      </c>
      <c r="C26" s="77" t="str">
        <f t="shared" si="5"/>
        <v>BF</v>
      </c>
      <c r="D26" s="78" t="s">
        <v>46</v>
      </c>
      <c r="E26" s="78" t="str">
        <f t="shared" si="4"/>
        <v>000</v>
      </c>
      <c r="F26" s="3">
        <v>652213</v>
      </c>
      <c r="G26" s="102" t="s">
        <v>887</v>
      </c>
      <c r="H26" s="87"/>
      <c r="I26" s="13">
        <v>802007</v>
      </c>
      <c r="J26" s="13">
        <v>833410</v>
      </c>
      <c r="L26" s="56">
        <v>1247446</v>
      </c>
      <c r="M26" s="56"/>
      <c r="N26" s="56">
        <v>1350000</v>
      </c>
      <c r="O26" s="56"/>
      <c r="P26" s="56">
        <v>1350000</v>
      </c>
      <c r="Q26" s="56"/>
      <c r="R26" s="56">
        <v>1350000</v>
      </c>
      <c r="S26" s="56"/>
      <c r="T26" s="56">
        <v>0</v>
      </c>
      <c r="U26" s="56"/>
      <c r="V26" s="56">
        <v>1350000</v>
      </c>
      <c r="W26" s="56"/>
      <c r="X26" s="56">
        <v>1380732.21</v>
      </c>
      <c r="Y26" s="56"/>
      <c r="Z26" s="56">
        <f>1189127+22500</f>
        <v>1211627</v>
      </c>
      <c r="AA26" s="56"/>
      <c r="AB26" s="89">
        <v>236250</v>
      </c>
      <c r="AC26" s="56"/>
      <c r="AD26" s="56">
        <v>0</v>
      </c>
      <c r="AE26" s="56"/>
      <c r="AF26" s="56">
        <f t="shared" si="0"/>
        <v>1447877</v>
      </c>
      <c r="AG26" s="56">
        <v>0</v>
      </c>
      <c r="AH26" s="56">
        <v>0</v>
      </c>
      <c r="AI26" s="56"/>
      <c r="AJ26" s="56">
        <f t="shared" si="1"/>
        <v>1447877</v>
      </c>
      <c r="AK26" s="85"/>
      <c r="AL26" s="56">
        <v>0</v>
      </c>
      <c r="AM26" s="56"/>
      <c r="AN26" s="88">
        <v>1104086.25</v>
      </c>
      <c r="AO26" s="88">
        <v>0</v>
      </c>
      <c r="AP26" s="88">
        <v>1690047.2</v>
      </c>
      <c r="AQ26" s="56"/>
      <c r="AR26" s="89">
        <v>0</v>
      </c>
      <c r="AS26" s="56"/>
      <c r="AT26" s="56">
        <v>0</v>
      </c>
      <c r="AU26" s="56"/>
      <c r="AV26" s="56">
        <f t="shared" si="2"/>
        <v>1690047.2</v>
      </c>
      <c r="AW26" s="56"/>
      <c r="AX26" s="56">
        <v>0</v>
      </c>
      <c r="AY26" s="56"/>
      <c r="AZ26" s="88">
        <v>1508100</v>
      </c>
      <c r="BA26" s="56">
        <v>1508100</v>
      </c>
      <c r="BB26" s="214"/>
      <c r="BC26" s="56"/>
      <c r="BD26" s="84">
        <f t="shared" si="3"/>
        <v>585960.94999999995</v>
      </c>
      <c r="BE26" s="56"/>
      <c r="BF26" s="56"/>
      <c r="BG26" s="56"/>
      <c r="BH26" s="72"/>
    </row>
    <row r="27" spans="1:62" ht="20.100000000000001" customHeight="1" outlineLevel="1">
      <c r="A27" s="77" t="s">
        <v>43</v>
      </c>
      <c r="B27" s="77" t="s">
        <v>756</v>
      </c>
      <c r="C27" s="77" t="str">
        <f t="shared" si="5"/>
        <v>BF</v>
      </c>
      <c r="D27" s="78" t="s">
        <v>46</v>
      </c>
      <c r="E27" s="78" t="str">
        <f t="shared" si="4"/>
        <v>000</v>
      </c>
      <c r="F27" s="3">
        <v>652311</v>
      </c>
      <c r="G27" s="102" t="s">
        <v>888</v>
      </c>
      <c r="H27" s="87"/>
      <c r="I27" s="13">
        <v>125000</v>
      </c>
      <c r="J27" s="13">
        <v>0</v>
      </c>
      <c r="L27" s="56">
        <v>44245</v>
      </c>
      <c r="M27" s="56"/>
      <c r="N27" s="56">
        <v>177461</v>
      </c>
      <c r="O27" s="56"/>
      <c r="P27" s="56">
        <v>177461</v>
      </c>
      <c r="Q27" s="56"/>
      <c r="R27" s="56">
        <v>177461</v>
      </c>
      <c r="S27" s="56"/>
      <c r="T27" s="56">
        <v>0</v>
      </c>
      <c r="U27" s="56"/>
      <c r="V27" s="56">
        <v>177461</v>
      </c>
      <c r="W27" s="56"/>
      <c r="X27" s="56">
        <v>177461</v>
      </c>
      <c r="Y27" s="56"/>
      <c r="Z27" s="56">
        <v>168000</v>
      </c>
      <c r="AA27" s="56"/>
      <c r="AB27" s="56">
        <v>0</v>
      </c>
      <c r="AC27" s="56"/>
      <c r="AD27" s="56">
        <v>0</v>
      </c>
      <c r="AE27" s="56"/>
      <c r="AF27" s="56">
        <f t="shared" si="0"/>
        <v>168000</v>
      </c>
      <c r="AG27" s="56">
        <v>0</v>
      </c>
      <c r="AH27" s="56">
        <v>0</v>
      </c>
      <c r="AI27" s="56"/>
      <c r="AJ27" s="56">
        <f t="shared" si="1"/>
        <v>168000</v>
      </c>
      <c r="AK27" s="85"/>
      <c r="AL27" s="56">
        <v>0</v>
      </c>
      <c r="AM27" s="56"/>
      <c r="AN27" s="88">
        <v>369210.65</v>
      </c>
      <c r="AO27" s="88">
        <v>0</v>
      </c>
      <c r="AP27" s="88">
        <v>24155.7</v>
      </c>
      <c r="AQ27" s="56"/>
      <c r="AR27" s="56">
        <v>0</v>
      </c>
      <c r="AS27" s="56"/>
      <c r="AT27" s="56">
        <v>0</v>
      </c>
      <c r="AU27" s="56"/>
      <c r="AV27" s="56">
        <f t="shared" si="2"/>
        <v>24155.7</v>
      </c>
      <c r="AW27" s="56"/>
      <c r="AX27" s="56">
        <v>0</v>
      </c>
      <c r="AY27" s="56"/>
      <c r="AZ27" s="88">
        <v>185000</v>
      </c>
      <c r="BA27" s="56">
        <v>185000</v>
      </c>
      <c r="BB27" s="214"/>
      <c r="BC27" s="56"/>
      <c r="BD27" s="84">
        <f t="shared" si="3"/>
        <v>-345054.95</v>
      </c>
      <c r="BE27" s="56"/>
      <c r="BF27" s="56"/>
      <c r="BG27" s="56"/>
      <c r="BH27" s="72"/>
    </row>
    <row r="28" spans="1:62" ht="20.100000000000001" customHeight="1" outlineLevel="1">
      <c r="A28" s="77" t="s">
        <v>43</v>
      </c>
      <c r="B28" s="77" t="s">
        <v>619</v>
      </c>
      <c r="C28" s="77" t="str">
        <f t="shared" si="5"/>
        <v>BF</v>
      </c>
      <c r="D28" s="78" t="s">
        <v>46</v>
      </c>
      <c r="E28" s="78" t="str">
        <f t="shared" si="4"/>
        <v>000</v>
      </c>
      <c r="F28" s="3">
        <v>652312</v>
      </c>
      <c r="G28" s="102" t="s">
        <v>889</v>
      </c>
      <c r="H28" s="87"/>
      <c r="I28" s="13">
        <v>22190</v>
      </c>
      <c r="J28" s="13">
        <v>0</v>
      </c>
      <c r="L28" s="56">
        <v>0</v>
      </c>
      <c r="M28" s="56"/>
      <c r="N28" s="56">
        <v>0</v>
      </c>
      <c r="O28" s="56"/>
      <c r="P28" s="56">
        <v>0</v>
      </c>
      <c r="Q28" s="56"/>
      <c r="R28" s="56">
        <v>0</v>
      </c>
      <c r="S28" s="56"/>
      <c r="T28" s="56">
        <v>0</v>
      </c>
      <c r="U28" s="56"/>
      <c r="V28" s="56">
        <v>0</v>
      </c>
      <c r="W28" s="56"/>
      <c r="X28" s="56">
        <v>0</v>
      </c>
      <c r="Y28" s="56"/>
      <c r="Z28" s="56"/>
      <c r="AA28" s="56"/>
      <c r="AB28" s="56">
        <v>0</v>
      </c>
      <c r="AC28" s="56"/>
      <c r="AD28" s="56">
        <v>0</v>
      </c>
      <c r="AE28" s="56"/>
      <c r="AF28" s="56">
        <f t="shared" si="0"/>
        <v>0</v>
      </c>
      <c r="AG28" s="56">
        <v>0</v>
      </c>
      <c r="AH28" s="56">
        <v>0</v>
      </c>
      <c r="AI28" s="56"/>
      <c r="AJ28" s="56">
        <f t="shared" si="1"/>
        <v>0</v>
      </c>
      <c r="AK28" s="85"/>
      <c r="AL28" s="56">
        <v>0</v>
      </c>
      <c r="AM28" s="56"/>
      <c r="AN28" s="88">
        <f>SUM(AI28:AM28)</f>
        <v>0</v>
      </c>
      <c r="AO28" s="88">
        <v>0</v>
      </c>
      <c r="AP28" s="88">
        <v>0</v>
      </c>
      <c r="AQ28" s="56"/>
      <c r="AR28" s="56">
        <v>0</v>
      </c>
      <c r="AS28" s="56"/>
      <c r="AT28" s="56">
        <v>0</v>
      </c>
      <c r="AU28" s="56"/>
      <c r="AV28" s="56">
        <f t="shared" si="2"/>
        <v>0</v>
      </c>
      <c r="AW28" s="56"/>
      <c r="AX28" s="56">
        <v>0</v>
      </c>
      <c r="AY28" s="56"/>
      <c r="AZ28" s="88">
        <v>0</v>
      </c>
      <c r="BA28" s="56">
        <v>0</v>
      </c>
      <c r="BB28" s="214"/>
      <c r="BC28" s="56"/>
      <c r="BD28" s="84">
        <f t="shared" si="3"/>
        <v>0</v>
      </c>
      <c r="BE28" s="56"/>
      <c r="BF28" s="56"/>
      <c r="BG28" s="56"/>
      <c r="BH28" s="72"/>
    </row>
    <row r="29" spans="1:62" ht="20.100000000000001" customHeight="1" outlineLevel="1">
      <c r="A29" s="77" t="s">
        <v>43</v>
      </c>
      <c r="B29" s="77" t="s">
        <v>890</v>
      </c>
      <c r="C29" s="77" t="str">
        <f t="shared" si="5"/>
        <v>BF</v>
      </c>
      <c r="D29" s="78" t="s">
        <v>46</v>
      </c>
      <c r="E29" s="78" t="str">
        <f t="shared" si="4"/>
        <v>000</v>
      </c>
      <c r="F29" s="3">
        <v>611933</v>
      </c>
      <c r="G29" s="102" t="s">
        <v>891</v>
      </c>
      <c r="H29" s="87"/>
      <c r="I29" s="13">
        <v>24468</v>
      </c>
      <c r="J29" s="13">
        <v>24068</v>
      </c>
      <c r="L29" s="56">
        <v>25668</v>
      </c>
      <c r="M29" s="56"/>
      <c r="N29" s="56">
        <v>24943</v>
      </c>
      <c r="O29" s="56"/>
      <c r="P29" s="56">
        <v>24943</v>
      </c>
      <c r="Q29" s="56"/>
      <c r="R29" s="56">
        <v>25918</v>
      </c>
      <c r="S29" s="56"/>
      <c r="T29" s="56">
        <v>0</v>
      </c>
      <c r="U29" s="56"/>
      <c r="V29" s="56">
        <v>25918</v>
      </c>
      <c r="W29" s="56"/>
      <c r="X29" s="56">
        <v>25918</v>
      </c>
      <c r="Y29" s="56"/>
      <c r="Z29" s="56">
        <f>50136/2</f>
        <v>25068</v>
      </c>
      <c r="AA29" s="56"/>
      <c r="AB29" s="56">
        <v>0</v>
      </c>
      <c r="AC29" s="56"/>
      <c r="AD29" s="56">
        <v>0</v>
      </c>
      <c r="AE29" s="56"/>
      <c r="AF29" s="56">
        <f t="shared" si="0"/>
        <v>25068</v>
      </c>
      <c r="AG29" s="56">
        <v>0</v>
      </c>
      <c r="AH29" s="56">
        <v>1125</v>
      </c>
      <c r="AI29" s="56"/>
      <c r="AJ29" s="56">
        <f t="shared" si="1"/>
        <v>26193</v>
      </c>
      <c r="AK29" s="85"/>
      <c r="AL29" s="56">
        <v>0</v>
      </c>
      <c r="AM29" s="56"/>
      <c r="AN29" s="88">
        <v>26193</v>
      </c>
      <c r="AO29" s="88">
        <v>0</v>
      </c>
      <c r="AP29" s="88">
        <v>25068</v>
      </c>
      <c r="AQ29" s="56"/>
      <c r="AR29" s="56">
        <v>0</v>
      </c>
      <c r="AS29" s="56"/>
      <c r="AT29" s="56">
        <v>0</v>
      </c>
      <c r="AU29" s="56"/>
      <c r="AV29" s="56">
        <f t="shared" si="2"/>
        <v>25068</v>
      </c>
      <c r="AW29" s="56"/>
      <c r="AX29" s="56">
        <v>0</v>
      </c>
      <c r="AY29" s="56"/>
      <c r="AZ29" s="88">
        <v>25068</v>
      </c>
      <c r="BA29" s="56">
        <v>25068</v>
      </c>
      <c r="BB29" s="56"/>
      <c r="BC29" s="56"/>
      <c r="BD29" s="84">
        <f t="shared" si="3"/>
        <v>-1125</v>
      </c>
      <c r="BE29" s="56"/>
      <c r="BF29" s="56"/>
      <c r="BG29" s="56"/>
      <c r="BH29" s="72">
        <v>1</v>
      </c>
      <c r="BJ29">
        <v>1</v>
      </c>
    </row>
    <row r="30" spans="1:62" ht="20.100000000000001" customHeight="1">
      <c r="B30" s="77"/>
      <c r="C30" s="77"/>
      <c r="D30" s="90"/>
      <c r="E30" s="90"/>
      <c r="F30" s="3"/>
      <c r="G30" s="110" t="s">
        <v>892</v>
      </c>
      <c r="H30" s="81"/>
      <c r="I30" s="92">
        <v>4830496</v>
      </c>
      <c r="J30" s="93">
        <v>4807170</v>
      </c>
      <c r="L30" s="125">
        <v>5586992</v>
      </c>
      <c r="M30" s="126"/>
      <c r="N30" s="125">
        <v>5402618</v>
      </c>
      <c r="O30" s="126"/>
      <c r="P30" s="125">
        <v>5403620</v>
      </c>
      <c r="Q30" s="126"/>
      <c r="R30" s="125">
        <v>5804595</v>
      </c>
      <c r="S30" s="95"/>
      <c r="T30" s="94">
        <v>0</v>
      </c>
      <c r="U30" s="126"/>
      <c r="V30" s="125">
        <v>5804595</v>
      </c>
      <c r="W30" s="126"/>
      <c r="X30" s="125">
        <f>SUBTOTAL(9,X11:X29)</f>
        <v>6286152.7800000003</v>
      </c>
      <c r="Y30" s="126"/>
      <c r="Z30" s="125">
        <f>SUBTOTAL(9,Z11:Z29)</f>
        <v>5044803</v>
      </c>
      <c r="AA30" s="126"/>
      <c r="AB30" s="125">
        <f>SUBTOTAL(9,AB11:AB29)</f>
        <v>254250</v>
      </c>
      <c r="AC30" s="126"/>
      <c r="AD30" s="125">
        <f>SUBTOTAL(9,AD11:AD29)</f>
        <v>0</v>
      </c>
      <c r="AE30" s="126"/>
      <c r="AF30" s="125">
        <f>SUBTOTAL(9,AF11:AF29)</f>
        <v>5299053</v>
      </c>
      <c r="AG30" s="125">
        <f>SUBTOTAL(9,AG11:AG29)</f>
        <v>0</v>
      </c>
      <c r="AH30" s="125">
        <f>SUBTOTAL(9,AH11:AH29)</f>
        <v>1125</v>
      </c>
      <c r="AI30" s="126"/>
      <c r="AJ30" s="125">
        <f>SUBTOTAL(9,AJ11:AJ29)</f>
        <v>5300178</v>
      </c>
      <c r="AK30" s="96"/>
      <c r="AL30" s="125">
        <f>SUBTOTAL(9,AL11:AL29)</f>
        <v>619481</v>
      </c>
      <c r="AM30" s="126"/>
      <c r="AN30" s="127">
        <f>SUBTOTAL(9,AN11:AN29)</f>
        <v>5647623.3400000008</v>
      </c>
      <c r="AO30" s="127">
        <f>SUBTOTAL(9,AO11:AO29)</f>
        <v>0</v>
      </c>
      <c r="AP30" s="127">
        <f>SUBTOTAL(9,AP11:AP29)</f>
        <v>6523823.3800000008</v>
      </c>
      <c r="AQ30" s="126"/>
      <c r="AR30" s="125">
        <f>SUBTOTAL(9,AR11:AR29)</f>
        <v>0</v>
      </c>
      <c r="AS30" s="126"/>
      <c r="AT30" s="125">
        <f>SUBTOTAL(9,AT11:AT29)</f>
        <v>0</v>
      </c>
      <c r="AU30" s="126"/>
      <c r="AV30" s="125">
        <f>SUBTOTAL(9,AV11:AV29)</f>
        <v>6523823.3800000008</v>
      </c>
      <c r="AW30" s="126"/>
      <c r="AX30" s="125">
        <f>SUBTOTAL(9,AX11:AX29)</f>
        <v>250000</v>
      </c>
      <c r="AY30" s="126"/>
      <c r="AZ30" s="127">
        <f>SUBTOTAL(9,AZ11:AZ29)</f>
        <v>6387993</v>
      </c>
      <c r="BA30" s="125">
        <f>SUBTOTAL(9,BA11:BA29)</f>
        <v>6387993</v>
      </c>
      <c r="BB30" s="125"/>
      <c r="BC30" s="125"/>
      <c r="BD30" s="98">
        <f t="shared" si="3"/>
        <v>876200.04</v>
      </c>
      <c r="BE30" s="126"/>
      <c r="BF30" s="126"/>
      <c r="BG30" s="126"/>
    </row>
  </sheetData>
  <autoFilter ref="A9:BH30"/>
  <mergeCells count="8">
    <mergeCell ref="A6:F6"/>
    <mergeCell ref="A7:F7"/>
    <mergeCell ref="AB5:AD5"/>
    <mergeCell ref="A8:E8"/>
    <mergeCell ref="AG2:AH2"/>
    <mergeCell ref="AG3:AH3"/>
    <mergeCell ref="AG4:AH4"/>
    <mergeCell ref="AB4:AD4"/>
  </mergeCells>
  <phoneticPr fontId="3" type="noConversion"/>
  <conditionalFormatting sqref="F1:F1048576">
    <cfRule type="cellIs" dxfId="12" priority="1" stopIfTrue="1" operator="between">
      <formula>610000</formula>
      <formula>619999</formula>
    </cfRule>
  </conditionalFormatting>
  <pageMargins left="0.54" right="0.25" top="0.24" bottom="0.49" header="0.25" footer="0"/>
  <pageSetup scale="77" fitToHeight="0" orientation="landscape" r:id="rId1"/>
  <headerFooter alignWithMargins="0">
    <oddFooter>&amp;C&amp;8Detail of Expenditures Budget By Department, Page &amp;P of &amp;N</oddFooter>
  </headerFooter>
  <legacyDrawing r:id="rId2"/>
</worksheet>
</file>

<file path=xl/worksheets/sheet26.xml><?xml version="1.0" encoding="utf-8"?>
<worksheet xmlns="http://schemas.openxmlformats.org/spreadsheetml/2006/main" xmlns:r="http://schemas.openxmlformats.org/officeDocument/2006/relationships">
  <sheetPr codeName="Sheet33" enableFormatConditionsCalculation="0">
    <tabColor indexed="17"/>
    <pageSetUpPr fitToPage="1"/>
  </sheetPr>
  <dimension ref="A1:BK47"/>
  <sheetViews>
    <sheetView zoomScale="87" zoomScaleNormal="90" workbookViewId="0">
      <pane xSplit="8" ySplit="9" topLeftCell="O10" activePane="bottomRight" state="frozen"/>
      <selection activeCell="A28" sqref="A28"/>
      <selection pane="topRight" activeCell="A28" sqref="A28"/>
      <selection pane="bottomLeft" activeCell="A28" sqref="A28"/>
      <selection pane="bottomRight"/>
    </sheetView>
  </sheetViews>
  <sheetFormatPr defaultRowHeight="12.75" outlineLevelRow="1" outlineLevelCol="1"/>
  <cols>
    <col min="1" max="1" width="7" style="39" customWidth="1" outlineLevel="1"/>
    <col min="2" max="2" width="6.140625" style="39" customWidth="1" outlineLevel="1"/>
    <col min="3" max="3" width="3.7109375" style="39" customWidth="1" outlineLevel="1"/>
    <col min="4" max="5" width="4.85546875" style="168" customWidth="1" outlineLevel="1"/>
    <col min="6" max="6" width="8.7109375" style="40" customWidth="1" outlineLevel="1"/>
    <col min="7" max="7" width="28.5703125" style="4" customWidth="1"/>
    <col min="8" max="8" width="16.5703125" style="4" hidden="1" customWidth="1"/>
    <col min="9" max="10" width="15.140625" style="4" hidden="1" customWidth="1" collapsed="1"/>
    <col min="11" max="11" width="39.5703125" style="4" hidden="1" customWidth="1"/>
    <col min="12" max="12" width="15.140625" style="7" bestFit="1" customWidth="1" collapsed="1"/>
    <col min="13" max="13" width="31.7109375" style="7" hidden="1" customWidth="1"/>
    <col min="14" max="14" width="35.5703125" style="7" hidden="1" customWidth="1" collapsed="1"/>
    <col min="15" max="15" width="0.140625" style="7" customWidth="1"/>
    <col min="16" max="16" width="25.28515625" style="7" hidden="1" customWidth="1" outlineLevel="1" collapsed="1"/>
    <col min="17" max="17" width="23.42578125" style="7" hidden="1" customWidth="1" outlineLevel="1"/>
    <col min="18" max="18" width="20.5703125" style="7" hidden="1" customWidth="1" outlineLevel="1" collapsed="1"/>
    <col min="19" max="19" width="18" style="7" hidden="1" customWidth="1" outlineLevel="1"/>
    <col min="20" max="20" width="19.5703125" style="7" hidden="1" customWidth="1" outlineLevel="1"/>
    <col min="21" max="21" width="18.42578125" style="7" hidden="1" customWidth="1" outlineLevel="1"/>
    <col min="22" max="22" width="13.140625" style="7" hidden="1" customWidth="1"/>
    <col min="23" max="23" width="14.140625" style="7" hidden="1" customWidth="1"/>
    <col min="24" max="24" width="14.5703125" style="7" customWidth="1" collapsed="1"/>
    <col min="25" max="25" width="0.85546875" style="7" hidden="1" customWidth="1"/>
    <col min="26" max="26" width="16.140625" style="7" hidden="1" customWidth="1"/>
    <col min="27" max="27" width="0.140625" style="7" hidden="1" customWidth="1"/>
    <col min="28" max="28" width="16.140625" style="7" hidden="1" customWidth="1" outlineLevel="1"/>
    <col min="29" max="29" width="0.42578125" style="7" hidden="1" customWidth="1" outlineLevel="1"/>
    <col min="30" max="30" width="17.85546875" style="7" hidden="1" customWidth="1" outlineLevel="1"/>
    <col min="31" max="31" width="0.42578125" style="7" hidden="1" customWidth="1" outlineLevel="1"/>
    <col min="32" max="32" width="16.140625" style="7" hidden="1" customWidth="1" collapsed="1"/>
    <col min="33" max="33" width="16" style="7" hidden="1" customWidth="1" outlineLevel="1"/>
    <col min="34" max="34" width="17" style="7" hidden="1" customWidth="1" outlineLevel="1"/>
    <col min="35" max="35" width="10.5703125" style="7" hidden="1" customWidth="1" outlineLevel="1"/>
    <col min="36" max="36" width="16.140625" style="7" hidden="1" customWidth="1" collapsed="1"/>
    <col min="37" max="37" width="0.7109375" style="7" hidden="1" customWidth="1"/>
    <col min="38" max="38" width="16.140625" style="7" hidden="1" customWidth="1" outlineLevel="1"/>
    <col min="39" max="39" width="4.140625" style="7" hidden="1" customWidth="1" outlineLevel="1"/>
    <col min="40" max="40" width="16.140625" style="17" customWidth="1" collapsed="1"/>
    <col min="41" max="41" width="16.140625" style="17" hidden="1" customWidth="1" collapsed="1"/>
    <col min="42" max="42" width="16.140625" style="17" customWidth="1" collapsed="1"/>
    <col min="43" max="43" width="0.7109375" style="7" hidden="1" customWidth="1" outlineLevel="1"/>
    <col min="44" max="44" width="22.140625" style="7" hidden="1" customWidth="1" outlineLevel="1"/>
    <col min="45" max="45" width="0.42578125" style="7" hidden="1" customWidth="1" outlineLevel="1"/>
    <col min="46" max="46" width="17.85546875" style="7" hidden="1" customWidth="1" outlineLevel="1"/>
    <col min="47" max="47" width="0.42578125" style="7" hidden="1" customWidth="1" outlineLevel="1"/>
    <col min="48" max="48" width="18" style="7" hidden="1" customWidth="1" collapsed="1"/>
    <col min="49" max="49" width="0.5703125" style="7" hidden="1" customWidth="1"/>
    <col min="50" max="50" width="18" style="7" hidden="1" customWidth="1"/>
    <col min="51" max="51" width="0.5703125" style="7" customWidth="1"/>
    <col min="52" max="52" width="15.140625" style="7" customWidth="1"/>
    <col min="53" max="53" width="15.7109375" style="7" bestFit="1" customWidth="1"/>
    <col min="54" max="54" width="15.140625" style="7" customWidth="1"/>
    <col min="55" max="55" width="23.140625" style="7" customWidth="1"/>
    <col min="56" max="56" width="19.85546875" style="7" bestFit="1" customWidth="1"/>
    <col min="57" max="59" width="12.42578125" style="7" customWidth="1"/>
    <col min="60" max="60" width="3.85546875" style="76" customWidth="1"/>
    <col min="61" max="61" width="14.5703125" style="12" bestFit="1" customWidth="1"/>
  </cols>
  <sheetData>
    <row r="1" spans="1:62" ht="15">
      <c r="A1" s="1" t="s">
        <v>0</v>
      </c>
      <c r="B1" s="2"/>
      <c r="C1" s="2"/>
      <c r="D1" s="1"/>
      <c r="E1" s="1"/>
      <c r="F1" s="3"/>
      <c r="H1" s="5"/>
      <c r="I1" s="6"/>
      <c r="T1" s="8"/>
      <c r="Z1" s="9"/>
      <c r="AB1" s="9"/>
      <c r="AD1" s="9"/>
      <c r="AF1" s="9"/>
      <c r="AH1" s="10" t="e">
        <f>+#REF!</f>
        <v>#REF!</v>
      </c>
      <c r="AJ1" s="9"/>
      <c r="AK1" s="9"/>
      <c r="AN1" s="9"/>
      <c r="AO1" s="9"/>
      <c r="AP1" s="9"/>
      <c r="AR1" s="9"/>
      <c r="AT1" s="9"/>
      <c r="AV1" s="9"/>
      <c r="AW1" s="9"/>
      <c r="AX1" s="9"/>
      <c r="AY1" s="9"/>
      <c r="AZ1" s="9"/>
      <c r="BA1" s="9"/>
      <c r="BB1" s="9"/>
      <c r="BC1" s="9"/>
      <c r="BD1" s="9"/>
      <c r="BE1" s="9"/>
      <c r="BF1" s="9"/>
      <c r="BG1" s="9"/>
      <c r="BH1" s="11"/>
    </row>
    <row r="2" spans="1:62" ht="15">
      <c r="A2" s="1" t="s">
        <v>1053</v>
      </c>
      <c r="B2" s="2"/>
      <c r="C2" s="2"/>
      <c r="D2" s="1"/>
      <c r="E2" s="1"/>
      <c r="F2" s="3"/>
      <c r="H2" s="5"/>
      <c r="I2" s="13"/>
      <c r="J2" s="14"/>
      <c r="K2" s="14"/>
      <c r="L2" s="15"/>
      <c r="M2" s="15"/>
      <c r="N2" s="15"/>
      <c r="O2" s="15"/>
      <c r="P2" s="15"/>
      <c r="R2" s="15"/>
      <c r="T2" s="8"/>
      <c r="V2" s="15"/>
      <c r="X2" s="15"/>
      <c r="Z2" s="15"/>
      <c r="AB2" s="15"/>
      <c r="AD2" s="15"/>
      <c r="AF2" s="15"/>
      <c r="AG2" s="238" t="s">
        <v>1</v>
      </c>
      <c r="AH2" s="238"/>
      <c r="AI2" s="17"/>
      <c r="AJ2" s="18"/>
      <c r="AK2" s="15"/>
      <c r="AL2" s="10" t="e">
        <f>+#REF!</f>
        <v>#REF!</v>
      </c>
      <c r="AN2" s="18"/>
      <c r="AO2" s="18"/>
      <c r="AP2" s="18"/>
      <c r="AR2" s="15"/>
      <c r="AT2" s="15"/>
      <c r="AV2" s="15"/>
      <c r="AW2" s="15"/>
      <c r="AX2" s="15"/>
      <c r="AY2" s="15"/>
      <c r="AZ2" s="15"/>
      <c r="BA2" s="15"/>
      <c r="BB2" s="15"/>
      <c r="BC2" s="15"/>
      <c r="BD2" s="15"/>
      <c r="BE2" s="15"/>
      <c r="BF2" s="15"/>
      <c r="BG2" s="15"/>
      <c r="BH2" s="19"/>
    </row>
    <row r="3" spans="1:62">
      <c r="A3" s="20" t="str">
        <f>IF(G7=1,"DETAIL OF EXPENDITURES BUDGET BY DEPARTMENT WITH COMPARATIVE AMOUNTS", "SUMMARY OF EXPENDITURES BUDGET BY DEPARTMENT WITH COMPARATIVE AMOUNTS")</f>
        <v>DETAIL OF EXPENDITURES BUDGET BY DEPARTMENT WITH COMPARATIVE AMOUNTS</v>
      </c>
      <c r="B3" s="21"/>
      <c r="C3" s="21"/>
      <c r="D3" s="22"/>
      <c r="E3" s="22"/>
      <c r="F3" s="3"/>
      <c r="H3" s="5"/>
      <c r="I3" s="23"/>
      <c r="J3" s="15"/>
      <c r="L3" s="15"/>
      <c r="M3" s="10"/>
      <c r="N3" s="10"/>
      <c r="O3" s="10"/>
      <c r="P3" s="24"/>
      <c r="R3" s="24"/>
      <c r="V3" s="24"/>
      <c r="W3" s="24"/>
      <c r="X3" s="15"/>
      <c r="Y3" s="24"/>
      <c r="AA3" s="24"/>
      <c r="AB3" s="24" t="e">
        <f>+#REF!</f>
        <v>#REF!</v>
      </c>
      <c r="AC3" s="24"/>
      <c r="AD3" s="24" t="e">
        <f>+#REF!</f>
        <v>#REF!</v>
      </c>
      <c r="AE3" s="24"/>
      <c r="AF3" s="10" t="e">
        <f>+#REF!</f>
        <v>#REF!</v>
      </c>
      <c r="AG3" s="239" t="s">
        <v>2</v>
      </c>
      <c r="AH3" s="239"/>
      <c r="AI3" s="25"/>
      <c r="AJ3" s="25" t="e">
        <f>+#REF!</f>
        <v>#REF!</v>
      </c>
      <c r="AK3" s="24"/>
      <c r="AL3" s="16" t="s">
        <v>1</v>
      </c>
      <c r="AM3" s="25"/>
      <c r="AN3" s="25"/>
      <c r="AO3" s="25"/>
      <c r="AP3" s="25"/>
      <c r="AQ3" s="24"/>
      <c r="AR3" s="24" t="e">
        <f>+#REF!</f>
        <v>#REF!</v>
      </c>
      <c r="AS3" s="24"/>
      <c r="AT3" s="24" t="e">
        <f>+#REF!</f>
        <v>#REF!</v>
      </c>
      <c r="AU3" s="24"/>
      <c r="AV3" s="24" t="e">
        <f>+#REF!</f>
        <v>#REF!</v>
      </c>
      <c r="AW3" s="24"/>
      <c r="AX3" s="24" t="e">
        <f>+#REF!</f>
        <v>#REF!</v>
      </c>
      <c r="AY3" s="24"/>
      <c r="AZ3" s="24"/>
      <c r="BA3" s="24"/>
      <c r="BB3" s="24"/>
      <c r="BC3" s="24"/>
      <c r="BD3" s="26"/>
      <c r="BE3" s="26"/>
      <c r="BF3" s="26"/>
      <c r="BG3" s="26"/>
      <c r="BH3" s="27"/>
    </row>
    <row r="4" spans="1:62" ht="15">
      <c r="A4" s="28" t="s">
        <v>1070</v>
      </c>
      <c r="B4" s="29"/>
      <c r="C4" s="29"/>
      <c r="D4" s="28"/>
      <c r="E4" s="28"/>
      <c r="F4" s="3"/>
      <c r="H4" s="30"/>
      <c r="I4" s="31" t="e">
        <f>+#REF!</f>
        <v>#REF!</v>
      </c>
      <c r="J4" s="31" t="e">
        <f>+#REF!</f>
        <v>#REF!</v>
      </c>
      <c r="L4" s="31"/>
      <c r="M4" s="32"/>
      <c r="N4" s="33"/>
      <c r="O4" s="32"/>
      <c r="P4" s="33"/>
      <c r="R4" s="33"/>
      <c r="T4" s="33"/>
      <c r="X4" s="31"/>
      <c r="Z4" s="10"/>
      <c r="AB4" s="241"/>
      <c r="AC4" s="241"/>
      <c r="AD4" s="241"/>
      <c r="AE4" s="35"/>
      <c r="AF4" s="34"/>
      <c r="AG4" s="240"/>
      <c r="AH4" s="240"/>
      <c r="AI4" s="17"/>
      <c r="AJ4" s="16"/>
      <c r="AK4" s="24"/>
      <c r="AL4" s="16"/>
      <c r="AM4" s="17"/>
      <c r="AN4" s="31"/>
      <c r="AO4" s="31"/>
      <c r="AP4" s="31"/>
      <c r="AR4" s="34" t="s">
        <v>5</v>
      </c>
      <c r="AU4" s="35"/>
      <c r="AV4" s="34"/>
      <c r="AW4" s="34"/>
      <c r="AX4" s="34" t="s">
        <v>5</v>
      </c>
      <c r="AY4" s="34"/>
      <c r="AZ4" s="34"/>
      <c r="BA4" s="34"/>
      <c r="BB4" s="34"/>
      <c r="BC4" s="34"/>
      <c r="BD4" s="37"/>
      <c r="BE4" s="37"/>
      <c r="BF4" s="37"/>
      <c r="BG4" s="37"/>
      <c r="BH4" s="38"/>
    </row>
    <row r="5" spans="1:62" ht="15">
      <c r="B5" s="29"/>
      <c r="C5" s="29"/>
      <c r="D5" s="28"/>
      <c r="E5" s="28"/>
      <c r="G5" s="28"/>
      <c r="H5" s="5"/>
      <c r="I5" s="41" t="s">
        <v>6</v>
      </c>
      <c r="J5" s="42" t="s">
        <v>7</v>
      </c>
      <c r="L5" s="16" t="s">
        <v>8</v>
      </c>
      <c r="M5" s="16"/>
      <c r="N5" s="16" t="s">
        <v>9</v>
      </c>
      <c r="O5" s="16"/>
      <c r="P5" s="16" t="s">
        <v>9</v>
      </c>
      <c r="Q5" s="17"/>
      <c r="R5" s="43"/>
      <c r="S5" s="17"/>
      <c r="T5" s="16"/>
      <c r="U5" s="17"/>
      <c r="V5" s="16" t="s">
        <v>9</v>
      </c>
      <c r="X5" s="16" t="s">
        <v>9</v>
      </c>
      <c r="Z5" s="34" t="s">
        <v>1</v>
      </c>
      <c r="AB5" s="243" t="s">
        <v>10</v>
      </c>
      <c r="AC5" s="243"/>
      <c r="AD5" s="243"/>
      <c r="AE5" s="35"/>
      <c r="AF5" s="34" t="s">
        <v>1</v>
      </c>
      <c r="AG5" s="17"/>
      <c r="AH5" s="16" t="s">
        <v>11</v>
      </c>
      <c r="AI5" s="17"/>
      <c r="AJ5" s="16" t="s">
        <v>1</v>
      </c>
      <c r="AK5" s="24"/>
      <c r="AL5" s="43" t="s">
        <v>12</v>
      </c>
      <c r="AM5" s="17"/>
      <c r="AN5" s="16" t="s">
        <v>1</v>
      </c>
      <c r="AO5" s="45" t="s">
        <v>1</v>
      </c>
      <c r="AP5" s="46" t="s">
        <v>5</v>
      </c>
      <c r="AQ5" s="47"/>
      <c r="AR5" s="48" t="s">
        <v>10</v>
      </c>
      <c r="AS5" s="47"/>
      <c r="AT5" s="47"/>
      <c r="AU5" s="47"/>
      <c r="AV5" s="46" t="s">
        <v>5</v>
      </c>
      <c r="AW5" s="34"/>
      <c r="AX5" s="49" t="s">
        <v>3</v>
      </c>
      <c r="AY5" s="34"/>
      <c r="AZ5" s="34" t="s">
        <v>1054</v>
      </c>
      <c r="BA5" s="34" t="s">
        <v>1054</v>
      </c>
      <c r="BB5" s="34" t="s">
        <v>1069</v>
      </c>
      <c r="BC5" s="34"/>
      <c r="BD5" s="50" t="s">
        <v>13</v>
      </c>
      <c r="BE5" s="37"/>
      <c r="BF5" s="37"/>
      <c r="BG5" s="37"/>
      <c r="BH5" s="51"/>
    </row>
    <row r="6" spans="1:62">
      <c r="A6" s="242"/>
      <c r="B6" s="242"/>
      <c r="C6" s="242"/>
      <c r="D6" s="242"/>
      <c r="E6" s="242"/>
      <c r="F6" s="242"/>
      <c r="G6" s="22"/>
      <c r="H6" s="5"/>
      <c r="I6" s="52" t="s">
        <v>14</v>
      </c>
      <c r="J6" s="52" t="s">
        <v>14</v>
      </c>
      <c r="L6" s="43" t="s">
        <v>14</v>
      </c>
      <c r="M6" s="43"/>
      <c r="N6" s="43" t="s">
        <v>15</v>
      </c>
      <c r="O6" s="43"/>
      <c r="P6" s="43" t="s">
        <v>4</v>
      </c>
      <c r="Q6" s="17"/>
      <c r="R6" s="43" t="s">
        <v>4</v>
      </c>
      <c r="S6" s="43"/>
      <c r="T6" s="43" t="s">
        <v>16</v>
      </c>
      <c r="U6" s="43"/>
      <c r="V6" s="43" t="s">
        <v>4</v>
      </c>
      <c r="W6" s="43"/>
      <c r="X6" s="43" t="s">
        <v>14</v>
      </c>
      <c r="Y6" s="43"/>
      <c r="Z6" s="34" t="s">
        <v>17</v>
      </c>
      <c r="AA6" s="43"/>
      <c r="AB6" s="53" t="s">
        <v>16</v>
      </c>
      <c r="AC6" s="53"/>
      <c r="AD6" s="34"/>
      <c r="AE6" s="53"/>
      <c r="AF6" s="34" t="s">
        <v>17</v>
      </c>
      <c r="AG6" s="43" t="s">
        <v>16</v>
      </c>
      <c r="AH6" s="16" t="s">
        <v>18</v>
      </c>
      <c r="AI6" s="43"/>
      <c r="AJ6" s="16" t="s">
        <v>19</v>
      </c>
      <c r="AK6" s="24"/>
      <c r="AL6" s="43" t="s">
        <v>16</v>
      </c>
      <c r="AM6" s="43"/>
      <c r="AN6" s="43" t="s">
        <v>14</v>
      </c>
      <c r="AO6" s="45" t="s">
        <v>20</v>
      </c>
      <c r="AP6" s="43" t="s">
        <v>14</v>
      </c>
      <c r="AQ6" s="54"/>
      <c r="AR6" s="54" t="s">
        <v>16</v>
      </c>
      <c r="AS6" s="54"/>
      <c r="AT6" s="46"/>
      <c r="AU6" s="54"/>
      <c r="AV6" s="46" t="s">
        <v>19</v>
      </c>
      <c r="AW6" s="34"/>
      <c r="AX6" s="55" t="s">
        <v>16</v>
      </c>
      <c r="AY6" s="34"/>
      <c r="AZ6" s="34" t="s">
        <v>17</v>
      </c>
      <c r="BA6" s="34" t="s">
        <v>17</v>
      </c>
      <c r="BB6" s="34" t="s">
        <v>19</v>
      </c>
      <c r="BC6" s="56"/>
      <c r="BD6" s="50" t="s">
        <v>21</v>
      </c>
      <c r="BE6" s="37"/>
      <c r="BF6" s="37"/>
      <c r="BG6" s="37"/>
      <c r="BH6" s="57"/>
    </row>
    <row r="7" spans="1:62" ht="15">
      <c r="A7" s="237"/>
      <c r="B7" s="237"/>
      <c r="C7" s="237"/>
      <c r="D7" s="237"/>
      <c r="E7" s="237"/>
      <c r="F7" s="237"/>
      <c r="G7" s="59">
        <v>1</v>
      </c>
      <c r="H7" s="60"/>
      <c r="I7" s="52" t="s">
        <v>22</v>
      </c>
      <c r="J7" s="52" t="s">
        <v>22</v>
      </c>
      <c r="L7" s="43" t="s">
        <v>22</v>
      </c>
      <c r="M7" s="43"/>
      <c r="N7" s="43" t="s">
        <v>23</v>
      </c>
      <c r="O7" s="43"/>
      <c r="P7" s="43" t="s">
        <v>24</v>
      </c>
      <c r="Q7" s="43"/>
      <c r="R7" s="43" t="s">
        <v>24</v>
      </c>
      <c r="S7" s="43"/>
      <c r="T7" s="43" t="s">
        <v>25</v>
      </c>
      <c r="U7" s="43"/>
      <c r="V7" s="43" t="s">
        <v>24</v>
      </c>
      <c r="W7" s="43"/>
      <c r="X7" s="43" t="s">
        <v>22</v>
      </c>
      <c r="Y7" s="43"/>
      <c r="Z7" s="53" t="s">
        <v>15</v>
      </c>
      <c r="AA7" s="43"/>
      <c r="AB7" s="53" t="s">
        <v>26</v>
      </c>
      <c r="AC7" s="53"/>
      <c r="AD7" s="53"/>
      <c r="AE7" s="53"/>
      <c r="AF7" s="53" t="s">
        <v>4</v>
      </c>
      <c r="AG7" s="43" t="s">
        <v>26</v>
      </c>
      <c r="AH7" s="43" t="s">
        <v>27</v>
      </c>
      <c r="AI7" s="43"/>
      <c r="AJ7" s="43" t="s">
        <v>4</v>
      </c>
      <c r="AK7" s="24"/>
      <c r="AL7" s="43" t="s">
        <v>26</v>
      </c>
      <c r="AM7" s="43"/>
      <c r="AN7" s="43" t="s">
        <v>22</v>
      </c>
      <c r="AO7" s="61" t="s">
        <v>22</v>
      </c>
      <c r="AP7" s="43" t="s">
        <v>22</v>
      </c>
      <c r="AQ7" s="54"/>
      <c r="AR7" s="54" t="s">
        <v>26</v>
      </c>
      <c r="AS7" s="54"/>
      <c r="AT7" s="54"/>
      <c r="AU7" s="54"/>
      <c r="AV7" s="54" t="s">
        <v>4</v>
      </c>
      <c r="AW7" s="53"/>
      <c r="AX7" s="55" t="s">
        <v>26</v>
      </c>
      <c r="AY7" s="53"/>
      <c r="AZ7" s="34" t="s">
        <v>15</v>
      </c>
      <c r="BA7" s="53" t="s">
        <v>4</v>
      </c>
      <c r="BB7" s="34" t="s">
        <v>15</v>
      </c>
      <c r="BC7" s="56"/>
      <c r="BD7" s="50" t="s">
        <v>28</v>
      </c>
      <c r="BE7" s="62"/>
      <c r="BF7" s="62"/>
      <c r="BG7" s="62"/>
      <c r="BH7" s="57"/>
      <c r="BI7" s="63"/>
    </row>
    <row r="8" spans="1:62" ht="15">
      <c r="A8" s="237" t="s">
        <v>29</v>
      </c>
      <c r="B8" s="237"/>
      <c r="C8" s="237"/>
      <c r="D8" s="237"/>
      <c r="E8" s="237"/>
      <c r="F8" s="64" t="s">
        <v>30</v>
      </c>
      <c r="G8" s="64" t="s">
        <v>31</v>
      </c>
      <c r="H8" s="60"/>
      <c r="I8" s="65" t="s">
        <v>32</v>
      </c>
      <c r="J8" s="65" t="s">
        <v>32</v>
      </c>
      <c r="L8" s="66" t="s">
        <v>32</v>
      </c>
      <c r="M8" s="36"/>
      <c r="N8" s="36" t="s">
        <v>2</v>
      </c>
      <c r="O8" s="36"/>
      <c r="P8" s="36" t="s">
        <v>33</v>
      </c>
      <c r="Q8" s="36"/>
      <c r="R8" s="36" t="s">
        <v>34</v>
      </c>
      <c r="S8" s="36"/>
      <c r="T8" s="36" t="s">
        <v>35</v>
      </c>
      <c r="U8" s="36"/>
      <c r="V8" s="36" t="s">
        <v>36</v>
      </c>
      <c r="W8" s="36"/>
      <c r="X8" s="66" t="s">
        <v>32</v>
      </c>
      <c r="Y8" s="36"/>
      <c r="Z8" s="44" t="s">
        <v>24</v>
      </c>
      <c r="AA8" s="36"/>
      <c r="AB8" s="44" t="s">
        <v>35</v>
      </c>
      <c r="AC8" s="44"/>
      <c r="AD8" s="44" t="s">
        <v>37</v>
      </c>
      <c r="AE8" s="44"/>
      <c r="AF8" s="44" t="s">
        <v>38</v>
      </c>
      <c r="AG8" s="36" t="s">
        <v>35</v>
      </c>
      <c r="AH8" s="36" t="s">
        <v>39</v>
      </c>
      <c r="AI8" s="36"/>
      <c r="AJ8" s="36" t="s">
        <v>40</v>
      </c>
      <c r="AK8" s="24"/>
      <c r="AL8" s="36" t="s">
        <v>35</v>
      </c>
      <c r="AM8" s="36"/>
      <c r="AN8" s="36" t="s">
        <v>32</v>
      </c>
      <c r="AO8" s="67" t="s">
        <v>32</v>
      </c>
      <c r="AP8" s="36" t="s">
        <v>32</v>
      </c>
      <c r="AQ8" s="48"/>
      <c r="AR8" s="48" t="s">
        <v>35</v>
      </c>
      <c r="AS8" s="48"/>
      <c r="AT8" s="48" t="s">
        <v>37</v>
      </c>
      <c r="AU8" s="48"/>
      <c r="AV8" s="48" t="s">
        <v>38</v>
      </c>
      <c r="AW8" s="44"/>
      <c r="AX8" s="49" t="s">
        <v>35</v>
      </c>
      <c r="AY8" s="44"/>
      <c r="AZ8" s="44" t="s">
        <v>2</v>
      </c>
      <c r="BA8" s="44" t="s">
        <v>40</v>
      </c>
      <c r="BB8" s="44" t="s">
        <v>2</v>
      </c>
      <c r="BC8" s="56"/>
      <c r="BD8" s="50" t="s">
        <v>41</v>
      </c>
      <c r="BE8" s="68"/>
      <c r="BF8" s="68"/>
      <c r="BG8" s="68"/>
      <c r="BH8" s="69"/>
    </row>
    <row r="9" spans="1:62" ht="15">
      <c r="A9" s="58"/>
      <c r="B9" s="58"/>
      <c r="C9" s="58"/>
      <c r="D9" s="64"/>
      <c r="E9" s="64"/>
      <c r="F9" s="64"/>
      <c r="G9" s="70"/>
      <c r="H9" s="60"/>
      <c r="J9" s="71"/>
      <c r="AK9" s="24"/>
      <c r="AZ9" s="34"/>
      <c r="BB9" s="34"/>
      <c r="BC9" s="56"/>
      <c r="BH9" s="72">
        <v>2</v>
      </c>
    </row>
    <row r="10" spans="1:62" ht="20.100000000000001" customHeight="1" outlineLevel="1">
      <c r="A10" s="145" t="s">
        <v>978</v>
      </c>
      <c r="B10" s="77"/>
      <c r="C10" s="77"/>
      <c r="D10" s="90"/>
      <c r="E10" s="90"/>
      <c r="F10" s="3"/>
      <c r="H10" s="87"/>
      <c r="L10" s="44"/>
      <c r="M10" s="83"/>
      <c r="N10" s="83"/>
      <c r="O10" s="83"/>
      <c r="P10" s="83"/>
      <c r="Q10" s="83"/>
      <c r="R10" s="83"/>
      <c r="S10" s="83"/>
      <c r="T10" s="83"/>
      <c r="U10" s="83"/>
      <c r="V10" s="83"/>
      <c r="W10" s="83"/>
      <c r="X10" s="83"/>
      <c r="Y10" s="83"/>
      <c r="Z10" s="83"/>
      <c r="AA10" s="83"/>
      <c r="AB10" s="83"/>
      <c r="AD10" s="83"/>
      <c r="AE10" s="83"/>
      <c r="AF10" s="83"/>
      <c r="AG10" s="83"/>
      <c r="AH10" s="83"/>
      <c r="AI10" s="83"/>
      <c r="AJ10" s="83"/>
      <c r="AK10" s="85"/>
      <c r="AL10" s="83"/>
      <c r="AM10" s="83"/>
      <c r="AN10" s="100"/>
      <c r="AO10" s="100"/>
      <c r="AP10" s="100"/>
      <c r="AQ10" s="83"/>
      <c r="AR10" s="83"/>
      <c r="AT10" s="83"/>
      <c r="AU10" s="83"/>
      <c r="AV10" s="83"/>
      <c r="AW10" s="83"/>
      <c r="AX10" s="83"/>
      <c r="AY10" s="83"/>
      <c r="AZ10" s="83"/>
      <c r="BA10" s="83"/>
      <c r="BB10" s="83"/>
      <c r="BC10" s="83"/>
      <c r="BD10" s="83"/>
      <c r="BE10" s="83"/>
      <c r="BF10" s="83"/>
      <c r="BG10" s="83"/>
      <c r="BH10" s="19"/>
    </row>
    <row r="11" spans="1:62" ht="20.100000000000001" customHeight="1" outlineLevel="1">
      <c r="A11" s="77" t="s">
        <v>43</v>
      </c>
      <c r="B11" s="77" t="s">
        <v>218</v>
      </c>
      <c r="C11" s="77" t="s">
        <v>1105</v>
      </c>
      <c r="D11" s="78" t="s">
        <v>46</v>
      </c>
      <c r="E11" s="78" t="str">
        <f t="shared" ref="E11:E28" si="0">+D11</f>
        <v>000</v>
      </c>
      <c r="F11" s="3">
        <v>611326</v>
      </c>
      <c r="G11" s="102" t="s">
        <v>983</v>
      </c>
      <c r="H11" s="87"/>
      <c r="I11" s="13">
        <v>0</v>
      </c>
      <c r="J11" s="13">
        <v>0</v>
      </c>
      <c r="L11" s="56">
        <v>0</v>
      </c>
      <c r="M11" s="56"/>
      <c r="N11" s="56">
        <v>0</v>
      </c>
      <c r="O11" s="56"/>
      <c r="P11" s="56">
        <v>0</v>
      </c>
      <c r="Q11" s="56"/>
      <c r="R11" s="56">
        <v>1700</v>
      </c>
      <c r="S11" s="56"/>
      <c r="T11" s="56">
        <v>0</v>
      </c>
      <c r="U11" s="56"/>
      <c r="V11" s="56">
        <v>1700</v>
      </c>
      <c r="W11" s="56"/>
      <c r="X11" s="56">
        <v>53336.29</v>
      </c>
      <c r="Y11" s="56"/>
      <c r="Z11" s="56">
        <v>40000</v>
      </c>
      <c r="AA11" s="56"/>
      <c r="AB11" s="56"/>
      <c r="AD11" s="56"/>
      <c r="AE11" s="56"/>
      <c r="AF11" s="56">
        <f t="shared" ref="AF11:AF28" si="1">SUM(Z11:AE11)</f>
        <v>40000</v>
      </c>
      <c r="AG11" s="104">
        <v>20202</v>
      </c>
      <c r="AH11" s="56">
        <v>1250</v>
      </c>
      <c r="AI11" s="56"/>
      <c r="AJ11" s="56">
        <f t="shared" ref="AJ11:AJ28" si="2">SUM(AE11:AI11)</f>
        <v>61452</v>
      </c>
      <c r="AK11" s="85"/>
      <c r="AL11" s="56">
        <v>0</v>
      </c>
      <c r="AM11" s="56"/>
      <c r="AN11" s="88">
        <f t="shared" ref="AN11:AN28" si="3">SUM(AI11:AM11)</f>
        <v>61452</v>
      </c>
      <c r="AO11" s="88">
        <v>0</v>
      </c>
      <c r="AP11" s="88">
        <v>60627.96</v>
      </c>
      <c r="AQ11" s="56"/>
      <c r="AR11" s="56">
        <v>0</v>
      </c>
      <c r="AT11" s="56">
        <v>0</v>
      </c>
      <c r="AU11" s="56"/>
      <c r="AV11" s="56">
        <f t="shared" ref="AV11:AV28" si="4">SUM(AP11:AU11)</f>
        <v>60627.96</v>
      </c>
      <c r="AW11" s="56"/>
      <c r="AX11" s="56">
        <v>0</v>
      </c>
      <c r="AY11" s="56"/>
      <c r="AZ11" s="88">
        <v>60628</v>
      </c>
      <c r="BA11" s="56">
        <v>61056</v>
      </c>
      <c r="BB11" s="214"/>
      <c r="BC11" s="56"/>
      <c r="BD11" s="84">
        <f t="shared" ref="BD11:BD29" si="5">+AP11-AN11</f>
        <v>-824.04000000000087</v>
      </c>
      <c r="BE11" s="56"/>
      <c r="BF11" s="56"/>
      <c r="BG11" s="56"/>
      <c r="BH11" s="72">
        <v>1</v>
      </c>
      <c r="BJ11">
        <v>1</v>
      </c>
    </row>
    <row r="12" spans="1:62" ht="20.100000000000001" customHeight="1" outlineLevel="1">
      <c r="A12" s="77" t="s">
        <v>43</v>
      </c>
      <c r="B12" s="77" t="s">
        <v>225</v>
      </c>
      <c r="C12" s="77" t="s">
        <v>1105</v>
      </c>
      <c r="D12" s="78" t="s">
        <v>46</v>
      </c>
      <c r="E12" s="78" t="str">
        <f t="shared" si="0"/>
        <v>000</v>
      </c>
      <c r="F12" s="3">
        <v>615012</v>
      </c>
      <c r="G12" s="102" t="s">
        <v>984</v>
      </c>
      <c r="H12" s="87"/>
      <c r="I12" s="13"/>
      <c r="J12" s="13"/>
      <c r="L12" s="56"/>
      <c r="M12" s="56"/>
      <c r="N12" s="56"/>
      <c r="O12" s="56"/>
      <c r="P12" s="56"/>
      <c r="Q12" s="56"/>
      <c r="R12" s="56"/>
      <c r="S12" s="56"/>
      <c r="T12" s="56"/>
      <c r="U12" s="56"/>
      <c r="V12" s="56"/>
      <c r="W12" s="56"/>
      <c r="X12" s="56">
        <v>0</v>
      </c>
      <c r="Y12" s="56"/>
      <c r="Z12" s="56"/>
      <c r="AA12" s="56"/>
      <c r="AB12" s="56"/>
      <c r="AD12" s="56"/>
      <c r="AE12" s="56"/>
      <c r="AF12" s="56">
        <f t="shared" si="1"/>
        <v>0</v>
      </c>
      <c r="AG12" s="56">
        <v>0</v>
      </c>
      <c r="AH12" s="56">
        <v>0</v>
      </c>
      <c r="AI12" s="56"/>
      <c r="AJ12" s="56">
        <f t="shared" si="2"/>
        <v>0</v>
      </c>
      <c r="AK12" s="85"/>
      <c r="AL12" s="56">
        <v>0</v>
      </c>
      <c r="AM12" s="56"/>
      <c r="AN12" s="88">
        <f t="shared" si="3"/>
        <v>0</v>
      </c>
      <c r="AO12" s="88">
        <v>0</v>
      </c>
      <c r="AP12" s="88">
        <v>0</v>
      </c>
      <c r="AQ12" s="56"/>
      <c r="AR12" s="56">
        <v>0</v>
      </c>
      <c r="AT12" s="56">
        <v>0</v>
      </c>
      <c r="AU12" s="56"/>
      <c r="AV12" s="56">
        <f t="shared" si="4"/>
        <v>0</v>
      </c>
      <c r="AW12" s="56"/>
      <c r="AX12" s="56">
        <v>0</v>
      </c>
      <c r="AY12" s="56"/>
      <c r="AZ12" s="88">
        <v>0</v>
      </c>
      <c r="BA12" s="56">
        <v>0</v>
      </c>
      <c r="BB12" s="214"/>
      <c r="BC12" s="56"/>
      <c r="BD12" s="84">
        <f t="shared" si="5"/>
        <v>0</v>
      </c>
      <c r="BE12" s="56"/>
      <c r="BF12" s="56"/>
      <c r="BG12" s="56"/>
      <c r="BH12" s="72">
        <v>1</v>
      </c>
    </row>
    <row r="13" spans="1:62" ht="20.100000000000001" customHeight="1" outlineLevel="1">
      <c r="A13" s="77" t="s">
        <v>43</v>
      </c>
      <c r="B13" s="77" t="s">
        <v>962</v>
      </c>
      <c r="C13" s="77" t="s">
        <v>1105</v>
      </c>
      <c r="D13" s="78" t="s">
        <v>46</v>
      </c>
      <c r="E13" s="78" t="str">
        <f t="shared" si="0"/>
        <v>000</v>
      </c>
      <c r="F13" s="3">
        <v>611411</v>
      </c>
      <c r="G13" s="102" t="s">
        <v>80</v>
      </c>
      <c r="H13" s="87"/>
      <c r="I13" s="13">
        <v>40752</v>
      </c>
      <c r="J13" s="13">
        <v>50502</v>
      </c>
      <c r="L13" s="56">
        <v>127167</v>
      </c>
      <c r="M13" s="56"/>
      <c r="N13" s="56">
        <v>143831</v>
      </c>
      <c r="O13" s="56"/>
      <c r="P13" s="56">
        <v>143831</v>
      </c>
      <c r="Q13" s="56"/>
      <c r="R13" s="56">
        <v>146900</v>
      </c>
      <c r="S13" s="56"/>
      <c r="T13" s="56">
        <v>0</v>
      </c>
      <c r="U13" s="56"/>
      <c r="V13" s="56">
        <v>146900</v>
      </c>
      <c r="W13" s="56"/>
      <c r="X13" s="56">
        <v>140097.76</v>
      </c>
      <c r="Y13" s="56"/>
      <c r="Z13" s="56">
        <v>130094</v>
      </c>
      <c r="AA13" s="56"/>
      <c r="AB13" s="56"/>
      <c r="AD13" s="56"/>
      <c r="AE13" s="56"/>
      <c r="AF13" s="56">
        <f t="shared" si="1"/>
        <v>130094</v>
      </c>
      <c r="AG13" s="104">
        <v>50985</v>
      </c>
      <c r="AH13" s="56">
        <v>22500</v>
      </c>
      <c r="AI13" s="56"/>
      <c r="AJ13" s="56">
        <f t="shared" si="2"/>
        <v>203579</v>
      </c>
      <c r="AK13" s="85"/>
      <c r="AL13" s="56">
        <v>0</v>
      </c>
      <c r="AM13" s="56"/>
      <c r="AN13" s="88">
        <f t="shared" si="3"/>
        <v>203579</v>
      </c>
      <c r="AO13" s="88">
        <v>0</v>
      </c>
      <c r="AP13" s="88">
        <v>195215.78</v>
      </c>
      <c r="AQ13" s="56"/>
      <c r="AR13" s="56">
        <v>0</v>
      </c>
      <c r="AT13" s="56">
        <v>0</v>
      </c>
      <c r="AU13" s="56"/>
      <c r="AV13" s="56">
        <f t="shared" si="4"/>
        <v>195215.78</v>
      </c>
      <c r="AW13" s="56"/>
      <c r="AX13" s="106">
        <v>15216</v>
      </c>
      <c r="AY13" s="56"/>
      <c r="AZ13" s="88">
        <v>166284</v>
      </c>
      <c r="BA13" s="56">
        <v>168172</v>
      </c>
      <c r="BB13" s="214"/>
      <c r="BC13" s="56"/>
      <c r="BD13" s="84">
        <f t="shared" si="5"/>
        <v>-8363.2200000000012</v>
      </c>
      <c r="BE13" s="56"/>
      <c r="BF13" s="56"/>
      <c r="BG13" s="56"/>
      <c r="BH13" s="72">
        <v>1</v>
      </c>
      <c r="BJ13" s="9">
        <v>1</v>
      </c>
    </row>
    <row r="14" spans="1:62" ht="20.100000000000001" customHeight="1" outlineLevel="1">
      <c r="A14" s="77" t="s">
        <v>43</v>
      </c>
      <c r="B14" s="77" t="s">
        <v>962</v>
      </c>
      <c r="C14" s="77" t="s">
        <v>1105</v>
      </c>
      <c r="D14" s="78" t="s">
        <v>46</v>
      </c>
      <c r="E14" s="78" t="str">
        <f t="shared" si="0"/>
        <v>000</v>
      </c>
      <c r="F14" s="3">
        <v>611931</v>
      </c>
      <c r="G14" s="102" t="s">
        <v>982</v>
      </c>
      <c r="H14" s="87"/>
      <c r="I14" s="13">
        <v>11758</v>
      </c>
      <c r="J14" s="13">
        <v>6460</v>
      </c>
      <c r="L14" s="56">
        <v>7614</v>
      </c>
      <c r="M14" s="56"/>
      <c r="N14" s="56">
        <v>0</v>
      </c>
      <c r="O14" s="56"/>
      <c r="P14" s="56">
        <v>0</v>
      </c>
      <c r="Q14" s="56"/>
      <c r="R14" s="56">
        <v>0</v>
      </c>
      <c r="S14" s="56"/>
      <c r="T14" s="56">
        <v>0</v>
      </c>
      <c r="U14" s="56"/>
      <c r="V14" s="56">
        <v>0</v>
      </c>
      <c r="W14" s="56"/>
      <c r="X14" s="56">
        <v>9367.5</v>
      </c>
      <c r="Y14" s="56"/>
      <c r="Z14" s="56">
        <v>0</v>
      </c>
      <c r="AA14" s="56"/>
      <c r="AB14" s="56"/>
      <c r="AD14" s="56"/>
      <c r="AE14" s="56"/>
      <c r="AF14" s="56">
        <f t="shared" si="1"/>
        <v>0</v>
      </c>
      <c r="AG14" s="104">
        <v>50000</v>
      </c>
      <c r="AH14" s="56">
        <v>0</v>
      </c>
      <c r="AI14" s="56"/>
      <c r="AJ14" s="56">
        <f t="shared" si="2"/>
        <v>50000</v>
      </c>
      <c r="AK14" s="85"/>
      <c r="AL14" s="56">
        <v>0</v>
      </c>
      <c r="AM14" s="56"/>
      <c r="AN14" s="88">
        <f t="shared" si="3"/>
        <v>50000</v>
      </c>
      <c r="AO14" s="88">
        <v>0</v>
      </c>
      <c r="AP14" s="88">
        <v>55667</v>
      </c>
      <c r="AQ14" s="56"/>
      <c r="AR14" s="56">
        <v>0</v>
      </c>
      <c r="AT14" s="56">
        <v>0</v>
      </c>
      <c r="AU14" s="56"/>
      <c r="AV14" s="56">
        <f t="shared" si="4"/>
        <v>55667</v>
      </c>
      <c r="AW14" s="56"/>
      <c r="AX14" s="56">
        <v>0</v>
      </c>
      <c r="AY14" s="56"/>
      <c r="AZ14" s="88">
        <v>50000</v>
      </c>
      <c r="BA14" s="56">
        <v>50000</v>
      </c>
      <c r="BB14" s="214"/>
      <c r="BC14" s="56"/>
      <c r="BD14" s="84">
        <f t="shared" si="5"/>
        <v>5667</v>
      </c>
      <c r="BE14" s="56"/>
      <c r="BF14" s="56"/>
      <c r="BG14" s="56"/>
      <c r="BH14" s="72">
        <v>1</v>
      </c>
      <c r="BJ14">
        <v>1</v>
      </c>
    </row>
    <row r="15" spans="1:62" ht="20.100000000000001" customHeight="1" outlineLevel="1">
      <c r="A15" s="77" t="s">
        <v>43</v>
      </c>
      <c r="B15" s="77" t="s">
        <v>962</v>
      </c>
      <c r="C15" s="77" t="s">
        <v>1105</v>
      </c>
      <c r="D15" s="78" t="s">
        <v>46</v>
      </c>
      <c r="E15" s="78" t="str">
        <f t="shared" si="0"/>
        <v>000</v>
      </c>
      <c r="F15" s="3">
        <v>634012</v>
      </c>
      <c r="G15" s="102" t="s">
        <v>923</v>
      </c>
      <c r="H15" s="87"/>
      <c r="I15" s="13">
        <v>32163</v>
      </c>
      <c r="J15" s="13">
        <v>8875</v>
      </c>
      <c r="L15" s="56">
        <v>9840</v>
      </c>
      <c r="M15" s="56"/>
      <c r="N15" s="56">
        <v>27000</v>
      </c>
      <c r="O15" s="56"/>
      <c r="P15" s="56">
        <v>43484</v>
      </c>
      <c r="Q15" s="56"/>
      <c r="R15" s="56">
        <v>43484</v>
      </c>
      <c r="S15" s="56"/>
      <c r="T15" s="56">
        <v>0</v>
      </c>
      <c r="U15" s="56"/>
      <c r="V15" s="56">
        <v>43484</v>
      </c>
      <c r="W15" s="56"/>
      <c r="X15" s="56">
        <v>28063.81</v>
      </c>
      <c r="Y15" s="56"/>
      <c r="Z15" s="56">
        <v>21500</v>
      </c>
      <c r="AA15" s="56"/>
      <c r="AB15" s="56"/>
      <c r="AD15" s="56"/>
      <c r="AE15" s="56"/>
      <c r="AF15" s="56">
        <f t="shared" si="1"/>
        <v>21500</v>
      </c>
      <c r="AG15" s="56">
        <v>0</v>
      </c>
      <c r="AH15" s="56">
        <v>0</v>
      </c>
      <c r="AI15" s="56"/>
      <c r="AJ15" s="56">
        <f t="shared" si="2"/>
        <v>21500</v>
      </c>
      <c r="AK15" s="85"/>
      <c r="AL15" s="89">
        <v>54170</v>
      </c>
      <c r="AM15" s="56"/>
      <c r="AN15" s="88">
        <f t="shared" si="3"/>
        <v>75670</v>
      </c>
      <c r="AO15" s="88">
        <v>0</v>
      </c>
      <c r="AP15" s="88">
        <v>5493</v>
      </c>
      <c r="AQ15" s="56"/>
      <c r="AR15" s="56">
        <v>0</v>
      </c>
      <c r="AT15" s="56">
        <v>5715.36</v>
      </c>
      <c r="AU15" s="56"/>
      <c r="AV15" s="56">
        <f t="shared" si="4"/>
        <v>11208.36</v>
      </c>
      <c r="AW15" s="56"/>
      <c r="AX15" s="56">
        <v>0</v>
      </c>
      <c r="AY15" s="56"/>
      <c r="AZ15" s="88">
        <v>31500</v>
      </c>
      <c r="BA15" s="56">
        <v>41976</v>
      </c>
      <c r="BB15" s="214"/>
      <c r="BC15" s="56"/>
      <c r="BD15" s="84">
        <f t="shared" si="5"/>
        <v>-70177</v>
      </c>
      <c r="BE15" s="56"/>
      <c r="BF15" s="56"/>
      <c r="BG15" s="56"/>
      <c r="BH15" s="72"/>
    </row>
    <row r="16" spans="1:62" ht="20.100000000000001" customHeight="1" outlineLevel="1">
      <c r="A16" s="77" t="s">
        <v>43</v>
      </c>
      <c r="B16" s="77" t="s">
        <v>962</v>
      </c>
      <c r="C16" s="77" t="s">
        <v>1105</v>
      </c>
      <c r="D16" s="78" t="s">
        <v>46</v>
      </c>
      <c r="E16" s="78" t="str">
        <f t="shared" si="0"/>
        <v>000</v>
      </c>
      <c r="F16" s="3">
        <v>643011</v>
      </c>
      <c r="G16" s="102" t="s">
        <v>985</v>
      </c>
      <c r="H16" s="87"/>
      <c r="I16" s="13">
        <v>318944</v>
      </c>
      <c r="J16" s="13">
        <v>366195</v>
      </c>
      <c r="L16" s="56">
        <v>279673</v>
      </c>
      <c r="M16" s="56"/>
      <c r="N16" s="56">
        <v>412200</v>
      </c>
      <c r="O16" s="56"/>
      <c r="P16" s="56">
        <v>433194</v>
      </c>
      <c r="Q16" s="56"/>
      <c r="R16" s="56">
        <v>433194</v>
      </c>
      <c r="S16" s="56"/>
      <c r="T16" s="56">
        <v>-45000</v>
      </c>
      <c r="U16" s="56"/>
      <c r="V16" s="56">
        <v>388194</v>
      </c>
      <c r="W16" s="56"/>
      <c r="X16" s="56">
        <v>266837.57</v>
      </c>
      <c r="Y16" s="56"/>
      <c r="Z16" s="56">
        <v>386500</v>
      </c>
      <c r="AA16" s="56"/>
      <c r="AB16" s="56"/>
      <c r="AD16" s="56">
        <v>16008</v>
      </c>
      <c r="AE16" s="56"/>
      <c r="AF16" s="56">
        <f t="shared" si="1"/>
        <v>402508</v>
      </c>
      <c r="AG16" s="56">
        <v>0</v>
      </c>
      <c r="AH16" s="56">
        <v>0</v>
      </c>
      <c r="AI16" s="56"/>
      <c r="AJ16" s="56">
        <f t="shared" si="2"/>
        <v>402508</v>
      </c>
      <c r="AK16" s="85"/>
      <c r="AL16" s="89">
        <f>-50000+203730</f>
        <v>153730</v>
      </c>
      <c r="AM16" s="56"/>
      <c r="AN16" s="88">
        <f t="shared" si="3"/>
        <v>556238</v>
      </c>
      <c r="AO16" s="88">
        <v>0</v>
      </c>
      <c r="AP16" s="88">
        <v>347014.8</v>
      </c>
      <c r="AQ16" s="56"/>
      <c r="AR16" s="56">
        <v>0</v>
      </c>
      <c r="AT16" s="56">
        <v>62941.24</v>
      </c>
      <c r="AU16" s="56"/>
      <c r="AV16" s="56">
        <f t="shared" si="4"/>
        <v>409956.04</v>
      </c>
      <c r="AW16" s="56"/>
      <c r="AX16" s="56">
        <v>0</v>
      </c>
      <c r="AY16" s="56"/>
      <c r="AZ16" s="88">
        <v>478000</v>
      </c>
      <c r="BA16" s="56">
        <v>559599</v>
      </c>
      <c r="BB16" s="214"/>
      <c r="BC16" s="56"/>
      <c r="BD16" s="84">
        <f t="shared" si="5"/>
        <v>-209223.2</v>
      </c>
      <c r="BE16" s="56"/>
      <c r="BF16" s="56"/>
      <c r="BG16" s="56"/>
      <c r="BH16" s="72"/>
    </row>
    <row r="17" spans="1:62" ht="20.100000000000001" customHeight="1" outlineLevel="1">
      <c r="A17" s="77" t="s">
        <v>43</v>
      </c>
      <c r="B17" s="77" t="s">
        <v>962</v>
      </c>
      <c r="C17" s="77" t="s">
        <v>1105</v>
      </c>
      <c r="D17" s="78" t="s">
        <v>46</v>
      </c>
      <c r="E17" s="78" t="str">
        <f t="shared" si="0"/>
        <v>000</v>
      </c>
      <c r="F17" s="3">
        <v>643012</v>
      </c>
      <c r="G17" s="102" t="s">
        <v>986</v>
      </c>
      <c r="H17" s="87"/>
      <c r="I17" s="13">
        <v>0</v>
      </c>
      <c r="J17" s="13">
        <v>8501</v>
      </c>
      <c r="L17" s="56">
        <v>675</v>
      </c>
      <c r="M17" s="56"/>
      <c r="N17" s="56">
        <v>0</v>
      </c>
      <c r="O17" s="56"/>
      <c r="P17" s="56">
        <v>5366</v>
      </c>
      <c r="Q17" s="56"/>
      <c r="R17" s="56">
        <v>5366</v>
      </c>
      <c r="S17" s="56"/>
      <c r="T17" s="56">
        <v>0</v>
      </c>
      <c r="U17" s="56"/>
      <c r="V17" s="56">
        <v>5366</v>
      </c>
      <c r="W17" s="56"/>
      <c r="X17" s="56">
        <v>0</v>
      </c>
      <c r="Y17" s="56"/>
      <c r="Z17" s="56">
        <v>0</v>
      </c>
      <c r="AA17" s="56"/>
      <c r="AB17" s="56"/>
      <c r="AD17" s="56"/>
      <c r="AE17" s="56"/>
      <c r="AF17" s="56">
        <f t="shared" si="1"/>
        <v>0</v>
      </c>
      <c r="AG17" s="56">
        <v>0</v>
      </c>
      <c r="AH17" s="56">
        <v>0</v>
      </c>
      <c r="AI17" s="56"/>
      <c r="AJ17" s="56">
        <f t="shared" si="2"/>
        <v>0</v>
      </c>
      <c r="AK17" s="85"/>
      <c r="AL17" s="56">
        <v>0</v>
      </c>
      <c r="AM17" s="56"/>
      <c r="AN17" s="88">
        <f t="shared" si="3"/>
        <v>0</v>
      </c>
      <c r="AO17" s="88">
        <v>0</v>
      </c>
      <c r="AP17" s="88">
        <v>0</v>
      </c>
      <c r="AQ17" s="56"/>
      <c r="AR17" s="56">
        <v>0</v>
      </c>
      <c r="AT17" s="56">
        <v>0</v>
      </c>
      <c r="AU17" s="56"/>
      <c r="AV17" s="56">
        <f t="shared" si="4"/>
        <v>0</v>
      </c>
      <c r="AW17" s="56"/>
      <c r="AX17" s="56">
        <v>0</v>
      </c>
      <c r="AY17" s="56"/>
      <c r="AZ17" s="88">
        <v>0</v>
      </c>
      <c r="BA17" s="56">
        <v>0</v>
      </c>
      <c r="BB17" s="214"/>
      <c r="BC17" s="56"/>
      <c r="BD17" s="84">
        <f t="shared" si="5"/>
        <v>0</v>
      </c>
      <c r="BE17" s="56"/>
      <c r="BF17" s="56"/>
      <c r="BG17" s="56"/>
      <c r="BH17" s="72"/>
    </row>
    <row r="18" spans="1:62" ht="20.100000000000001" customHeight="1" outlineLevel="1">
      <c r="A18" s="77" t="s">
        <v>43</v>
      </c>
      <c r="B18" s="77" t="s">
        <v>962</v>
      </c>
      <c r="C18" s="77" t="s">
        <v>1105</v>
      </c>
      <c r="D18" s="78" t="s">
        <v>46</v>
      </c>
      <c r="E18" s="78" t="str">
        <f t="shared" si="0"/>
        <v>000</v>
      </c>
      <c r="F18" s="3">
        <v>653022</v>
      </c>
      <c r="G18" s="102" t="s">
        <v>965</v>
      </c>
      <c r="H18" s="87"/>
      <c r="I18" s="13">
        <v>513606</v>
      </c>
      <c r="J18" s="13">
        <v>731040</v>
      </c>
      <c r="L18" s="56">
        <v>827729</v>
      </c>
      <c r="M18" s="56"/>
      <c r="N18" s="56">
        <v>750000</v>
      </c>
      <c r="O18" s="56"/>
      <c r="P18" s="56">
        <v>750000</v>
      </c>
      <c r="Q18" s="56"/>
      <c r="R18" s="56">
        <v>750000</v>
      </c>
      <c r="S18" s="56"/>
      <c r="T18" s="56">
        <v>0</v>
      </c>
      <c r="U18" s="56"/>
      <c r="V18" s="56">
        <v>750000</v>
      </c>
      <c r="W18" s="56"/>
      <c r="X18" s="56">
        <v>606796.9</v>
      </c>
      <c r="Y18" s="56"/>
      <c r="Z18" s="56">
        <v>0</v>
      </c>
      <c r="AA18" s="56"/>
      <c r="AB18" s="56"/>
      <c r="AD18" s="56"/>
      <c r="AE18" s="56"/>
      <c r="AF18" s="56">
        <f t="shared" si="1"/>
        <v>0</v>
      </c>
      <c r="AG18" s="56">
        <v>0</v>
      </c>
      <c r="AH18" s="56">
        <v>0</v>
      </c>
      <c r="AI18" s="56"/>
      <c r="AJ18" s="56">
        <f t="shared" si="2"/>
        <v>0</v>
      </c>
      <c r="AK18" s="85"/>
      <c r="AL18" s="56">
        <v>0</v>
      </c>
      <c r="AM18" s="56"/>
      <c r="AN18" s="88">
        <f t="shared" si="3"/>
        <v>0</v>
      </c>
      <c r="AO18" s="88">
        <v>0</v>
      </c>
      <c r="AP18" s="88">
        <v>0</v>
      </c>
      <c r="AQ18" s="56"/>
      <c r="AR18" s="56">
        <v>0</v>
      </c>
      <c r="AT18" s="56">
        <v>0</v>
      </c>
      <c r="AU18" s="56"/>
      <c r="AV18" s="56">
        <f t="shared" si="4"/>
        <v>0</v>
      </c>
      <c r="AW18" s="56"/>
      <c r="AX18" s="56">
        <v>0</v>
      </c>
      <c r="AY18" s="56"/>
      <c r="AZ18" s="88">
        <v>0</v>
      </c>
      <c r="BA18" s="56">
        <v>0</v>
      </c>
      <c r="BB18" s="214"/>
      <c r="BC18" s="56"/>
      <c r="BD18" s="84">
        <f t="shared" si="5"/>
        <v>0</v>
      </c>
      <c r="BE18" s="56"/>
      <c r="BF18" s="56"/>
      <c r="BG18" s="56"/>
      <c r="BH18" s="72"/>
    </row>
    <row r="19" spans="1:62" ht="20.100000000000001" customHeight="1" outlineLevel="1">
      <c r="A19" s="77" t="s">
        <v>43</v>
      </c>
      <c r="B19" s="77" t="s">
        <v>962</v>
      </c>
      <c r="C19" s="77" t="s">
        <v>1105</v>
      </c>
      <c r="D19" s="78" t="s">
        <v>46</v>
      </c>
      <c r="E19" s="78" t="str">
        <f t="shared" si="0"/>
        <v>000</v>
      </c>
      <c r="F19" s="3">
        <v>653051</v>
      </c>
      <c r="G19" s="102" t="s">
        <v>71</v>
      </c>
      <c r="H19" s="87"/>
      <c r="I19" s="13">
        <v>112</v>
      </c>
      <c r="J19" s="13">
        <v>8</v>
      </c>
      <c r="L19" s="56">
        <v>197</v>
      </c>
      <c r="M19" s="56"/>
      <c r="N19" s="56">
        <v>200</v>
      </c>
      <c r="O19" s="56"/>
      <c r="P19" s="56">
        <v>200</v>
      </c>
      <c r="Q19" s="56"/>
      <c r="R19" s="56">
        <v>200</v>
      </c>
      <c r="S19" s="56"/>
      <c r="T19" s="56">
        <v>0</v>
      </c>
      <c r="U19" s="56"/>
      <c r="V19" s="56">
        <v>200</v>
      </c>
      <c r="W19" s="56"/>
      <c r="X19" s="56">
        <v>160.26</v>
      </c>
      <c r="Y19" s="56"/>
      <c r="Z19" s="56">
        <v>500</v>
      </c>
      <c r="AA19" s="56"/>
      <c r="AB19" s="56"/>
      <c r="AD19" s="56"/>
      <c r="AE19" s="56"/>
      <c r="AF19" s="56">
        <f t="shared" si="1"/>
        <v>500</v>
      </c>
      <c r="AG19" s="56">
        <v>0</v>
      </c>
      <c r="AH19" s="56">
        <v>0</v>
      </c>
      <c r="AI19" s="56"/>
      <c r="AJ19" s="56">
        <f t="shared" si="2"/>
        <v>500</v>
      </c>
      <c r="AK19" s="85"/>
      <c r="AL19" s="56">
        <v>0</v>
      </c>
      <c r="AM19" s="56"/>
      <c r="AN19" s="88">
        <f t="shared" si="3"/>
        <v>500</v>
      </c>
      <c r="AO19" s="88">
        <v>0</v>
      </c>
      <c r="AP19" s="88">
        <v>224.84</v>
      </c>
      <c r="AQ19" s="56"/>
      <c r="AR19" s="56">
        <v>0</v>
      </c>
      <c r="AT19" s="56">
        <v>0</v>
      </c>
      <c r="AU19" s="56"/>
      <c r="AV19" s="56">
        <f t="shared" si="4"/>
        <v>224.84</v>
      </c>
      <c r="AW19" s="56"/>
      <c r="AX19" s="56">
        <v>0</v>
      </c>
      <c r="AY19" s="56"/>
      <c r="AZ19" s="88">
        <v>500</v>
      </c>
      <c r="BA19" s="56">
        <v>500</v>
      </c>
      <c r="BB19" s="214"/>
      <c r="BC19" s="56"/>
      <c r="BD19" s="84">
        <f t="shared" si="5"/>
        <v>-275.15999999999997</v>
      </c>
      <c r="BE19" s="56"/>
      <c r="BF19" s="56"/>
      <c r="BG19" s="56"/>
      <c r="BH19" s="72"/>
    </row>
    <row r="20" spans="1:62" ht="20.100000000000001" customHeight="1" outlineLevel="1">
      <c r="A20" s="77" t="s">
        <v>43</v>
      </c>
      <c r="B20" s="77" t="s">
        <v>962</v>
      </c>
      <c r="C20" s="77" t="s">
        <v>1105</v>
      </c>
      <c r="D20" s="78" t="s">
        <v>46</v>
      </c>
      <c r="E20" s="78" t="str">
        <f t="shared" si="0"/>
        <v>000</v>
      </c>
      <c r="F20" s="3">
        <v>658211</v>
      </c>
      <c r="G20" s="102" t="s">
        <v>72</v>
      </c>
      <c r="H20" s="87"/>
      <c r="I20" s="13">
        <v>4580</v>
      </c>
      <c r="J20" s="13">
        <v>2640</v>
      </c>
      <c r="L20" s="56">
        <v>1066</v>
      </c>
      <c r="M20" s="56"/>
      <c r="N20" s="56">
        <v>10000</v>
      </c>
      <c r="O20" s="56"/>
      <c r="P20" s="56">
        <v>10000</v>
      </c>
      <c r="Q20" s="56"/>
      <c r="R20" s="56">
        <v>10000</v>
      </c>
      <c r="S20" s="56"/>
      <c r="T20" s="56">
        <v>0</v>
      </c>
      <c r="U20" s="56"/>
      <c r="V20" s="56">
        <v>10000</v>
      </c>
      <c r="W20" s="56"/>
      <c r="X20" s="56">
        <v>8776.9500000000007</v>
      </c>
      <c r="Y20" s="56"/>
      <c r="Z20" s="56">
        <v>10000</v>
      </c>
      <c r="AA20" s="56"/>
      <c r="AB20" s="56"/>
      <c r="AD20" s="56"/>
      <c r="AE20" s="56"/>
      <c r="AF20" s="56">
        <f t="shared" si="1"/>
        <v>10000</v>
      </c>
      <c r="AG20" s="56">
        <v>0</v>
      </c>
      <c r="AH20" s="56">
        <v>0</v>
      </c>
      <c r="AI20" s="56"/>
      <c r="AJ20" s="56">
        <f t="shared" si="2"/>
        <v>10000</v>
      </c>
      <c r="AK20" s="85"/>
      <c r="AL20" s="56">
        <v>0</v>
      </c>
      <c r="AM20" s="56"/>
      <c r="AN20" s="88">
        <f t="shared" si="3"/>
        <v>10000</v>
      </c>
      <c r="AO20" s="88">
        <v>0</v>
      </c>
      <c r="AP20" s="88">
        <v>10297.83</v>
      </c>
      <c r="AQ20" s="56"/>
      <c r="AR20" s="56">
        <v>0</v>
      </c>
      <c r="AT20" s="56">
        <v>0</v>
      </c>
      <c r="AU20" s="56"/>
      <c r="AV20" s="56">
        <f t="shared" si="4"/>
        <v>10297.83</v>
      </c>
      <c r="AW20" s="56"/>
      <c r="AX20" s="56">
        <v>0</v>
      </c>
      <c r="AY20" s="56"/>
      <c r="AZ20" s="88">
        <v>10000</v>
      </c>
      <c r="BA20" s="56">
        <v>10000</v>
      </c>
      <c r="BB20" s="214"/>
      <c r="BC20" s="56"/>
      <c r="BD20" s="84">
        <f t="shared" si="5"/>
        <v>297.82999999999993</v>
      </c>
      <c r="BE20" s="56"/>
      <c r="BF20" s="56"/>
      <c r="BG20" s="56"/>
      <c r="BH20" s="72"/>
    </row>
    <row r="21" spans="1:62" ht="20.100000000000001" customHeight="1" outlineLevel="1">
      <c r="A21" s="77" t="s">
        <v>43</v>
      </c>
      <c r="B21" s="77" t="s">
        <v>962</v>
      </c>
      <c r="C21" s="77" t="s">
        <v>1105</v>
      </c>
      <c r="D21" s="78" t="s">
        <v>46</v>
      </c>
      <c r="E21" s="78" t="str">
        <f t="shared" si="0"/>
        <v>000</v>
      </c>
      <c r="F21" s="3">
        <v>661001</v>
      </c>
      <c r="G21" s="102" t="s">
        <v>987</v>
      </c>
      <c r="H21" s="87"/>
      <c r="I21" s="13">
        <v>31447</v>
      </c>
      <c r="J21" s="13">
        <v>53720</v>
      </c>
      <c r="L21" s="56">
        <v>36225</v>
      </c>
      <c r="M21" s="56"/>
      <c r="N21" s="56">
        <v>65619</v>
      </c>
      <c r="O21" s="56"/>
      <c r="P21" s="56">
        <v>65619</v>
      </c>
      <c r="Q21" s="56"/>
      <c r="R21" s="56">
        <v>113825</v>
      </c>
      <c r="S21" s="56"/>
      <c r="T21" s="56">
        <v>99000</v>
      </c>
      <c r="U21" s="56"/>
      <c r="V21" s="56">
        <v>212825</v>
      </c>
      <c r="W21" s="56"/>
      <c r="X21" s="56">
        <v>209094.54</v>
      </c>
      <c r="Y21" s="56"/>
      <c r="Z21" s="56">
        <v>212000</v>
      </c>
      <c r="AA21" s="56"/>
      <c r="AB21" s="56"/>
      <c r="AD21" s="56">
        <v>3539</v>
      </c>
      <c r="AE21" s="56"/>
      <c r="AF21" s="56">
        <f t="shared" si="1"/>
        <v>215539</v>
      </c>
      <c r="AG21" s="56">
        <v>0</v>
      </c>
      <c r="AH21" s="56">
        <v>0</v>
      </c>
      <c r="AI21" s="56"/>
      <c r="AJ21" s="56">
        <f t="shared" si="2"/>
        <v>215539</v>
      </c>
      <c r="AK21" s="85"/>
      <c r="AL21" s="56">
        <v>159000</v>
      </c>
      <c r="AM21" s="56"/>
      <c r="AN21" s="88">
        <f t="shared" si="3"/>
        <v>374539</v>
      </c>
      <c r="AO21" s="88">
        <v>0</v>
      </c>
      <c r="AP21" s="88">
        <v>222732.25</v>
      </c>
      <c r="AQ21" s="56"/>
      <c r="AR21" s="56">
        <v>0</v>
      </c>
      <c r="AT21" s="56">
        <v>12516.83</v>
      </c>
      <c r="AU21" s="56"/>
      <c r="AV21" s="56">
        <f t="shared" si="4"/>
        <v>235249.08</v>
      </c>
      <c r="AW21" s="56"/>
      <c r="AX21" s="56">
        <v>0</v>
      </c>
      <c r="AY21" s="56"/>
      <c r="AZ21" s="88">
        <v>341000</v>
      </c>
      <c r="BA21" s="56">
        <v>343216</v>
      </c>
      <c r="BB21" s="214"/>
      <c r="BC21" s="56"/>
      <c r="BD21" s="84">
        <f t="shared" si="5"/>
        <v>-151806.75</v>
      </c>
      <c r="BE21" s="56"/>
      <c r="BF21" s="56"/>
      <c r="BG21" s="56"/>
      <c r="BH21" s="72"/>
    </row>
    <row r="22" spans="1:62" ht="20.100000000000001" customHeight="1" outlineLevel="1">
      <c r="A22" s="77" t="s">
        <v>43</v>
      </c>
      <c r="B22" s="77" t="s">
        <v>962</v>
      </c>
      <c r="C22" s="77" t="s">
        <v>1105</v>
      </c>
      <c r="D22" s="78" t="s">
        <v>46</v>
      </c>
      <c r="E22" s="78" t="str">
        <f t="shared" si="0"/>
        <v>000</v>
      </c>
      <c r="F22" s="3">
        <v>661011</v>
      </c>
      <c r="G22" s="102" t="s">
        <v>988</v>
      </c>
      <c r="H22" s="87"/>
      <c r="I22" s="13">
        <v>86374</v>
      </c>
      <c r="J22" s="13">
        <v>72242</v>
      </c>
      <c r="L22" s="56">
        <v>127021</v>
      </c>
      <c r="M22" s="56"/>
      <c r="N22" s="56">
        <v>101500</v>
      </c>
      <c r="O22" s="56"/>
      <c r="P22" s="56">
        <v>158294</v>
      </c>
      <c r="Q22" s="56"/>
      <c r="R22" s="56">
        <v>158294</v>
      </c>
      <c r="S22" s="56"/>
      <c r="T22" s="56">
        <v>45000</v>
      </c>
      <c r="U22" s="56"/>
      <c r="V22" s="56">
        <v>203294</v>
      </c>
      <c r="W22" s="56"/>
      <c r="X22" s="56">
        <v>139622.79999999999</v>
      </c>
      <c r="Y22" s="56"/>
      <c r="Z22" s="56">
        <v>50000</v>
      </c>
      <c r="AA22" s="56"/>
      <c r="AB22" s="56"/>
      <c r="AD22" s="56">
        <v>7782</v>
      </c>
      <c r="AE22" s="56"/>
      <c r="AF22" s="56">
        <f t="shared" si="1"/>
        <v>57782</v>
      </c>
      <c r="AG22" s="56">
        <v>0</v>
      </c>
      <c r="AH22" s="56">
        <v>0</v>
      </c>
      <c r="AI22" s="56"/>
      <c r="AJ22" s="56">
        <f t="shared" si="2"/>
        <v>57782</v>
      </c>
      <c r="AK22" s="85"/>
      <c r="AL22" s="56">
        <v>0</v>
      </c>
      <c r="AM22" s="56"/>
      <c r="AN22" s="88">
        <f t="shared" si="3"/>
        <v>57782</v>
      </c>
      <c r="AO22" s="88">
        <v>0</v>
      </c>
      <c r="AP22" s="88">
        <v>18008.16</v>
      </c>
      <c r="AQ22" s="56"/>
      <c r="AR22" s="56">
        <v>0</v>
      </c>
      <c r="AT22" s="56">
        <v>7054.24</v>
      </c>
      <c r="AU22" s="56"/>
      <c r="AV22" s="56">
        <f t="shared" si="4"/>
        <v>25062.400000000001</v>
      </c>
      <c r="AW22" s="56"/>
      <c r="AX22" s="56">
        <v>0</v>
      </c>
      <c r="AY22" s="56"/>
      <c r="AZ22" s="88">
        <v>50000</v>
      </c>
      <c r="BA22" s="56">
        <v>50027</v>
      </c>
      <c r="BB22" s="214"/>
      <c r="BC22" s="56"/>
      <c r="BD22" s="84">
        <f t="shared" si="5"/>
        <v>-39773.839999999997</v>
      </c>
      <c r="BE22" s="56"/>
      <c r="BF22" s="56"/>
      <c r="BG22" s="56"/>
      <c r="BH22" s="72"/>
    </row>
    <row r="23" spans="1:62" ht="20.100000000000001" customHeight="1" outlineLevel="1">
      <c r="A23" s="77" t="s">
        <v>43</v>
      </c>
      <c r="B23" s="77" t="s">
        <v>962</v>
      </c>
      <c r="C23" s="77" t="s">
        <v>1105</v>
      </c>
      <c r="D23" s="78" t="s">
        <v>46</v>
      </c>
      <c r="E23" s="78" t="str">
        <f t="shared" si="0"/>
        <v>000</v>
      </c>
      <c r="F23" s="3">
        <v>673001</v>
      </c>
      <c r="G23" s="102" t="s">
        <v>57</v>
      </c>
      <c r="H23" s="87"/>
      <c r="I23" s="13">
        <v>191110</v>
      </c>
      <c r="J23" s="13">
        <v>192544</v>
      </c>
      <c r="L23" s="56">
        <v>270374</v>
      </c>
      <c r="M23" s="56"/>
      <c r="N23" s="56">
        <v>254000</v>
      </c>
      <c r="O23" s="56"/>
      <c r="P23" s="56">
        <v>359498</v>
      </c>
      <c r="Q23" s="56"/>
      <c r="R23" s="56">
        <v>311292</v>
      </c>
      <c r="S23" s="56"/>
      <c r="T23" s="56">
        <v>-99000</v>
      </c>
      <c r="U23" s="56"/>
      <c r="V23" s="56">
        <v>212292</v>
      </c>
      <c r="W23" s="56"/>
      <c r="X23" s="56">
        <v>166037.48000000001</v>
      </c>
      <c r="Y23" s="56"/>
      <c r="Z23" s="56">
        <f>240000-30000</f>
        <v>210000</v>
      </c>
      <c r="AA23" s="56"/>
      <c r="AB23" s="56"/>
      <c r="AD23" s="56">
        <v>19584</v>
      </c>
      <c r="AE23" s="56"/>
      <c r="AF23" s="56">
        <f t="shared" si="1"/>
        <v>229584</v>
      </c>
      <c r="AG23" s="56">
        <v>0</v>
      </c>
      <c r="AH23" s="56">
        <v>0</v>
      </c>
      <c r="AI23" s="56"/>
      <c r="AJ23" s="56">
        <f t="shared" si="2"/>
        <v>229584</v>
      </c>
      <c r="AK23" s="85"/>
      <c r="AL23" s="56">
        <v>-100000</v>
      </c>
      <c r="AM23" s="56"/>
      <c r="AN23" s="88">
        <f t="shared" si="3"/>
        <v>129584</v>
      </c>
      <c r="AO23" s="88">
        <v>0</v>
      </c>
      <c r="AP23" s="88">
        <v>8650</v>
      </c>
      <c r="AQ23" s="56"/>
      <c r="AR23" s="56">
        <v>0</v>
      </c>
      <c r="AT23" s="56">
        <v>1649</v>
      </c>
      <c r="AU23" s="56"/>
      <c r="AV23" s="56">
        <f t="shared" si="4"/>
        <v>10299</v>
      </c>
      <c r="AW23" s="56"/>
      <c r="AX23" s="56">
        <v>0</v>
      </c>
      <c r="AY23" s="56"/>
      <c r="AZ23" s="88">
        <v>70000</v>
      </c>
      <c r="BA23" s="56">
        <v>71649</v>
      </c>
      <c r="BB23" s="214"/>
      <c r="BC23" s="56"/>
      <c r="BD23" s="84">
        <f t="shared" si="5"/>
        <v>-120934</v>
      </c>
      <c r="BE23" s="56"/>
      <c r="BF23" s="56"/>
      <c r="BG23" s="56"/>
      <c r="BH23" s="72"/>
    </row>
    <row r="24" spans="1:62" ht="20.100000000000001" customHeight="1" outlineLevel="1">
      <c r="A24" s="77" t="s">
        <v>43</v>
      </c>
      <c r="B24" s="77" t="s">
        <v>979</v>
      </c>
      <c r="C24" s="77" t="s">
        <v>1105</v>
      </c>
      <c r="D24" s="78" t="s">
        <v>46</v>
      </c>
      <c r="E24" s="78" t="str">
        <f t="shared" si="0"/>
        <v>000</v>
      </c>
      <c r="F24" s="79">
        <v>611116</v>
      </c>
      <c r="G24" s="102" t="s">
        <v>980</v>
      </c>
      <c r="H24" s="87"/>
      <c r="I24" s="82">
        <v>67899</v>
      </c>
      <c r="J24" s="82">
        <v>68451</v>
      </c>
      <c r="L24" s="83">
        <v>74328</v>
      </c>
      <c r="M24" s="83"/>
      <c r="N24" s="83">
        <v>82306</v>
      </c>
      <c r="O24" s="83"/>
      <c r="P24" s="83">
        <v>82306</v>
      </c>
      <c r="Q24" s="83"/>
      <c r="R24" s="83">
        <v>84006</v>
      </c>
      <c r="S24" s="83"/>
      <c r="T24" s="83">
        <v>0</v>
      </c>
      <c r="U24" s="83"/>
      <c r="V24" s="83">
        <v>84006</v>
      </c>
      <c r="W24" s="83"/>
      <c r="X24" s="83">
        <v>84005.96</v>
      </c>
      <c r="Y24" s="83"/>
      <c r="Z24" s="83">
        <v>83870</v>
      </c>
      <c r="AA24" s="83"/>
      <c r="AB24" s="83"/>
      <c r="AD24" s="83"/>
      <c r="AE24" s="83"/>
      <c r="AF24" s="86">
        <f t="shared" si="1"/>
        <v>83870</v>
      </c>
      <c r="AG24" s="83">
        <v>0</v>
      </c>
      <c r="AH24" s="83">
        <v>1250</v>
      </c>
      <c r="AI24" s="83"/>
      <c r="AJ24" s="86">
        <f t="shared" si="2"/>
        <v>85120</v>
      </c>
      <c r="AK24" s="85"/>
      <c r="AL24" s="83">
        <v>0</v>
      </c>
      <c r="AM24" s="83"/>
      <c r="AN24" s="86">
        <f t="shared" si="3"/>
        <v>85120</v>
      </c>
      <c r="AO24" s="86">
        <v>0</v>
      </c>
      <c r="AP24" s="86">
        <v>83869.919999999998</v>
      </c>
      <c r="AQ24" s="83"/>
      <c r="AR24" s="83">
        <v>0</v>
      </c>
      <c r="AT24" s="83">
        <v>0</v>
      </c>
      <c r="AU24" s="83"/>
      <c r="AV24" s="86">
        <f t="shared" si="4"/>
        <v>83869.919999999998</v>
      </c>
      <c r="AW24" s="86"/>
      <c r="AX24" s="86">
        <v>0</v>
      </c>
      <c r="AY24" s="86"/>
      <c r="AZ24" s="86">
        <v>83870</v>
      </c>
      <c r="BA24" s="86">
        <v>83870</v>
      </c>
      <c r="BB24" s="214"/>
      <c r="BC24" s="86"/>
      <c r="BD24" s="84">
        <f t="shared" si="5"/>
        <v>-1250.0800000000017</v>
      </c>
      <c r="BE24" s="86"/>
      <c r="BF24" s="86"/>
      <c r="BG24" s="86"/>
      <c r="BH24" s="72">
        <v>1</v>
      </c>
      <c r="BJ24">
        <v>1</v>
      </c>
    </row>
    <row r="25" spans="1:62" ht="20.100000000000001" customHeight="1" outlineLevel="1">
      <c r="A25" s="77" t="s">
        <v>43</v>
      </c>
      <c r="B25" s="77" t="s">
        <v>972</v>
      </c>
      <c r="C25" s="77" t="s">
        <v>1105</v>
      </c>
      <c r="D25" s="78" t="s">
        <v>46</v>
      </c>
      <c r="E25" s="78" t="str">
        <f t="shared" si="0"/>
        <v>000</v>
      </c>
      <c r="F25" s="3">
        <v>611821</v>
      </c>
      <c r="G25" s="102" t="s">
        <v>981</v>
      </c>
      <c r="H25" s="87"/>
      <c r="I25" s="13">
        <v>167285</v>
      </c>
      <c r="J25" s="13">
        <v>166865</v>
      </c>
      <c r="L25" s="56">
        <v>187138</v>
      </c>
      <c r="M25" s="56"/>
      <c r="N25" s="56">
        <v>193376</v>
      </c>
      <c r="O25" s="56"/>
      <c r="P25" s="56">
        <v>193376</v>
      </c>
      <c r="Q25" s="56"/>
      <c r="R25" s="56">
        <v>200426</v>
      </c>
      <c r="S25" s="56"/>
      <c r="T25" s="56">
        <v>0</v>
      </c>
      <c r="U25" s="56"/>
      <c r="V25" s="56">
        <v>200426</v>
      </c>
      <c r="W25" s="56"/>
      <c r="X25" s="56">
        <v>200425.88</v>
      </c>
      <c r="Y25" s="56"/>
      <c r="Z25" s="56">
        <v>197900</v>
      </c>
      <c r="AA25" s="56"/>
      <c r="AB25" s="56"/>
      <c r="AD25" s="56"/>
      <c r="AE25" s="56"/>
      <c r="AF25" s="56">
        <f t="shared" si="1"/>
        <v>197900</v>
      </c>
      <c r="AG25" s="56">
        <v>0</v>
      </c>
      <c r="AH25" s="56">
        <v>6000</v>
      </c>
      <c r="AI25" s="56"/>
      <c r="AJ25" s="56">
        <f t="shared" si="2"/>
        <v>203900</v>
      </c>
      <c r="AK25" s="85"/>
      <c r="AL25" s="56">
        <v>0</v>
      </c>
      <c r="AM25" s="56"/>
      <c r="AN25" s="88">
        <f t="shared" si="3"/>
        <v>203900</v>
      </c>
      <c r="AO25" s="88">
        <v>0</v>
      </c>
      <c r="AP25" s="88">
        <v>198384</v>
      </c>
      <c r="AQ25" s="56"/>
      <c r="AR25" s="56">
        <v>0</v>
      </c>
      <c r="AT25" s="56">
        <v>0</v>
      </c>
      <c r="AU25" s="56"/>
      <c r="AV25" s="56">
        <f t="shared" si="4"/>
        <v>198384</v>
      </c>
      <c r="AW25" s="56"/>
      <c r="AX25" s="56">
        <v>0</v>
      </c>
      <c r="AY25" s="56"/>
      <c r="AZ25" s="88">
        <v>198384</v>
      </c>
      <c r="BA25" s="56">
        <v>198384</v>
      </c>
      <c r="BB25" s="214"/>
      <c r="BC25" s="56"/>
      <c r="BD25" s="84">
        <f t="shared" si="5"/>
        <v>-5516</v>
      </c>
      <c r="BE25" s="56"/>
      <c r="BF25" s="56"/>
      <c r="BG25" s="56"/>
      <c r="BH25" s="72">
        <v>1</v>
      </c>
      <c r="BJ25">
        <v>1</v>
      </c>
    </row>
    <row r="26" spans="1:62" ht="20.100000000000001" customHeight="1" outlineLevel="1">
      <c r="A26" s="77" t="s">
        <v>43</v>
      </c>
      <c r="B26" s="77" t="s">
        <v>962</v>
      </c>
      <c r="C26" s="77" t="s">
        <v>1105</v>
      </c>
      <c r="D26" s="78" t="s">
        <v>46</v>
      </c>
      <c r="E26" s="78" t="str">
        <f t="shared" si="0"/>
        <v>000</v>
      </c>
      <c r="F26" s="3">
        <v>681011</v>
      </c>
      <c r="G26" s="102" t="s">
        <v>74</v>
      </c>
      <c r="H26" s="87"/>
      <c r="I26" s="13">
        <v>0</v>
      </c>
      <c r="J26" s="13">
        <v>0</v>
      </c>
      <c r="L26" s="56">
        <v>0</v>
      </c>
      <c r="M26" s="56"/>
      <c r="N26" s="56">
        <v>500</v>
      </c>
      <c r="O26" s="56"/>
      <c r="P26" s="56">
        <v>500</v>
      </c>
      <c r="Q26" s="56"/>
      <c r="R26" s="56">
        <v>500</v>
      </c>
      <c r="S26" s="56"/>
      <c r="T26" s="56">
        <v>0</v>
      </c>
      <c r="U26" s="56"/>
      <c r="V26" s="56">
        <v>500</v>
      </c>
      <c r="W26" s="56"/>
      <c r="X26" s="56">
        <v>0</v>
      </c>
      <c r="Y26" s="56"/>
      <c r="Z26" s="56">
        <v>0</v>
      </c>
      <c r="AA26" s="56"/>
      <c r="AB26" s="56"/>
      <c r="AD26" s="56"/>
      <c r="AE26" s="56"/>
      <c r="AF26" s="56">
        <f t="shared" si="1"/>
        <v>0</v>
      </c>
      <c r="AG26" s="56">
        <v>0</v>
      </c>
      <c r="AH26" s="56">
        <v>0</v>
      </c>
      <c r="AI26" s="56"/>
      <c r="AJ26" s="56">
        <f t="shared" si="2"/>
        <v>0</v>
      </c>
      <c r="AK26" s="85"/>
      <c r="AL26" s="56">
        <v>0</v>
      </c>
      <c r="AM26" s="56"/>
      <c r="AN26" s="88">
        <f t="shared" si="3"/>
        <v>0</v>
      </c>
      <c r="AO26" s="88">
        <v>0</v>
      </c>
      <c r="AP26" s="88">
        <v>0</v>
      </c>
      <c r="AQ26" s="56"/>
      <c r="AR26" s="56">
        <v>0</v>
      </c>
      <c r="AT26" s="56">
        <v>0</v>
      </c>
      <c r="AU26" s="56"/>
      <c r="AV26" s="56">
        <f t="shared" si="4"/>
        <v>0</v>
      </c>
      <c r="AW26" s="56"/>
      <c r="AX26" s="56">
        <v>0</v>
      </c>
      <c r="AY26" s="56"/>
      <c r="AZ26" s="88">
        <v>0</v>
      </c>
      <c r="BA26" s="56">
        <v>0</v>
      </c>
      <c r="BB26" s="214"/>
      <c r="BC26" s="56"/>
      <c r="BD26" s="84">
        <f t="shared" si="5"/>
        <v>0</v>
      </c>
      <c r="BE26" s="56"/>
      <c r="BF26" s="56"/>
      <c r="BG26" s="56"/>
      <c r="BH26" s="72"/>
    </row>
    <row r="27" spans="1:62" ht="20.100000000000001" hidden="1" customHeight="1" outlineLevel="1">
      <c r="A27" s="77" t="s">
        <v>43</v>
      </c>
      <c r="B27" s="77" t="s">
        <v>176</v>
      </c>
      <c r="C27" s="77" t="s">
        <v>1105</v>
      </c>
      <c r="D27" s="78" t="s">
        <v>46</v>
      </c>
      <c r="E27" s="78" t="str">
        <f t="shared" si="0"/>
        <v>000</v>
      </c>
      <c r="F27" s="3">
        <v>683012</v>
      </c>
      <c r="G27" s="102" t="s">
        <v>989</v>
      </c>
      <c r="H27" s="87"/>
      <c r="I27" s="13">
        <v>0</v>
      </c>
      <c r="J27" s="13">
        <v>0</v>
      </c>
      <c r="L27" s="56">
        <v>0</v>
      </c>
      <c r="M27" s="56"/>
      <c r="N27" s="56">
        <v>0</v>
      </c>
      <c r="O27" s="56"/>
      <c r="P27" s="56">
        <v>0</v>
      </c>
      <c r="Q27" s="56"/>
      <c r="R27" s="56">
        <v>0</v>
      </c>
      <c r="S27" s="56"/>
      <c r="T27" s="56">
        <v>0</v>
      </c>
      <c r="U27" s="56"/>
      <c r="V27" s="56">
        <v>0</v>
      </c>
      <c r="W27" s="56"/>
      <c r="X27" s="56">
        <v>0</v>
      </c>
      <c r="Y27" s="56"/>
      <c r="Z27" s="56">
        <v>0</v>
      </c>
      <c r="AA27" s="56"/>
      <c r="AB27" s="56"/>
      <c r="AD27" s="56"/>
      <c r="AE27" s="56"/>
      <c r="AF27" s="56">
        <f t="shared" si="1"/>
        <v>0</v>
      </c>
      <c r="AG27" s="56">
        <v>0</v>
      </c>
      <c r="AH27" s="56">
        <v>0</v>
      </c>
      <c r="AI27" s="56"/>
      <c r="AJ27" s="56">
        <f t="shared" si="2"/>
        <v>0</v>
      </c>
      <c r="AK27" s="85"/>
      <c r="AL27" s="56">
        <v>0</v>
      </c>
      <c r="AM27" s="56"/>
      <c r="AN27" s="88">
        <f t="shared" si="3"/>
        <v>0</v>
      </c>
      <c r="AO27" s="88">
        <v>0</v>
      </c>
      <c r="AP27" s="88">
        <v>0</v>
      </c>
      <c r="AQ27" s="56"/>
      <c r="AR27" s="56">
        <v>0</v>
      </c>
      <c r="AT27" s="56">
        <v>0</v>
      </c>
      <c r="AU27" s="56"/>
      <c r="AV27" s="56">
        <f t="shared" si="4"/>
        <v>0</v>
      </c>
      <c r="AW27" s="56"/>
      <c r="AX27" s="56">
        <v>0</v>
      </c>
      <c r="AY27" s="56"/>
      <c r="AZ27" s="88">
        <v>0</v>
      </c>
      <c r="BA27" s="56">
        <v>0</v>
      </c>
      <c r="BB27" s="214"/>
      <c r="BC27" s="56"/>
      <c r="BD27" s="84">
        <f t="shared" si="5"/>
        <v>0</v>
      </c>
      <c r="BE27" s="56"/>
      <c r="BF27" s="56"/>
      <c r="BG27" s="56"/>
      <c r="BH27" s="72"/>
    </row>
    <row r="28" spans="1:62" ht="20.100000000000001" hidden="1" customHeight="1" outlineLevel="1">
      <c r="A28" s="77" t="s">
        <v>43</v>
      </c>
      <c r="B28" s="77" t="s">
        <v>176</v>
      </c>
      <c r="C28" s="77" t="s">
        <v>1105</v>
      </c>
      <c r="D28" s="78" t="s">
        <v>46</v>
      </c>
      <c r="E28" s="78" t="str">
        <f t="shared" si="0"/>
        <v>000</v>
      </c>
      <c r="F28" s="3">
        <v>691012</v>
      </c>
      <c r="G28" s="102" t="s">
        <v>990</v>
      </c>
      <c r="H28" s="87"/>
      <c r="I28" s="13">
        <v>0</v>
      </c>
      <c r="J28" s="13">
        <v>0</v>
      </c>
      <c r="L28" s="56">
        <v>0</v>
      </c>
      <c r="M28" s="56"/>
      <c r="N28" s="56">
        <v>0</v>
      </c>
      <c r="O28" s="56"/>
      <c r="P28" s="56">
        <v>0</v>
      </c>
      <c r="Q28" s="56"/>
      <c r="R28" s="56">
        <v>0</v>
      </c>
      <c r="S28" s="56"/>
      <c r="T28" s="56">
        <v>0</v>
      </c>
      <c r="U28" s="56"/>
      <c r="V28" s="56">
        <v>0</v>
      </c>
      <c r="W28" s="56"/>
      <c r="X28" s="56">
        <v>0</v>
      </c>
      <c r="Y28" s="56"/>
      <c r="Z28" s="56">
        <v>0</v>
      </c>
      <c r="AA28" s="56"/>
      <c r="AB28" s="56"/>
      <c r="AD28" s="56"/>
      <c r="AE28" s="56"/>
      <c r="AF28" s="56">
        <f t="shared" si="1"/>
        <v>0</v>
      </c>
      <c r="AG28" s="56">
        <v>0</v>
      </c>
      <c r="AH28" s="56">
        <v>0</v>
      </c>
      <c r="AI28" s="56"/>
      <c r="AJ28" s="56">
        <f t="shared" si="2"/>
        <v>0</v>
      </c>
      <c r="AK28" s="85"/>
      <c r="AL28" s="56">
        <v>0</v>
      </c>
      <c r="AM28" s="56"/>
      <c r="AN28" s="88">
        <f t="shared" si="3"/>
        <v>0</v>
      </c>
      <c r="AO28" s="88">
        <v>0</v>
      </c>
      <c r="AP28" s="88">
        <v>0</v>
      </c>
      <c r="AQ28" s="56"/>
      <c r="AR28" s="56">
        <v>0</v>
      </c>
      <c r="AT28" s="56">
        <v>0</v>
      </c>
      <c r="AU28" s="56"/>
      <c r="AV28" s="56">
        <f t="shared" si="4"/>
        <v>0</v>
      </c>
      <c r="AW28" s="56"/>
      <c r="AX28" s="56">
        <v>0</v>
      </c>
      <c r="AY28" s="56"/>
      <c r="AZ28" s="88">
        <v>0</v>
      </c>
      <c r="BA28" s="56">
        <v>0</v>
      </c>
      <c r="BB28" s="56"/>
      <c r="BC28" s="56"/>
      <c r="BD28" s="84">
        <f t="shared" si="5"/>
        <v>0</v>
      </c>
      <c r="BE28" s="56"/>
      <c r="BF28" s="56"/>
      <c r="BG28" s="56"/>
      <c r="BH28" s="72"/>
    </row>
    <row r="29" spans="1:62" ht="20.100000000000001" customHeight="1" collapsed="1">
      <c r="B29" s="77"/>
      <c r="C29" s="77"/>
      <c r="D29" s="90"/>
      <c r="E29" s="90"/>
      <c r="F29" s="3"/>
      <c r="G29" s="110" t="s">
        <v>991</v>
      </c>
      <c r="H29" s="81"/>
      <c r="I29" s="92">
        <v>1466030</v>
      </c>
      <c r="J29" s="93">
        <v>1728043</v>
      </c>
      <c r="L29" s="125">
        <v>1949047</v>
      </c>
      <c r="M29" s="126"/>
      <c r="N29" s="125">
        <v>2040532</v>
      </c>
      <c r="O29" s="126"/>
      <c r="P29" s="125">
        <v>2245668</v>
      </c>
      <c r="Q29" s="126"/>
      <c r="R29" s="125">
        <v>2259187</v>
      </c>
      <c r="S29" s="95"/>
      <c r="T29" s="94">
        <v>0</v>
      </c>
      <c r="U29" s="126"/>
      <c r="V29" s="125">
        <v>2259187</v>
      </c>
      <c r="W29" s="126"/>
      <c r="X29" s="125">
        <f>SUBTOTAL(9,X10:X28)</f>
        <v>1912623.7000000002</v>
      </c>
      <c r="Y29" s="126"/>
      <c r="Z29" s="125">
        <f>SUBTOTAL(9,Z11:Z28)</f>
        <v>1342364</v>
      </c>
      <c r="AA29" s="126"/>
      <c r="AB29" s="125">
        <f>SUBTOTAL(9,AB11:AB28)</f>
        <v>0</v>
      </c>
      <c r="AD29" s="125">
        <f>SUBTOTAL(9,AD11:AD28)</f>
        <v>46913</v>
      </c>
      <c r="AE29" s="126"/>
      <c r="AF29" s="125">
        <f>SUBTOTAL(9,AF11:AF28)</f>
        <v>1389277</v>
      </c>
      <c r="AG29" s="125">
        <f>SUBTOTAL(9,AG11:AG28)</f>
        <v>121187</v>
      </c>
      <c r="AH29" s="125">
        <f>SUBTOTAL(9,AH11:AH28)</f>
        <v>31000</v>
      </c>
      <c r="AI29" s="126"/>
      <c r="AJ29" s="125">
        <f>SUBTOTAL(9,AJ11:AJ28)</f>
        <v>1541464</v>
      </c>
      <c r="AK29" s="96"/>
      <c r="AL29" s="125">
        <f>SUBTOTAL(9,AL11:AL28)</f>
        <v>266900</v>
      </c>
      <c r="AM29" s="126"/>
      <c r="AN29" s="127">
        <f>SUBTOTAL(9,AN11:AN28)</f>
        <v>1808364</v>
      </c>
      <c r="AO29" s="127">
        <f>SUBTOTAL(9,AO11:AO28)</f>
        <v>0</v>
      </c>
      <c r="AP29" s="127">
        <f>SUBTOTAL(9,AP11:AP28)</f>
        <v>1206185.54</v>
      </c>
      <c r="AQ29" s="126"/>
      <c r="AR29" s="125">
        <f>SUBTOTAL(9,AR11:AR28)</f>
        <v>0</v>
      </c>
      <c r="AT29" s="125">
        <f>SUBTOTAL(9,AT11:AT28)</f>
        <v>89876.67</v>
      </c>
      <c r="AU29" s="126"/>
      <c r="AV29" s="125">
        <f>SUBTOTAL(9,AV11:AV28)</f>
        <v>1296062.2099999997</v>
      </c>
      <c r="AW29" s="126"/>
      <c r="AX29" s="125">
        <f>SUBTOTAL(9,AX11:AX28)</f>
        <v>15216</v>
      </c>
      <c r="AY29" s="126"/>
      <c r="AZ29" s="127">
        <f>SUBTOTAL(9,AZ11:AZ28)</f>
        <v>1540166</v>
      </c>
      <c r="BA29" s="125">
        <f>SUBTOTAL(9,BA11:BA28)</f>
        <v>1638449</v>
      </c>
      <c r="BB29" s="125"/>
      <c r="BC29" s="125"/>
      <c r="BD29" s="98">
        <f t="shared" si="5"/>
        <v>-602178.46</v>
      </c>
      <c r="BE29" s="126"/>
      <c r="BF29" s="126"/>
      <c r="BG29" s="126"/>
    </row>
    <row r="46" spans="18:63">
      <c r="R46" s="7">
        <v>420044982</v>
      </c>
      <c r="BI46" s="211"/>
      <c r="BJ46" s="7"/>
      <c r="BK46" s="7"/>
    </row>
    <row r="47" spans="18:63">
      <c r="BI47" s="211"/>
      <c r="BJ47" s="7"/>
    </row>
  </sheetData>
  <autoFilter ref="A9:BH29"/>
  <mergeCells count="8">
    <mergeCell ref="A8:E8"/>
    <mergeCell ref="AG2:AH2"/>
    <mergeCell ref="AG3:AH3"/>
    <mergeCell ref="AG4:AH4"/>
    <mergeCell ref="AB4:AD4"/>
    <mergeCell ref="A6:F6"/>
    <mergeCell ref="A7:F7"/>
    <mergeCell ref="AB5:AD5"/>
  </mergeCells>
  <phoneticPr fontId="3" type="noConversion"/>
  <conditionalFormatting sqref="F1:F1048576">
    <cfRule type="cellIs" dxfId="11" priority="1" stopIfTrue="1" operator="between">
      <formula>610000</formula>
      <formula>619999</formula>
    </cfRule>
  </conditionalFormatting>
  <pageMargins left="0.54" right="0.25" top="0.24" bottom="0.49" header="0.25" footer="0"/>
  <pageSetup scale="77" fitToHeight="0" orientation="landscape" r:id="rId1"/>
  <headerFooter alignWithMargins="0">
    <oddFooter>&amp;C&amp;8Detail of Expenditures Budget By Department, Page &amp;P of &amp;N</oddFooter>
  </headerFooter>
  <legacyDrawing r:id="rId2"/>
</worksheet>
</file>

<file path=xl/worksheets/sheet27.xml><?xml version="1.0" encoding="utf-8"?>
<worksheet xmlns="http://schemas.openxmlformats.org/spreadsheetml/2006/main" xmlns:r="http://schemas.openxmlformats.org/officeDocument/2006/relationships">
  <sheetPr codeName="Sheet32" enableFormatConditionsCalculation="0">
    <tabColor indexed="17"/>
    <pageSetUpPr fitToPage="1"/>
  </sheetPr>
  <dimension ref="A1:BJ51"/>
  <sheetViews>
    <sheetView zoomScale="87" zoomScaleNormal="90" workbookViewId="0">
      <pane xSplit="8" ySplit="9" topLeftCell="L30" activePane="bottomRight" state="frozen"/>
      <selection activeCell="A28" sqref="A28"/>
      <selection pane="topRight" activeCell="A28" sqref="A28"/>
      <selection pane="bottomLeft" activeCell="A28" sqref="A28"/>
      <selection pane="bottomRight"/>
    </sheetView>
  </sheetViews>
  <sheetFormatPr defaultRowHeight="12.75" outlineLevelRow="1" outlineLevelCol="1"/>
  <cols>
    <col min="1" max="1" width="7" style="39" customWidth="1" outlineLevel="1"/>
    <col min="2" max="2" width="6.140625" style="39" customWidth="1" outlineLevel="1"/>
    <col min="3" max="3" width="3.7109375" style="39" customWidth="1" outlineLevel="1"/>
    <col min="4" max="5" width="4.85546875" style="168" customWidth="1" outlineLevel="1"/>
    <col min="6" max="6" width="8.7109375" style="40" customWidth="1" outlineLevel="1"/>
    <col min="7" max="7" width="28.5703125" style="4" customWidth="1"/>
    <col min="8" max="8" width="16.5703125" style="4" hidden="1" customWidth="1"/>
    <col min="9" max="10" width="15.140625" style="4" hidden="1" customWidth="1" collapsed="1"/>
    <col min="11" max="11" width="39.5703125" style="4" hidden="1" customWidth="1"/>
    <col min="12" max="12" width="15.140625" style="7" bestFit="1" customWidth="1" collapsed="1"/>
    <col min="13" max="13" width="31.7109375" style="7" hidden="1" customWidth="1"/>
    <col min="14" max="14" width="35.5703125" style="7" hidden="1" customWidth="1" collapsed="1"/>
    <col min="15" max="15" width="0.140625" style="7" customWidth="1"/>
    <col min="16" max="16" width="25.28515625" style="7" hidden="1" customWidth="1" outlineLevel="1" collapsed="1"/>
    <col min="17" max="17" width="23.42578125" style="7" hidden="1" customWidth="1" outlineLevel="1"/>
    <col min="18" max="18" width="20.5703125" style="7" hidden="1" customWidth="1" outlineLevel="1" collapsed="1"/>
    <col min="19" max="19" width="18" style="7" hidden="1" customWidth="1" outlineLevel="1"/>
    <col min="20" max="20" width="19.5703125" style="7" hidden="1" customWidth="1" outlineLevel="1"/>
    <col min="21" max="21" width="18.42578125" style="7" hidden="1" customWidth="1" outlineLevel="1"/>
    <col min="22" max="22" width="13.140625" style="7" hidden="1" customWidth="1"/>
    <col min="23" max="23" width="14.140625" style="7" hidden="1" customWidth="1"/>
    <col min="24" max="24" width="14.5703125" style="7" customWidth="1" collapsed="1"/>
    <col min="25" max="25" width="0.85546875" style="7" hidden="1" customWidth="1"/>
    <col min="26" max="26" width="16.140625" style="7" hidden="1" customWidth="1"/>
    <col min="27" max="27" width="0.140625" style="7" hidden="1" customWidth="1"/>
    <col min="28" max="28" width="16.140625" style="7" hidden="1" customWidth="1" outlineLevel="1"/>
    <col min="29" max="29" width="0.42578125" style="7" hidden="1" customWidth="1" outlineLevel="1"/>
    <col min="30" max="30" width="17.85546875" style="7" hidden="1" customWidth="1" outlineLevel="1"/>
    <col min="31" max="31" width="0.42578125" style="7" hidden="1" customWidth="1" outlineLevel="1"/>
    <col min="32" max="32" width="16.140625" style="7" hidden="1" customWidth="1" collapsed="1"/>
    <col min="33" max="33" width="16" style="7" hidden="1" customWidth="1" outlineLevel="1"/>
    <col min="34" max="34" width="17" style="7" hidden="1" customWidth="1" outlineLevel="1"/>
    <col min="35" max="35" width="10.5703125" style="7" hidden="1" customWidth="1" outlineLevel="1"/>
    <col min="36" max="36" width="16.140625" style="7" hidden="1" customWidth="1" collapsed="1"/>
    <col min="37" max="37" width="0.7109375" style="7" hidden="1" customWidth="1"/>
    <col min="38" max="38" width="16.140625" style="7" hidden="1" customWidth="1" outlineLevel="1"/>
    <col min="39" max="39" width="4.140625" style="7" hidden="1" customWidth="1" outlineLevel="1"/>
    <col min="40" max="40" width="16.140625" style="17" customWidth="1" collapsed="1"/>
    <col min="41" max="41" width="16.140625" style="17" hidden="1" customWidth="1" collapsed="1"/>
    <col min="42" max="42" width="16.140625" style="17" customWidth="1" collapsed="1"/>
    <col min="43" max="43" width="0.7109375" style="7" hidden="1" customWidth="1" outlineLevel="1"/>
    <col min="44" max="44" width="22.140625" style="7" hidden="1" customWidth="1" outlineLevel="1"/>
    <col min="45" max="45" width="0.42578125" style="7" hidden="1" customWidth="1" outlineLevel="1"/>
    <col min="46" max="46" width="17.85546875" style="7" hidden="1" customWidth="1" outlineLevel="1"/>
    <col min="47" max="47" width="0.42578125" style="7" hidden="1" customWidth="1" outlineLevel="1"/>
    <col min="48" max="48" width="18" style="7" hidden="1" customWidth="1" collapsed="1"/>
    <col min="49" max="49" width="0.5703125" style="7" hidden="1" customWidth="1"/>
    <col min="50" max="50" width="18" style="7" hidden="1" customWidth="1"/>
    <col min="51" max="51" width="0.5703125" style="7" customWidth="1"/>
    <col min="52" max="52" width="15.140625" style="7" customWidth="1"/>
    <col min="53" max="53" width="15.7109375" style="7" bestFit="1" customWidth="1"/>
    <col min="54" max="54" width="15.140625" style="7" customWidth="1"/>
    <col min="55" max="55" width="23.140625" style="7" customWidth="1"/>
    <col min="56" max="56" width="19.85546875" style="7" bestFit="1" customWidth="1"/>
    <col min="57" max="59" width="12.42578125" style="7" customWidth="1"/>
    <col min="60" max="60" width="3.85546875" style="76" customWidth="1"/>
    <col min="61" max="61" width="14.5703125" style="12" bestFit="1" customWidth="1"/>
  </cols>
  <sheetData>
    <row r="1" spans="1:62" ht="15">
      <c r="A1" s="1" t="s">
        <v>0</v>
      </c>
      <c r="B1" s="2"/>
      <c r="C1" s="2"/>
      <c r="D1" s="1"/>
      <c r="E1" s="1"/>
      <c r="F1" s="3"/>
      <c r="H1" s="5"/>
      <c r="I1" s="6"/>
      <c r="T1" s="8"/>
      <c r="Z1" s="9"/>
      <c r="AB1" s="9"/>
      <c r="AD1" s="9"/>
      <c r="AF1" s="9"/>
      <c r="AH1" s="10" t="e">
        <f>+#REF!</f>
        <v>#REF!</v>
      </c>
      <c r="AJ1" s="9"/>
      <c r="AK1" s="9"/>
      <c r="AN1" s="9"/>
      <c r="AO1" s="9"/>
      <c r="AP1" s="9"/>
      <c r="AR1" s="9"/>
      <c r="AT1" s="9"/>
      <c r="AV1" s="9"/>
      <c r="AW1" s="9"/>
      <c r="AX1" s="9"/>
      <c r="AY1" s="9"/>
      <c r="AZ1" s="9"/>
      <c r="BA1" s="9"/>
      <c r="BB1" s="9"/>
      <c r="BC1" s="9"/>
      <c r="BD1" s="9"/>
      <c r="BE1" s="9"/>
      <c r="BF1" s="9"/>
      <c r="BG1" s="9"/>
      <c r="BH1" s="11"/>
    </row>
    <row r="2" spans="1:62" ht="15">
      <c r="A2" s="1" t="s">
        <v>1053</v>
      </c>
      <c r="B2" s="2"/>
      <c r="C2" s="2"/>
      <c r="D2" s="1"/>
      <c r="E2" s="1"/>
      <c r="F2" s="3"/>
      <c r="H2" s="5"/>
      <c r="I2" s="13"/>
      <c r="J2" s="14"/>
      <c r="K2" s="14"/>
      <c r="L2" s="15"/>
      <c r="M2" s="15"/>
      <c r="N2" s="15"/>
      <c r="O2" s="15"/>
      <c r="P2" s="15"/>
      <c r="R2" s="15"/>
      <c r="T2" s="8"/>
      <c r="V2" s="15"/>
      <c r="X2" s="15"/>
      <c r="Z2" s="15"/>
      <c r="AB2" s="15"/>
      <c r="AD2" s="15"/>
      <c r="AF2" s="15"/>
      <c r="AG2" s="238" t="s">
        <v>1</v>
      </c>
      <c r="AH2" s="238"/>
      <c r="AI2" s="17"/>
      <c r="AJ2" s="18"/>
      <c r="AK2" s="15"/>
      <c r="AL2" s="10" t="e">
        <f>+#REF!</f>
        <v>#REF!</v>
      </c>
      <c r="AN2" s="18"/>
      <c r="AO2" s="18"/>
      <c r="AP2" s="18"/>
      <c r="AR2" s="15"/>
      <c r="AT2" s="15"/>
      <c r="AV2" s="15"/>
      <c r="AW2" s="15"/>
      <c r="AX2" s="15"/>
      <c r="AY2" s="15"/>
      <c r="AZ2" s="15"/>
      <c r="BA2" s="15"/>
      <c r="BB2" s="15"/>
      <c r="BC2" s="15"/>
      <c r="BD2" s="15"/>
      <c r="BE2" s="15"/>
      <c r="BF2" s="15"/>
      <c r="BG2" s="15"/>
      <c r="BH2" s="19"/>
    </row>
    <row r="3" spans="1:62">
      <c r="A3" s="20" t="str">
        <f>IF(G7=1,"DETAIL OF EXPENDITURES BUDGET BY DEPARTMENT WITH COMPARATIVE AMOUNTS", "SUMMARY OF EXPENDITURES BUDGET BY DEPARTMENT WITH COMPARATIVE AMOUNTS")</f>
        <v>DETAIL OF EXPENDITURES BUDGET BY DEPARTMENT WITH COMPARATIVE AMOUNTS</v>
      </c>
      <c r="B3" s="21"/>
      <c r="C3" s="21"/>
      <c r="D3" s="22"/>
      <c r="E3" s="22"/>
      <c r="F3" s="3"/>
      <c r="H3" s="5"/>
      <c r="I3" s="23"/>
      <c r="J3" s="15"/>
      <c r="L3" s="15"/>
      <c r="M3" s="10"/>
      <c r="N3" s="10"/>
      <c r="O3" s="10"/>
      <c r="P3" s="24"/>
      <c r="R3" s="24"/>
      <c r="V3" s="24"/>
      <c r="W3" s="24"/>
      <c r="X3" s="15"/>
      <c r="Y3" s="24"/>
      <c r="AA3" s="24"/>
      <c r="AB3" s="24" t="e">
        <f>+#REF!</f>
        <v>#REF!</v>
      </c>
      <c r="AC3" s="24"/>
      <c r="AD3" s="24" t="e">
        <f>+#REF!</f>
        <v>#REF!</v>
      </c>
      <c r="AE3" s="24"/>
      <c r="AF3" s="10" t="e">
        <f>+#REF!</f>
        <v>#REF!</v>
      </c>
      <c r="AG3" s="239" t="s">
        <v>2</v>
      </c>
      <c r="AH3" s="239"/>
      <c r="AI3" s="25"/>
      <c r="AJ3" s="25" t="e">
        <f>+#REF!</f>
        <v>#REF!</v>
      </c>
      <c r="AK3" s="24"/>
      <c r="AL3" s="16" t="s">
        <v>1</v>
      </c>
      <c r="AM3" s="25"/>
      <c r="AN3" s="25"/>
      <c r="AO3" s="25"/>
      <c r="AP3" s="25"/>
      <c r="AQ3" s="24"/>
      <c r="AR3" s="24" t="e">
        <f>+#REF!</f>
        <v>#REF!</v>
      </c>
      <c r="AS3" s="24"/>
      <c r="AT3" s="24" t="e">
        <f>+#REF!</f>
        <v>#REF!</v>
      </c>
      <c r="AU3" s="24"/>
      <c r="AV3" s="24" t="e">
        <f>+#REF!</f>
        <v>#REF!</v>
      </c>
      <c r="AW3" s="24"/>
      <c r="AX3" s="24" t="e">
        <f>+#REF!</f>
        <v>#REF!</v>
      </c>
      <c r="AY3" s="24"/>
      <c r="AZ3" s="24"/>
      <c r="BA3" s="24"/>
      <c r="BB3" s="24"/>
      <c r="BC3" s="24"/>
      <c r="BD3" s="26"/>
      <c r="BE3" s="26"/>
      <c r="BF3" s="26"/>
      <c r="BG3" s="26"/>
      <c r="BH3" s="27"/>
    </row>
    <row r="4" spans="1:62" ht="15">
      <c r="A4" s="28" t="s">
        <v>1070</v>
      </c>
      <c r="B4" s="29"/>
      <c r="C4" s="29"/>
      <c r="D4" s="28"/>
      <c r="E4" s="28"/>
      <c r="F4" s="3"/>
      <c r="H4" s="30"/>
      <c r="I4" s="31" t="e">
        <f>+#REF!</f>
        <v>#REF!</v>
      </c>
      <c r="J4" s="31" t="e">
        <f>+#REF!</f>
        <v>#REF!</v>
      </c>
      <c r="L4" s="31"/>
      <c r="M4" s="32"/>
      <c r="N4" s="33"/>
      <c r="O4" s="32"/>
      <c r="P4" s="33"/>
      <c r="R4" s="33"/>
      <c r="T4" s="33"/>
      <c r="X4" s="31"/>
      <c r="Z4" s="10"/>
      <c r="AB4" s="241"/>
      <c r="AC4" s="241"/>
      <c r="AD4" s="241"/>
      <c r="AE4" s="35"/>
      <c r="AF4" s="34"/>
      <c r="AG4" s="240"/>
      <c r="AH4" s="240"/>
      <c r="AI4" s="17"/>
      <c r="AJ4" s="16"/>
      <c r="AK4" s="24"/>
      <c r="AL4" s="16"/>
      <c r="AM4" s="17"/>
      <c r="AN4" s="31"/>
      <c r="AO4" s="31"/>
      <c r="AP4" s="31"/>
      <c r="AR4" s="34" t="s">
        <v>5</v>
      </c>
      <c r="AU4" s="35"/>
      <c r="AV4" s="34"/>
      <c r="AW4" s="34"/>
      <c r="AX4" s="34" t="s">
        <v>5</v>
      </c>
      <c r="AY4" s="34"/>
      <c r="AZ4" s="34"/>
      <c r="BA4" s="34"/>
      <c r="BB4" s="34"/>
      <c r="BC4" s="34"/>
      <c r="BD4" s="37"/>
      <c r="BE4" s="37"/>
      <c r="BF4" s="37"/>
      <c r="BG4" s="37"/>
      <c r="BH4" s="38"/>
    </row>
    <row r="5" spans="1:62" ht="15">
      <c r="B5" s="29"/>
      <c r="C5" s="29"/>
      <c r="D5" s="28"/>
      <c r="E5" s="28"/>
      <c r="G5" s="28"/>
      <c r="H5" s="5"/>
      <c r="I5" s="41" t="s">
        <v>6</v>
      </c>
      <c r="J5" s="42" t="s">
        <v>7</v>
      </c>
      <c r="L5" s="16" t="s">
        <v>8</v>
      </c>
      <c r="M5" s="16"/>
      <c r="N5" s="16" t="s">
        <v>9</v>
      </c>
      <c r="O5" s="16"/>
      <c r="P5" s="16" t="s">
        <v>9</v>
      </c>
      <c r="Q5" s="17"/>
      <c r="R5" s="43"/>
      <c r="S5" s="17"/>
      <c r="T5" s="16"/>
      <c r="U5" s="17"/>
      <c r="V5" s="16" t="s">
        <v>9</v>
      </c>
      <c r="X5" s="16" t="s">
        <v>9</v>
      </c>
      <c r="Z5" s="34" t="s">
        <v>1</v>
      </c>
      <c r="AB5" s="243" t="s">
        <v>10</v>
      </c>
      <c r="AC5" s="243"/>
      <c r="AD5" s="243"/>
      <c r="AE5" s="35"/>
      <c r="AF5" s="34" t="s">
        <v>1</v>
      </c>
      <c r="AG5" s="17"/>
      <c r="AH5" s="16" t="s">
        <v>11</v>
      </c>
      <c r="AI5" s="17"/>
      <c r="AJ5" s="16" t="s">
        <v>1</v>
      </c>
      <c r="AK5" s="24"/>
      <c r="AL5" s="43" t="s">
        <v>12</v>
      </c>
      <c r="AM5" s="17"/>
      <c r="AN5" s="16" t="s">
        <v>1</v>
      </c>
      <c r="AO5" s="45" t="s">
        <v>1</v>
      </c>
      <c r="AP5" s="46" t="s">
        <v>5</v>
      </c>
      <c r="AQ5" s="47"/>
      <c r="AR5" s="48" t="s">
        <v>10</v>
      </c>
      <c r="AS5" s="47"/>
      <c r="AT5" s="47"/>
      <c r="AU5" s="47"/>
      <c r="AV5" s="46" t="s">
        <v>5</v>
      </c>
      <c r="AW5" s="34"/>
      <c r="AX5" s="49" t="s">
        <v>3</v>
      </c>
      <c r="AY5" s="34"/>
      <c r="AZ5" s="34" t="s">
        <v>1054</v>
      </c>
      <c r="BA5" s="34" t="s">
        <v>1054</v>
      </c>
      <c r="BB5" s="34" t="s">
        <v>1069</v>
      </c>
      <c r="BC5" s="34"/>
      <c r="BD5" s="50" t="s">
        <v>13</v>
      </c>
      <c r="BE5" s="37"/>
      <c r="BF5" s="37"/>
      <c r="BG5" s="37"/>
      <c r="BH5" s="51"/>
    </row>
    <row r="6" spans="1:62">
      <c r="A6" s="242"/>
      <c r="B6" s="242"/>
      <c r="C6" s="242"/>
      <c r="D6" s="242"/>
      <c r="E6" s="242"/>
      <c r="F6" s="242"/>
      <c r="G6" s="22"/>
      <c r="H6" s="5"/>
      <c r="I6" s="52" t="s">
        <v>14</v>
      </c>
      <c r="J6" s="52" t="s">
        <v>14</v>
      </c>
      <c r="L6" s="43" t="s">
        <v>14</v>
      </c>
      <c r="M6" s="43"/>
      <c r="N6" s="43" t="s">
        <v>15</v>
      </c>
      <c r="O6" s="43"/>
      <c r="P6" s="43" t="s">
        <v>4</v>
      </c>
      <c r="Q6" s="17"/>
      <c r="R6" s="43" t="s">
        <v>4</v>
      </c>
      <c r="S6" s="43"/>
      <c r="T6" s="43" t="s">
        <v>16</v>
      </c>
      <c r="U6" s="43"/>
      <c r="V6" s="43" t="s">
        <v>4</v>
      </c>
      <c r="W6" s="43"/>
      <c r="X6" s="43" t="s">
        <v>14</v>
      </c>
      <c r="Y6" s="43"/>
      <c r="Z6" s="34" t="s">
        <v>17</v>
      </c>
      <c r="AA6" s="43"/>
      <c r="AB6" s="53" t="s">
        <v>16</v>
      </c>
      <c r="AC6" s="53"/>
      <c r="AD6" s="34"/>
      <c r="AE6" s="53"/>
      <c r="AF6" s="34" t="s">
        <v>17</v>
      </c>
      <c r="AG6" s="43" t="s">
        <v>16</v>
      </c>
      <c r="AH6" s="16" t="s">
        <v>18</v>
      </c>
      <c r="AI6" s="43"/>
      <c r="AJ6" s="16" t="s">
        <v>19</v>
      </c>
      <c r="AK6" s="24"/>
      <c r="AL6" s="43" t="s">
        <v>16</v>
      </c>
      <c r="AM6" s="43"/>
      <c r="AN6" s="43" t="s">
        <v>14</v>
      </c>
      <c r="AO6" s="45" t="s">
        <v>20</v>
      </c>
      <c r="AP6" s="43" t="s">
        <v>14</v>
      </c>
      <c r="AQ6" s="54"/>
      <c r="AR6" s="54" t="s">
        <v>16</v>
      </c>
      <c r="AS6" s="54"/>
      <c r="AT6" s="46"/>
      <c r="AU6" s="54"/>
      <c r="AV6" s="46" t="s">
        <v>19</v>
      </c>
      <c r="AW6" s="34"/>
      <c r="AX6" s="55" t="s">
        <v>16</v>
      </c>
      <c r="AY6" s="34"/>
      <c r="AZ6" s="34" t="s">
        <v>19</v>
      </c>
      <c r="BA6" s="34" t="s">
        <v>19</v>
      </c>
      <c r="BB6" s="34" t="s">
        <v>19</v>
      </c>
      <c r="BC6" s="56"/>
      <c r="BD6" s="50" t="s">
        <v>21</v>
      </c>
      <c r="BE6" s="37"/>
      <c r="BF6" s="37"/>
      <c r="BG6" s="37"/>
      <c r="BH6" s="57"/>
    </row>
    <row r="7" spans="1:62" ht="15">
      <c r="A7" s="237"/>
      <c r="B7" s="237"/>
      <c r="C7" s="237"/>
      <c r="D7" s="237"/>
      <c r="E7" s="237"/>
      <c r="F7" s="237"/>
      <c r="G7" s="59">
        <v>1</v>
      </c>
      <c r="H7" s="60"/>
      <c r="I7" s="52" t="s">
        <v>22</v>
      </c>
      <c r="J7" s="52" t="s">
        <v>22</v>
      </c>
      <c r="L7" s="43" t="s">
        <v>22</v>
      </c>
      <c r="M7" s="43"/>
      <c r="N7" s="43" t="s">
        <v>23</v>
      </c>
      <c r="O7" s="43"/>
      <c r="P7" s="43" t="s">
        <v>24</v>
      </c>
      <c r="Q7" s="43"/>
      <c r="R7" s="43" t="s">
        <v>24</v>
      </c>
      <c r="S7" s="43"/>
      <c r="T7" s="43" t="s">
        <v>25</v>
      </c>
      <c r="U7" s="43"/>
      <c r="V7" s="43" t="s">
        <v>24</v>
      </c>
      <c r="W7" s="43"/>
      <c r="X7" s="43" t="s">
        <v>22</v>
      </c>
      <c r="Y7" s="43"/>
      <c r="Z7" s="53" t="s">
        <v>15</v>
      </c>
      <c r="AA7" s="43"/>
      <c r="AB7" s="53" t="s">
        <v>26</v>
      </c>
      <c r="AC7" s="53"/>
      <c r="AD7" s="53"/>
      <c r="AE7" s="53"/>
      <c r="AF7" s="53" t="s">
        <v>4</v>
      </c>
      <c r="AG7" s="43" t="s">
        <v>26</v>
      </c>
      <c r="AH7" s="43" t="s">
        <v>27</v>
      </c>
      <c r="AI7" s="43"/>
      <c r="AJ7" s="43" t="s">
        <v>4</v>
      </c>
      <c r="AK7" s="24"/>
      <c r="AL7" s="43" t="s">
        <v>26</v>
      </c>
      <c r="AM7" s="43"/>
      <c r="AN7" s="43" t="s">
        <v>22</v>
      </c>
      <c r="AO7" s="61" t="s">
        <v>22</v>
      </c>
      <c r="AP7" s="43" t="s">
        <v>22</v>
      </c>
      <c r="AQ7" s="54"/>
      <c r="AR7" s="54" t="s">
        <v>26</v>
      </c>
      <c r="AS7" s="54"/>
      <c r="AT7" s="54"/>
      <c r="AU7" s="54"/>
      <c r="AV7" s="54" t="s">
        <v>4</v>
      </c>
      <c r="AW7" s="53"/>
      <c r="AX7" s="55" t="s">
        <v>26</v>
      </c>
      <c r="AY7" s="53"/>
      <c r="AZ7" s="34" t="s">
        <v>15</v>
      </c>
      <c r="BA7" s="53" t="s">
        <v>4</v>
      </c>
      <c r="BB7" s="34" t="s">
        <v>15</v>
      </c>
      <c r="BC7" s="56"/>
      <c r="BD7" s="50" t="s">
        <v>28</v>
      </c>
      <c r="BE7" s="62"/>
      <c r="BF7" s="62"/>
      <c r="BG7" s="62"/>
      <c r="BH7" s="57"/>
      <c r="BI7" s="63"/>
    </row>
    <row r="8" spans="1:62" ht="15">
      <c r="A8" s="237" t="s">
        <v>29</v>
      </c>
      <c r="B8" s="237"/>
      <c r="C8" s="237"/>
      <c r="D8" s="237"/>
      <c r="E8" s="237"/>
      <c r="F8" s="64" t="s">
        <v>30</v>
      </c>
      <c r="G8" s="64" t="s">
        <v>31</v>
      </c>
      <c r="H8" s="60"/>
      <c r="I8" s="65" t="s">
        <v>32</v>
      </c>
      <c r="J8" s="65" t="s">
        <v>32</v>
      </c>
      <c r="L8" s="66" t="s">
        <v>32</v>
      </c>
      <c r="M8" s="36"/>
      <c r="N8" s="36" t="s">
        <v>2</v>
      </c>
      <c r="O8" s="36"/>
      <c r="P8" s="36" t="s">
        <v>33</v>
      </c>
      <c r="Q8" s="36"/>
      <c r="R8" s="36" t="s">
        <v>34</v>
      </c>
      <c r="S8" s="36"/>
      <c r="T8" s="36" t="s">
        <v>35</v>
      </c>
      <c r="U8" s="36"/>
      <c r="V8" s="36" t="s">
        <v>36</v>
      </c>
      <c r="W8" s="36"/>
      <c r="X8" s="66" t="s">
        <v>32</v>
      </c>
      <c r="Y8" s="36"/>
      <c r="Z8" s="44" t="s">
        <v>24</v>
      </c>
      <c r="AA8" s="36"/>
      <c r="AB8" s="44" t="s">
        <v>35</v>
      </c>
      <c r="AC8" s="44"/>
      <c r="AD8" s="44" t="s">
        <v>37</v>
      </c>
      <c r="AE8" s="44"/>
      <c r="AF8" s="44" t="s">
        <v>38</v>
      </c>
      <c r="AG8" s="36" t="s">
        <v>35</v>
      </c>
      <c r="AH8" s="36" t="s">
        <v>39</v>
      </c>
      <c r="AI8" s="36"/>
      <c r="AJ8" s="36" t="s">
        <v>40</v>
      </c>
      <c r="AK8" s="24"/>
      <c r="AL8" s="36" t="s">
        <v>35</v>
      </c>
      <c r="AM8" s="36"/>
      <c r="AN8" s="36" t="s">
        <v>32</v>
      </c>
      <c r="AO8" s="67" t="s">
        <v>32</v>
      </c>
      <c r="AP8" s="36" t="s">
        <v>32</v>
      </c>
      <c r="AQ8" s="48"/>
      <c r="AR8" s="48" t="s">
        <v>35</v>
      </c>
      <c r="AS8" s="48"/>
      <c r="AT8" s="48" t="s">
        <v>37</v>
      </c>
      <c r="AU8" s="48"/>
      <c r="AV8" s="48" t="s">
        <v>38</v>
      </c>
      <c r="AW8" s="44"/>
      <c r="AX8" s="49" t="s">
        <v>35</v>
      </c>
      <c r="AY8" s="44"/>
      <c r="AZ8" s="44" t="s">
        <v>2</v>
      </c>
      <c r="BA8" s="44" t="s">
        <v>40</v>
      </c>
      <c r="BB8" s="44" t="s">
        <v>2</v>
      </c>
      <c r="BC8" s="56"/>
      <c r="BD8" s="50" t="s">
        <v>41</v>
      </c>
      <c r="BE8" s="68"/>
      <c r="BF8" s="68"/>
      <c r="BG8" s="68"/>
      <c r="BH8" s="69"/>
    </row>
    <row r="9" spans="1:62" ht="15">
      <c r="A9" s="58"/>
      <c r="B9" s="58"/>
      <c r="C9" s="58"/>
      <c r="D9" s="64"/>
      <c r="E9" s="64"/>
      <c r="F9" s="64"/>
      <c r="G9" s="70"/>
      <c r="H9" s="60"/>
      <c r="J9" s="71"/>
      <c r="AK9" s="24"/>
      <c r="AZ9" s="34"/>
      <c r="BB9" s="34"/>
      <c r="BC9" s="56"/>
      <c r="BH9" s="72">
        <v>2</v>
      </c>
    </row>
    <row r="10" spans="1:62" ht="20.100000000000001" customHeight="1" outlineLevel="1">
      <c r="A10" s="145" t="s">
        <v>938</v>
      </c>
      <c r="B10" s="77"/>
      <c r="C10" s="77"/>
      <c r="D10" s="90"/>
      <c r="E10" s="90"/>
      <c r="F10" s="3"/>
      <c r="H10" s="87"/>
      <c r="L10" s="44"/>
      <c r="M10" s="83"/>
      <c r="N10" s="83"/>
      <c r="O10" s="83"/>
      <c r="P10" s="83"/>
      <c r="Q10" s="83"/>
      <c r="R10" s="83"/>
      <c r="S10" s="83"/>
      <c r="T10" s="83"/>
      <c r="U10" s="83"/>
      <c r="V10" s="83"/>
      <c r="W10" s="83"/>
      <c r="X10" s="83"/>
      <c r="Y10" s="83"/>
      <c r="Z10" s="83"/>
      <c r="AA10" s="83"/>
      <c r="AB10" s="83"/>
      <c r="AD10" s="83"/>
      <c r="AE10" s="83"/>
      <c r="AF10" s="83"/>
      <c r="AG10" s="83"/>
      <c r="AH10" s="83"/>
      <c r="AI10" s="83"/>
      <c r="AJ10" s="83"/>
      <c r="AK10" s="85"/>
      <c r="AL10" s="83"/>
      <c r="AM10" s="83"/>
      <c r="AN10" s="100"/>
      <c r="AO10" s="100"/>
      <c r="AP10" s="100"/>
      <c r="AQ10" s="83"/>
      <c r="AR10" s="83"/>
      <c r="AT10" s="83"/>
      <c r="AU10" s="83"/>
      <c r="AV10" s="83"/>
      <c r="AW10" s="83"/>
      <c r="AX10" s="83"/>
      <c r="AY10" s="83"/>
      <c r="AZ10" s="83"/>
      <c r="BA10" s="83"/>
      <c r="BB10" s="83"/>
      <c r="BC10" s="83"/>
      <c r="BD10" s="83"/>
      <c r="BE10" s="83"/>
      <c r="BF10" s="83"/>
      <c r="BG10" s="83"/>
      <c r="BH10" s="19"/>
    </row>
    <row r="11" spans="1:62" ht="20.100000000000001" customHeight="1" outlineLevel="1">
      <c r="A11" s="77" t="s">
        <v>43</v>
      </c>
      <c r="B11" s="77" t="s">
        <v>203</v>
      </c>
      <c r="C11" s="77" t="s">
        <v>1106</v>
      </c>
      <c r="D11" s="78" t="s">
        <v>46</v>
      </c>
      <c r="E11" s="78" t="str">
        <f>+D11</f>
        <v>000</v>
      </c>
      <c r="F11" s="3">
        <v>634013</v>
      </c>
      <c r="G11" s="102" t="s">
        <v>939</v>
      </c>
      <c r="H11" s="87"/>
      <c r="I11" s="82">
        <v>9444</v>
      </c>
      <c r="J11" s="82">
        <v>1062</v>
      </c>
      <c r="L11" s="83">
        <v>16500</v>
      </c>
      <c r="M11" s="83"/>
      <c r="N11" s="83">
        <v>20000</v>
      </c>
      <c r="O11" s="83"/>
      <c r="P11" s="83">
        <v>20000</v>
      </c>
      <c r="Q11" s="83"/>
      <c r="R11" s="83">
        <v>20000</v>
      </c>
      <c r="S11" s="83"/>
      <c r="T11" s="83">
        <v>0</v>
      </c>
      <c r="U11" s="83"/>
      <c r="V11" s="83">
        <v>20000</v>
      </c>
      <c r="W11" s="83"/>
      <c r="X11" s="83">
        <v>0</v>
      </c>
      <c r="Y11" s="83"/>
      <c r="Z11" s="83">
        <v>20000</v>
      </c>
      <c r="AA11" s="83"/>
      <c r="AB11" s="83"/>
      <c r="AD11" s="83"/>
      <c r="AE11" s="83"/>
      <c r="AF11" s="86">
        <f t="shared" ref="AF11:AF36" si="0">SUM(Z11:AE11)</f>
        <v>20000</v>
      </c>
      <c r="AG11" s="83">
        <v>0</v>
      </c>
      <c r="AH11" s="83">
        <v>0</v>
      </c>
      <c r="AI11" s="83"/>
      <c r="AJ11" s="86">
        <f t="shared" ref="AJ11:AJ36" si="1">SUM(AE11:AI11)</f>
        <v>20000</v>
      </c>
      <c r="AK11" s="85"/>
      <c r="AL11" s="83">
        <v>0</v>
      </c>
      <c r="AM11" s="83"/>
      <c r="AN11" s="86">
        <f t="shared" ref="AN11:AN36" si="2">SUM(AI11:AM11)</f>
        <v>20000</v>
      </c>
      <c r="AO11" s="86">
        <v>0</v>
      </c>
      <c r="AP11" s="86">
        <v>0</v>
      </c>
      <c r="AQ11" s="83"/>
      <c r="AR11" s="83">
        <v>0</v>
      </c>
      <c r="AT11" s="83">
        <v>0</v>
      </c>
      <c r="AU11" s="83"/>
      <c r="AV11" s="86">
        <f t="shared" ref="AV11:AV36" si="3">SUM(AP11:AU11)</f>
        <v>0</v>
      </c>
      <c r="AW11" s="86"/>
      <c r="AX11" s="86">
        <v>0</v>
      </c>
      <c r="AY11" s="86"/>
      <c r="AZ11" s="86">
        <v>20000</v>
      </c>
      <c r="BA11" s="86">
        <v>27500</v>
      </c>
      <c r="BB11" s="214"/>
      <c r="BC11" s="86"/>
      <c r="BD11" s="84">
        <f t="shared" ref="BD11:BD51" si="4">+AP11-AN11</f>
        <v>-20000</v>
      </c>
      <c r="BE11" s="86"/>
      <c r="BF11" s="86"/>
      <c r="BG11" s="86"/>
      <c r="BH11" s="72"/>
    </row>
    <row r="12" spans="1:62" ht="20.100000000000001" customHeight="1" outlineLevel="1">
      <c r="A12" s="77" t="s">
        <v>43</v>
      </c>
      <c r="B12" s="77" t="s">
        <v>203</v>
      </c>
      <c r="C12" s="77" t="s">
        <v>1106</v>
      </c>
      <c r="D12" s="78" t="s">
        <v>46</v>
      </c>
      <c r="E12" s="78" t="str">
        <f t="shared" ref="E12:E34" si="5">+D12</f>
        <v>000</v>
      </c>
      <c r="F12" s="3">
        <v>661011</v>
      </c>
      <c r="G12" s="102" t="s">
        <v>940</v>
      </c>
      <c r="H12" s="87"/>
      <c r="I12" s="13">
        <v>70464</v>
      </c>
      <c r="J12" s="13">
        <v>126681</v>
      </c>
      <c r="L12" s="56">
        <v>137384</v>
      </c>
      <c r="M12" s="56"/>
      <c r="N12" s="56">
        <v>140750</v>
      </c>
      <c r="O12" s="56"/>
      <c r="P12" s="56">
        <v>300018</v>
      </c>
      <c r="Q12" s="56"/>
      <c r="R12" s="56">
        <v>443607</v>
      </c>
      <c r="S12" s="56"/>
      <c r="T12" s="56">
        <v>0</v>
      </c>
      <c r="U12" s="56"/>
      <c r="V12" s="56">
        <v>443607</v>
      </c>
      <c r="W12" s="56"/>
      <c r="X12" s="56">
        <v>750966.15</v>
      </c>
      <c r="Y12" s="56"/>
      <c r="Z12" s="56">
        <v>762000</v>
      </c>
      <c r="AA12" s="56"/>
      <c r="AB12" s="56"/>
      <c r="AD12" s="56">
        <v>300</v>
      </c>
      <c r="AE12" s="56"/>
      <c r="AF12" s="56">
        <f t="shared" si="0"/>
        <v>762300</v>
      </c>
      <c r="AG12" s="56">
        <v>0</v>
      </c>
      <c r="AH12" s="56">
        <v>0</v>
      </c>
      <c r="AI12" s="56"/>
      <c r="AJ12" s="56">
        <f t="shared" si="1"/>
        <v>762300</v>
      </c>
      <c r="AK12" s="85"/>
      <c r="AL12" s="56">
        <v>140750</v>
      </c>
      <c r="AM12" s="56"/>
      <c r="AN12" s="88">
        <f t="shared" si="2"/>
        <v>903050</v>
      </c>
      <c r="AO12" s="88">
        <v>0</v>
      </c>
      <c r="AP12" s="88">
        <v>938687.3</v>
      </c>
      <c r="AQ12" s="56"/>
      <c r="AR12" s="56">
        <v>0</v>
      </c>
      <c r="AT12" s="56">
        <v>28678</v>
      </c>
      <c r="AU12" s="56"/>
      <c r="AV12" s="56">
        <f t="shared" si="3"/>
        <v>967365.3</v>
      </c>
      <c r="AW12" s="56"/>
      <c r="AX12" s="56">
        <v>0</v>
      </c>
      <c r="AY12" s="56"/>
      <c r="AZ12" s="88">
        <v>138678</v>
      </c>
      <c r="BA12" s="56">
        <v>138678</v>
      </c>
      <c r="BB12" s="214"/>
      <c r="BC12" s="56"/>
      <c r="BD12" s="84">
        <f t="shared" si="4"/>
        <v>35637.300000000047</v>
      </c>
      <c r="BE12" s="56"/>
      <c r="BF12" s="56"/>
      <c r="BG12" s="56"/>
      <c r="BH12" s="72"/>
    </row>
    <row r="13" spans="1:62" ht="20.100000000000001" customHeight="1" outlineLevel="1">
      <c r="A13" s="77" t="s">
        <v>43</v>
      </c>
      <c r="B13" s="77" t="s">
        <v>203</v>
      </c>
      <c r="C13" s="77" t="s">
        <v>1106</v>
      </c>
      <c r="D13" s="78" t="s">
        <v>46</v>
      </c>
      <c r="E13" s="78" t="str">
        <f t="shared" si="5"/>
        <v>000</v>
      </c>
      <c r="F13" s="3">
        <v>673022</v>
      </c>
      <c r="G13" s="102" t="s">
        <v>941</v>
      </c>
      <c r="H13" s="87"/>
      <c r="I13" s="13">
        <v>269342</v>
      </c>
      <c r="J13" s="13">
        <v>721006</v>
      </c>
      <c r="L13" s="56">
        <v>565818</v>
      </c>
      <c r="M13" s="56"/>
      <c r="N13" s="56">
        <v>769500</v>
      </c>
      <c r="O13" s="56"/>
      <c r="P13" s="56">
        <v>616979</v>
      </c>
      <c r="Q13" s="56"/>
      <c r="R13" s="56">
        <v>473390</v>
      </c>
      <c r="S13" s="56"/>
      <c r="T13" s="56">
        <v>0</v>
      </c>
      <c r="U13" s="56"/>
      <c r="V13" s="56">
        <v>473390</v>
      </c>
      <c r="W13" s="56"/>
      <c r="X13" s="56">
        <v>165742.32999999999</v>
      </c>
      <c r="Y13" s="56"/>
      <c r="Z13" s="56">
        <v>140750</v>
      </c>
      <c r="AA13" s="56"/>
      <c r="AB13" s="56"/>
      <c r="AD13" s="56"/>
      <c r="AE13" s="56"/>
      <c r="AF13" s="56">
        <f t="shared" si="0"/>
        <v>140750</v>
      </c>
      <c r="AG13" s="56">
        <v>0</v>
      </c>
      <c r="AH13" s="56">
        <v>0</v>
      </c>
      <c r="AI13" s="56"/>
      <c r="AJ13" s="56">
        <f t="shared" si="1"/>
        <v>140750</v>
      </c>
      <c r="AK13" s="85"/>
      <c r="AL13" s="56">
        <v>-140750</v>
      </c>
      <c r="AM13" s="56"/>
      <c r="AN13" s="88">
        <f t="shared" si="2"/>
        <v>0</v>
      </c>
      <c r="AO13" s="88">
        <v>0</v>
      </c>
      <c r="AP13" s="88">
        <v>0</v>
      </c>
      <c r="AQ13" s="56"/>
      <c r="AR13" s="56">
        <v>0</v>
      </c>
      <c r="AT13" s="56">
        <v>0</v>
      </c>
      <c r="AU13" s="56"/>
      <c r="AV13" s="56">
        <f t="shared" si="3"/>
        <v>0</v>
      </c>
      <c r="AW13" s="56"/>
      <c r="AX13" s="56">
        <v>0</v>
      </c>
      <c r="AY13" s="56"/>
      <c r="AZ13" s="88">
        <v>0</v>
      </c>
      <c r="BA13" s="56">
        <v>0</v>
      </c>
      <c r="BB13" s="214"/>
      <c r="BC13" s="56"/>
      <c r="BD13" s="84">
        <f t="shared" si="4"/>
        <v>0</v>
      </c>
      <c r="BE13" s="56"/>
      <c r="BF13" s="56"/>
      <c r="BG13" s="56"/>
      <c r="BH13" s="72"/>
    </row>
    <row r="14" spans="1:62" ht="20.100000000000001" customHeight="1" outlineLevel="1">
      <c r="A14" s="77" t="s">
        <v>43</v>
      </c>
      <c r="B14" s="77" t="s">
        <v>218</v>
      </c>
      <c r="C14" s="77" t="s">
        <v>1106</v>
      </c>
      <c r="D14" s="78" t="s">
        <v>46</v>
      </c>
      <c r="E14" s="78" t="str">
        <f t="shared" si="5"/>
        <v>000</v>
      </c>
      <c r="F14" s="3">
        <v>611824</v>
      </c>
      <c r="G14" s="102" t="s">
        <v>942</v>
      </c>
      <c r="H14" s="87"/>
      <c r="I14" s="13">
        <v>0</v>
      </c>
      <c r="J14" s="13">
        <v>0</v>
      </c>
      <c r="L14" s="56">
        <v>34801</v>
      </c>
      <c r="M14" s="56"/>
      <c r="N14" s="56">
        <v>0</v>
      </c>
      <c r="O14" s="56"/>
      <c r="P14" s="56">
        <v>0</v>
      </c>
      <c r="Q14" s="56"/>
      <c r="R14" s="56">
        <v>0</v>
      </c>
      <c r="S14" s="56"/>
      <c r="T14" s="56">
        <v>0</v>
      </c>
      <c r="U14" s="56"/>
      <c r="V14" s="56">
        <v>0</v>
      </c>
      <c r="W14" s="56"/>
      <c r="X14" s="56">
        <v>35801</v>
      </c>
      <c r="Y14" s="56"/>
      <c r="Z14" s="56">
        <v>34801</v>
      </c>
      <c r="AA14" s="56"/>
      <c r="AB14" s="56"/>
      <c r="AD14" s="56"/>
      <c r="AE14" s="56"/>
      <c r="AF14" s="56">
        <f t="shared" si="0"/>
        <v>34801</v>
      </c>
      <c r="AG14" s="56">
        <v>0</v>
      </c>
      <c r="AH14" s="56">
        <v>0</v>
      </c>
      <c r="AI14" s="56"/>
      <c r="AJ14" s="56">
        <f t="shared" si="1"/>
        <v>34801</v>
      </c>
      <c r="AK14" s="85"/>
      <c r="AL14" s="56">
        <v>0</v>
      </c>
      <c r="AM14" s="56"/>
      <c r="AN14" s="88">
        <f t="shared" si="2"/>
        <v>34801</v>
      </c>
      <c r="AO14" s="88">
        <v>0</v>
      </c>
      <c r="AP14" s="88">
        <v>25900</v>
      </c>
      <c r="AQ14" s="56"/>
      <c r="AR14" s="56">
        <v>0</v>
      </c>
      <c r="AT14" s="56">
        <v>0</v>
      </c>
      <c r="AU14" s="56"/>
      <c r="AV14" s="56">
        <f t="shared" si="3"/>
        <v>25900</v>
      </c>
      <c r="AW14" s="56"/>
      <c r="AX14" s="56">
        <v>0</v>
      </c>
      <c r="AY14" s="56"/>
      <c r="AZ14" s="88">
        <v>34801</v>
      </c>
      <c r="BA14" s="56">
        <v>45501</v>
      </c>
      <c r="BB14" s="214"/>
      <c r="BC14" s="56"/>
      <c r="BD14" s="84">
        <f t="shared" si="4"/>
        <v>-8901</v>
      </c>
      <c r="BE14" s="56"/>
      <c r="BF14" s="56"/>
      <c r="BG14" s="56"/>
      <c r="BH14" s="72">
        <v>1</v>
      </c>
      <c r="BJ14">
        <v>1</v>
      </c>
    </row>
    <row r="15" spans="1:62" ht="20.100000000000001" customHeight="1" outlineLevel="1">
      <c r="A15" s="77" t="s">
        <v>43</v>
      </c>
      <c r="B15" s="77" t="s">
        <v>844</v>
      </c>
      <c r="C15" s="77" t="s">
        <v>1106</v>
      </c>
      <c r="D15" s="78" t="s">
        <v>46</v>
      </c>
      <c r="E15" s="78" t="str">
        <f t="shared" si="5"/>
        <v>000</v>
      </c>
      <c r="F15" s="3">
        <v>633412</v>
      </c>
      <c r="G15" s="102" t="s">
        <v>668</v>
      </c>
      <c r="H15" s="87"/>
      <c r="I15" s="13">
        <v>0</v>
      </c>
      <c r="J15" s="13">
        <v>85</v>
      </c>
      <c r="L15" s="56">
        <v>0</v>
      </c>
      <c r="M15" s="56"/>
      <c r="N15" s="56">
        <v>0</v>
      </c>
      <c r="O15" s="56"/>
      <c r="P15" s="56">
        <v>0</v>
      </c>
      <c r="Q15" s="56"/>
      <c r="R15" s="56">
        <v>0</v>
      </c>
      <c r="S15" s="56"/>
      <c r="T15" s="56">
        <v>0</v>
      </c>
      <c r="U15" s="56"/>
      <c r="V15" s="56">
        <v>0</v>
      </c>
      <c r="W15" s="56"/>
      <c r="X15" s="56">
        <v>0</v>
      </c>
      <c r="Y15" s="56"/>
      <c r="Z15" s="56">
        <v>0</v>
      </c>
      <c r="AA15" s="56"/>
      <c r="AB15" s="56"/>
      <c r="AD15" s="56"/>
      <c r="AE15" s="56"/>
      <c r="AF15" s="56">
        <f t="shared" si="0"/>
        <v>0</v>
      </c>
      <c r="AG15" s="56">
        <v>0</v>
      </c>
      <c r="AH15" s="56">
        <v>0</v>
      </c>
      <c r="AI15" s="56"/>
      <c r="AJ15" s="56">
        <f t="shared" si="1"/>
        <v>0</v>
      </c>
      <c r="AK15" s="85"/>
      <c r="AL15" s="56">
        <v>0</v>
      </c>
      <c r="AM15" s="56"/>
      <c r="AN15" s="88">
        <f t="shared" si="2"/>
        <v>0</v>
      </c>
      <c r="AO15" s="88">
        <v>0</v>
      </c>
      <c r="AP15" s="88">
        <v>0</v>
      </c>
      <c r="AQ15" s="56"/>
      <c r="AR15" s="56">
        <v>0</v>
      </c>
      <c r="AT15" s="56">
        <v>0</v>
      </c>
      <c r="AU15" s="56"/>
      <c r="AV15" s="56">
        <f t="shared" si="3"/>
        <v>0</v>
      </c>
      <c r="AW15" s="56"/>
      <c r="AX15" s="56">
        <v>0</v>
      </c>
      <c r="AY15" s="56"/>
      <c r="AZ15" s="88">
        <v>0</v>
      </c>
      <c r="BA15" s="56">
        <v>0</v>
      </c>
      <c r="BB15" s="214"/>
      <c r="BC15" s="56"/>
      <c r="BD15" s="84">
        <f t="shared" si="4"/>
        <v>0</v>
      </c>
      <c r="BE15" s="56"/>
      <c r="BF15" s="56"/>
      <c r="BG15" s="56"/>
      <c r="BH15" s="72"/>
    </row>
    <row r="16" spans="1:62" ht="20.100000000000001" customHeight="1" outlineLevel="1">
      <c r="A16" s="77" t="s">
        <v>43</v>
      </c>
      <c r="B16" s="77" t="s">
        <v>844</v>
      </c>
      <c r="C16" s="77" t="s">
        <v>1106</v>
      </c>
      <c r="D16" s="78" t="s">
        <v>46</v>
      </c>
      <c r="E16" s="78" t="str">
        <f t="shared" si="5"/>
        <v>000</v>
      </c>
      <c r="F16" s="3">
        <v>658011</v>
      </c>
      <c r="G16" s="102" t="s">
        <v>864</v>
      </c>
      <c r="H16" s="87"/>
      <c r="I16" s="13"/>
      <c r="J16" s="13">
        <v>0</v>
      </c>
      <c r="L16" s="56">
        <v>0</v>
      </c>
      <c r="M16" s="56"/>
      <c r="N16" s="56">
        <v>0</v>
      </c>
      <c r="O16" s="56"/>
      <c r="P16" s="56">
        <v>0</v>
      </c>
      <c r="Q16" s="56"/>
      <c r="R16" s="56">
        <v>0</v>
      </c>
      <c r="S16" s="56"/>
      <c r="T16" s="56">
        <v>0</v>
      </c>
      <c r="U16" s="56"/>
      <c r="V16" s="56">
        <v>0</v>
      </c>
      <c r="W16" s="56"/>
      <c r="X16" s="56">
        <v>0</v>
      </c>
      <c r="Y16" s="56"/>
      <c r="Z16" s="56">
        <v>0</v>
      </c>
      <c r="AA16" s="56"/>
      <c r="AB16" s="56"/>
      <c r="AD16" s="56"/>
      <c r="AE16" s="56"/>
      <c r="AF16" s="56">
        <f t="shared" si="0"/>
        <v>0</v>
      </c>
      <c r="AG16" s="56">
        <v>0</v>
      </c>
      <c r="AH16" s="56">
        <v>0</v>
      </c>
      <c r="AI16" s="56"/>
      <c r="AJ16" s="56">
        <f t="shared" si="1"/>
        <v>0</v>
      </c>
      <c r="AK16" s="85"/>
      <c r="AL16" s="56">
        <v>0</v>
      </c>
      <c r="AM16" s="56"/>
      <c r="AN16" s="88">
        <f t="shared" si="2"/>
        <v>0</v>
      </c>
      <c r="AO16" s="88">
        <v>0</v>
      </c>
      <c r="AP16" s="88">
        <v>0</v>
      </c>
      <c r="AQ16" s="56"/>
      <c r="AR16" s="56">
        <v>0</v>
      </c>
      <c r="AT16" s="56">
        <v>0</v>
      </c>
      <c r="AU16" s="56"/>
      <c r="AV16" s="56">
        <f t="shared" si="3"/>
        <v>0</v>
      </c>
      <c r="AW16" s="56"/>
      <c r="AX16" s="56">
        <v>0</v>
      </c>
      <c r="AY16" s="56"/>
      <c r="AZ16" s="88">
        <v>0</v>
      </c>
      <c r="BA16" s="56">
        <v>0</v>
      </c>
      <c r="BB16" s="214"/>
      <c r="BC16" s="56"/>
      <c r="BD16" s="84">
        <f t="shared" si="4"/>
        <v>0</v>
      </c>
      <c r="BE16" s="56"/>
      <c r="BF16" s="56"/>
      <c r="BG16" s="56"/>
      <c r="BH16" s="72"/>
    </row>
    <row r="17" spans="1:62" ht="20.100000000000001" customHeight="1" outlineLevel="1">
      <c r="A17" s="77" t="s">
        <v>43</v>
      </c>
      <c r="B17" s="77" t="s">
        <v>216</v>
      </c>
      <c r="C17" s="77" t="s">
        <v>1106</v>
      </c>
      <c r="D17" s="78" t="s">
        <v>46</v>
      </c>
      <c r="E17" s="78" t="str">
        <f t="shared" si="5"/>
        <v>000</v>
      </c>
      <c r="F17" s="3">
        <v>611116</v>
      </c>
      <c r="G17" s="102" t="s">
        <v>943</v>
      </c>
      <c r="H17" s="87"/>
      <c r="I17" s="13">
        <v>69682</v>
      </c>
      <c r="J17" s="13">
        <v>69842</v>
      </c>
      <c r="L17" s="56">
        <v>75755</v>
      </c>
      <c r="M17" s="56"/>
      <c r="N17" s="56">
        <v>83850</v>
      </c>
      <c r="O17" s="56"/>
      <c r="P17" s="56">
        <v>83850</v>
      </c>
      <c r="Q17" s="56"/>
      <c r="R17" s="56">
        <v>85550</v>
      </c>
      <c r="S17" s="56"/>
      <c r="T17" s="56">
        <v>0</v>
      </c>
      <c r="U17" s="56"/>
      <c r="V17" s="56">
        <v>85550</v>
      </c>
      <c r="W17" s="56"/>
      <c r="X17" s="56">
        <v>85549.96</v>
      </c>
      <c r="Y17" s="56"/>
      <c r="Z17" s="56">
        <v>85439</v>
      </c>
      <c r="AA17" s="56"/>
      <c r="AB17" s="56"/>
      <c r="AD17" s="56"/>
      <c r="AE17" s="56"/>
      <c r="AF17" s="56">
        <f t="shared" si="0"/>
        <v>85439</v>
      </c>
      <c r="AG17" s="56">
        <v>0</v>
      </c>
      <c r="AH17" s="56">
        <v>1250</v>
      </c>
      <c r="AI17" s="56"/>
      <c r="AJ17" s="56">
        <f t="shared" si="1"/>
        <v>86689</v>
      </c>
      <c r="AK17" s="85"/>
      <c r="AL17" s="56">
        <v>0</v>
      </c>
      <c r="AM17" s="56"/>
      <c r="AN17" s="88">
        <f t="shared" si="2"/>
        <v>86689</v>
      </c>
      <c r="AO17" s="88">
        <v>0</v>
      </c>
      <c r="AP17" s="88">
        <v>85438</v>
      </c>
      <c r="AQ17" s="56"/>
      <c r="AR17" s="56">
        <v>0</v>
      </c>
      <c r="AT17" s="56">
        <v>0</v>
      </c>
      <c r="AU17" s="56"/>
      <c r="AV17" s="56">
        <f t="shared" si="3"/>
        <v>85438</v>
      </c>
      <c r="AW17" s="56"/>
      <c r="AX17" s="56">
        <v>0</v>
      </c>
      <c r="AY17" s="56"/>
      <c r="AZ17" s="88">
        <v>85439</v>
      </c>
      <c r="BA17" s="56">
        <v>85439</v>
      </c>
      <c r="BB17" s="214"/>
      <c r="BC17" s="56"/>
      <c r="BD17" s="84">
        <f t="shared" si="4"/>
        <v>-1251</v>
      </c>
      <c r="BE17" s="56"/>
      <c r="BF17" s="56"/>
      <c r="BG17" s="56"/>
      <c r="BH17" s="72">
        <v>1</v>
      </c>
      <c r="BJ17">
        <v>1</v>
      </c>
    </row>
    <row r="18" spans="1:62" ht="20.100000000000001" customHeight="1" outlineLevel="1">
      <c r="A18" s="77" t="s">
        <v>43</v>
      </c>
      <c r="B18" s="77" t="s">
        <v>216</v>
      </c>
      <c r="C18" s="77" t="s">
        <v>1106</v>
      </c>
      <c r="D18" s="78" t="s">
        <v>46</v>
      </c>
      <c r="E18" s="78" t="str">
        <f t="shared" si="5"/>
        <v>000</v>
      </c>
      <c r="F18" s="3">
        <v>611411</v>
      </c>
      <c r="G18" s="102" t="s">
        <v>944</v>
      </c>
      <c r="H18" s="87"/>
      <c r="I18" s="13">
        <v>36189</v>
      </c>
      <c r="J18" s="13">
        <v>29224</v>
      </c>
      <c r="L18" s="56">
        <v>42159</v>
      </c>
      <c r="M18" s="56"/>
      <c r="N18" s="56">
        <v>47935</v>
      </c>
      <c r="O18" s="56"/>
      <c r="P18" s="56">
        <v>47935</v>
      </c>
      <c r="Q18" s="56"/>
      <c r="R18" s="56">
        <v>51335</v>
      </c>
      <c r="S18" s="56"/>
      <c r="T18" s="56">
        <v>0</v>
      </c>
      <c r="U18" s="56"/>
      <c r="V18" s="56">
        <v>51335</v>
      </c>
      <c r="W18" s="56"/>
      <c r="X18" s="56">
        <v>33135</v>
      </c>
      <c r="Y18" s="56"/>
      <c r="Z18" s="56">
        <v>46618</v>
      </c>
      <c r="AA18" s="56"/>
      <c r="AB18" s="56"/>
      <c r="AD18" s="56"/>
      <c r="AE18" s="56"/>
      <c r="AF18" s="56">
        <f t="shared" si="0"/>
        <v>46618</v>
      </c>
      <c r="AG18" s="104">
        <v>-3500</v>
      </c>
      <c r="AH18" s="56">
        <v>4500</v>
      </c>
      <c r="AI18" s="56"/>
      <c r="AJ18" s="56">
        <f t="shared" si="1"/>
        <v>47618</v>
      </c>
      <c r="AK18" s="85"/>
      <c r="AL18" s="56">
        <v>0</v>
      </c>
      <c r="AM18" s="56"/>
      <c r="AN18" s="88">
        <f t="shared" si="2"/>
        <v>47618</v>
      </c>
      <c r="AO18" s="88">
        <v>0</v>
      </c>
      <c r="AP18" s="88">
        <v>31216.47</v>
      </c>
      <c r="AQ18" s="56"/>
      <c r="AR18" s="56">
        <v>0</v>
      </c>
      <c r="AT18" s="56">
        <v>0</v>
      </c>
      <c r="AU18" s="56"/>
      <c r="AV18" s="56">
        <f t="shared" si="3"/>
        <v>31216.47</v>
      </c>
      <c r="AW18" s="56"/>
      <c r="AX18" s="56">
        <v>0</v>
      </c>
      <c r="AY18" s="56"/>
      <c r="AZ18" s="88">
        <v>41514</v>
      </c>
      <c r="BA18" s="56">
        <v>42172</v>
      </c>
      <c r="BB18" s="214"/>
      <c r="BC18" s="56"/>
      <c r="BD18" s="84">
        <f t="shared" si="4"/>
        <v>-16401.53</v>
      </c>
      <c r="BE18" s="56"/>
      <c r="BF18" s="56"/>
      <c r="BG18" s="56"/>
      <c r="BH18" s="72">
        <v>1</v>
      </c>
      <c r="BJ18">
        <v>1</v>
      </c>
    </row>
    <row r="19" spans="1:62" ht="20.100000000000001" customHeight="1" outlineLevel="1">
      <c r="A19" s="77" t="s">
        <v>43</v>
      </c>
      <c r="B19" s="77" t="s">
        <v>218</v>
      </c>
      <c r="C19" s="77" t="s">
        <v>1106</v>
      </c>
      <c r="D19" s="78" t="s">
        <v>46</v>
      </c>
      <c r="E19" s="78" t="str">
        <f t="shared" si="5"/>
        <v>000</v>
      </c>
      <c r="F19" s="3">
        <v>611342</v>
      </c>
      <c r="G19" s="102" t="s">
        <v>945</v>
      </c>
      <c r="H19" s="87"/>
      <c r="I19" s="13">
        <v>40428</v>
      </c>
      <c r="J19" s="13">
        <v>96898</v>
      </c>
      <c r="L19" s="56">
        <v>207355</v>
      </c>
      <c r="M19" s="56"/>
      <c r="N19" s="56">
        <v>337638</v>
      </c>
      <c r="O19" s="56"/>
      <c r="P19" s="56">
        <v>337638</v>
      </c>
      <c r="Q19" s="56"/>
      <c r="R19" s="56">
        <v>363160</v>
      </c>
      <c r="S19" s="56"/>
      <c r="T19" s="56">
        <v>0</v>
      </c>
      <c r="U19" s="56"/>
      <c r="V19" s="56">
        <v>363160</v>
      </c>
      <c r="W19" s="56"/>
      <c r="X19" s="56">
        <v>287206.12</v>
      </c>
      <c r="Y19" s="56"/>
      <c r="Z19" s="56">
        <v>350641</v>
      </c>
      <c r="AA19" s="56"/>
      <c r="AB19" s="56"/>
      <c r="AD19" s="56"/>
      <c r="AE19" s="56"/>
      <c r="AF19" s="56">
        <f t="shared" si="0"/>
        <v>350641</v>
      </c>
      <c r="AG19" s="104">
        <v>-43000</v>
      </c>
      <c r="AH19" s="56">
        <v>6250</v>
      </c>
      <c r="AI19" s="56"/>
      <c r="AJ19" s="56">
        <f t="shared" si="1"/>
        <v>313891</v>
      </c>
      <c r="AK19" s="85"/>
      <c r="AL19" s="56">
        <v>0</v>
      </c>
      <c r="AM19" s="56"/>
      <c r="AN19" s="88">
        <f t="shared" si="2"/>
        <v>313891</v>
      </c>
      <c r="AO19" s="88">
        <v>0</v>
      </c>
      <c r="AP19" s="88">
        <v>310229.92</v>
      </c>
      <c r="AQ19" s="56"/>
      <c r="AR19" s="56">
        <v>0</v>
      </c>
      <c r="AT19" s="56">
        <v>0</v>
      </c>
      <c r="AU19" s="56"/>
      <c r="AV19" s="56">
        <f t="shared" si="3"/>
        <v>310229.92</v>
      </c>
      <c r="AW19" s="56"/>
      <c r="AX19" s="106">
        <v>-62031</v>
      </c>
      <c r="AY19" s="56"/>
      <c r="AZ19" s="88">
        <v>238231</v>
      </c>
      <c r="BA19" s="56">
        <v>241955</v>
      </c>
      <c r="BB19" s="214"/>
      <c r="BC19" s="56"/>
      <c r="BD19" s="84">
        <f t="shared" si="4"/>
        <v>-3661.0800000000163</v>
      </c>
      <c r="BE19" s="56"/>
      <c r="BF19" s="56"/>
      <c r="BG19" s="56"/>
      <c r="BH19" s="72">
        <v>1</v>
      </c>
      <c r="BJ19">
        <v>1</v>
      </c>
    </row>
    <row r="20" spans="1:62" ht="20.100000000000001" customHeight="1" outlineLevel="1">
      <c r="A20" s="77" t="s">
        <v>43</v>
      </c>
      <c r="B20" s="77" t="s">
        <v>218</v>
      </c>
      <c r="C20" s="77" t="s">
        <v>1106</v>
      </c>
      <c r="D20" s="78" t="s">
        <v>46</v>
      </c>
      <c r="E20" s="78" t="str">
        <f t="shared" si="5"/>
        <v>000</v>
      </c>
      <c r="F20" s="3">
        <v>611343</v>
      </c>
      <c r="G20" s="102" t="s">
        <v>946</v>
      </c>
      <c r="H20" s="87"/>
      <c r="I20" s="13"/>
      <c r="J20" s="13">
        <v>36739</v>
      </c>
      <c r="L20" s="56">
        <v>23430</v>
      </c>
      <c r="M20" s="56"/>
      <c r="N20" s="56">
        <v>0</v>
      </c>
      <c r="O20" s="56"/>
      <c r="P20" s="56">
        <v>0</v>
      </c>
      <c r="Q20" s="56"/>
      <c r="R20" s="56">
        <v>595</v>
      </c>
      <c r="S20" s="56"/>
      <c r="T20" s="56">
        <v>0</v>
      </c>
      <c r="U20" s="56"/>
      <c r="V20" s="56">
        <v>595</v>
      </c>
      <c r="W20" s="56"/>
      <c r="X20" s="56">
        <v>27525.78</v>
      </c>
      <c r="Y20" s="56"/>
      <c r="Z20" s="56">
        <v>0</v>
      </c>
      <c r="AA20" s="56"/>
      <c r="AB20" s="56"/>
      <c r="AD20" s="56"/>
      <c r="AE20" s="56"/>
      <c r="AF20" s="56">
        <f t="shared" si="0"/>
        <v>0</v>
      </c>
      <c r="AG20" s="104">
        <v>74120</v>
      </c>
      <c r="AH20" s="56">
        <v>1250</v>
      </c>
      <c r="AI20" s="56"/>
      <c r="AJ20" s="56">
        <f t="shared" si="1"/>
        <v>75370</v>
      </c>
      <c r="AK20" s="85"/>
      <c r="AL20" s="56">
        <v>0</v>
      </c>
      <c r="AM20" s="56"/>
      <c r="AN20" s="88">
        <f t="shared" si="2"/>
        <v>75370</v>
      </c>
      <c r="AO20" s="88">
        <v>0</v>
      </c>
      <c r="AP20" s="88">
        <v>46442.74</v>
      </c>
      <c r="AQ20" s="56"/>
      <c r="AR20" s="56">
        <v>0</v>
      </c>
      <c r="AT20" s="56">
        <v>0</v>
      </c>
      <c r="AU20" s="56"/>
      <c r="AV20" s="56">
        <f t="shared" si="3"/>
        <v>46442.74</v>
      </c>
      <c r="AW20" s="56"/>
      <c r="AX20" s="106">
        <v>69532</v>
      </c>
      <c r="AY20" s="56"/>
      <c r="AZ20" s="88">
        <v>0</v>
      </c>
      <c r="BA20" s="56">
        <v>0</v>
      </c>
      <c r="BB20" s="214"/>
      <c r="BC20" s="56"/>
      <c r="BD20" s="84">
        <f t="shared" si="4"/>
        <v>-28927.260000000002</v>
      </c>
      <c r="BE20" s="56"/>
      <c r="BF20" s="56"/>
      <c r="BG20" s="56"/>
      <c r="BH20" s="72">
        <v>1</v>
      </c>
      <c r="BJ20">
        <v>1</v>
      </c>
    </row>
    <row r="21" spans="1:62" ht="20.100000000000001" customHeight="1" outlineLevel="1">
      <c r="A21" s="77" t="s">
        <v>43</v>
      </c>
      <c r="B21" s="77" t="s">
        <v>218</v>
      </c>
      <c r="C21" s="77" t="s">
        <v>1106</v>
      </c>
      <c r="D21" s="78" t="s">
        <v>46</v>
      </c>
      <c r="E21" s="78" t="str">
        <f t="shared" si="5"/>
        <v>000</v>
      </c>
      <c r="F21" s="3">
        <v>611931</v>
      </c>
      <c r="G21" s="102" t="s">
        <v>947</v>
      </c>
      <c r="H21" s="87"/>
      <c r="I21" s="13">
        <v>0</v>
      </c>
      <c r="J21" s="13">
        <v>59412</v>
      </c>
      <c r="L21" s="56">
        <v>27465</v>
      </c>
      <c r="M21" s="56"/>
      <c r="N21" s="56">
        <v>27161</v>
      </c>
      <c r="O21" s="56"/>
      <c r="P21" s="56">
        <v>27161</v>
      </c>
      <c r="Q21" s="56"/>
      <c r="R21" s="56">
        <v>29111</v>
      </c>
      <c r="S21" s="56"/>
      <c r="T21" s="56">
        <v>0</v>
      </c>
      <c r="U21" s="56"/>
      <c r="V21" s="56">
        <v>29111</v>
      </c>
      <c r="W21" s="56"/>
      <c r="X21" s="56">
        <v>29111</v>
      </c>
      <c r="Y21" s="56"/>
      <c r="Z21" s="56">
        <v>29111</v>
      </c>
      <c r="AA21" s="56"/>
      <c r="AB21" s="56"/>
      <c r="AD21" s="56"/>
      <c r="AE21" s="56"/>
      <c r="AF21" s="56">
        <f t="shared" si="0"/>
        <v>29111</v>
      </c>
      <c r="AG21" s="56">
        <v>0</v>
      </c>
      <c r="AH21" s="56">
        <v>2250</v>
      </c>
      <c r="AI21" s="56"/>
      <c r="AJ21" s="56">
        <f t="shared" si="1"/>
        <v>31361</v>
      </c>
      <c r="AK21" s="85"/>
      <c r="AL21" s="56">
        <v>0</v>
      </c>
      <c r="AM21" s="56"/>
      <c r="AN21" s="88">
        <f t="shared" si="2"/>
        <v>31361</v>
      </c>
      <c r="AO21" s="88">
        <v>0</v>
      </c>
      <c r="AP21" s="88">
        <v>26933.119999999999</v>
      </c>
      <c r="AQ21" s="56"/>
      <c r="AR21" s="56">
        <v>0</v>
      </c>
      <c r="AT21" s="56">
        <v>0</v>
      </c>
      <c r="AU21" s="56"/>
      <c r="AV21" s="56">
        <f t="shared" si="3"/>
        <v>26933.119999999999</v>
      </c>
      <c r="AW21" s="56"/>
      <c r="AX21" s="56">
        <v>0</v>
      </c>
      <c r="AY21" s="56"/>
      <c r="AZ21" s="88">
        <v>27411</v>
      </c>
      <c r="BA21" s="56">
        <v>27411</v>
      </c>
      <c r="BB21" s="214"/>
      <c r="BC21" s="56"/>
      <c r="BD21" s="84">
        <f t="shared" si="4"/>
        <v>-4427.880000000001</v>
      </c>
      <c r="BE21" s="56"/>
      <c r="BF21" s="56"/>
      <c r="BG21" s="56"/>
      <c r="BH21" s="72">
        <v>1</v>
      </c>
      <c r="BJ21">
        <v>1</v>
      </c>
    </row>
    <row r="22" spans="1:62" ht="20.100000000000001" customHeight="1" outlineLevel="1">
      <c r="A22" s="77" t="s">
        <v>43</v>
      </c>
      <c r="B22" s="77" t="s">
        <v>218</v>
      </c>
      <c r="C22" s="77" t="s">
        <v>1106</v>
      </c>
      <c r="D22" s="78" t="s">
        <v>46</v>
      </c>
      <c r="E22" s="78" t="str">
        <f t="shared" si="5"/>
        <v>000</v>
      </c>
      <c r="F22" s="3">
        <v>611923</v>
      </c>
      <c r="G22" s="102" t="s">
        <v>948</v>
      </c>
      <c r="H22" s="87"/>
      <c r="I22" s="13">
        <v>58478</v>
      </c>
      <c r="J22" s="13">
        <v>0</v>
      </c>
      <c r="L22" s="56">
        <v>0</v>
      </c>
      <c r="M22" s="56"/>
      <c r="N22" s="56">
        <v>27000</v>
      </c>
      <c r="O22" s="56"/>
      <c r="P22" s="56">
        <v>27000</v>
      </c>
      <c r="Q22" s="56"/>
      <c r="R22" s="56">
        <v>27000</v>
      </c>
      <c r="S22" s="56"/>
      <c r="T22" s="56">
        <v>0</v>
      </c>
      <c r="U22" s="56"/>
      <c r="V22" s="56">
        <v>27000</v>
      </c>
      <c r="W22" s="56"/>
      <c r="X22" s="56">
        <v>27000</v>
      </c>
      <c r="Y22" s="56"/>
      <c r="Z22" s="56">
        <v>27000</v>
      </c>
      <c r="AA22" s="56"/>
      <c r="AB22" s="56"/>
      <c r="AD22" s="56"/>
      <c r="AE22" s="56"/>
      <c r="AF22" s="56">
        <f t="shared" si="0"/>
        <v>27000</v>
      </c>
      <c r="AG22" s="56">
        <v>0</v>
      </c>
      <c r="AH22" s="56">
        <v>0</v>
      </c>
      <c r="AI22" s="56"/>
      <c r="AJ22" s="56">
        <f t="shared" si="1"/>
        <v>27000</v>
      </c>
      <c r="AK22" s="85"/>
      <c r="AL22" s="56">
        <v>0</v>
      </c>
      <c r="AM22" s="56"/>
      <c r="AN22" s="88">
        <f t="shared" si="2"/>
        <v>27000</v>
      </c>
      <c r="AO22" s="88">
        <v>0</v>
      </c>
      <c r="AP22" s="88">
        <v>27769.03</v>
      </c>
      <c r="AQ22" s="56"/>
      <c r="AR22" s="56">
        <v>0</v>
      </c>
      <c r="AT22" s="56">
        <v>0</v>
      </c>
      <c r="AU22" s="56"/>
      <c r="AV22" s="56">
        <f t="shared" si="3"/>
        <v>27769.03</v>
      </c>
      <c r="AW22" s="56"/>
      <c r="AX22" s="56">
        <v>0</v>
      </c>
      <c r="AY22" s="56"/>
      <c r="AZ22" s="88">
        <v>27000</v>
      </c>
      <c r="BA22" s="56">
        <v>27000</v>
      </c>
      <c r="BB22" s="214"/>
      <c r="BC22" s="56"/>
      <c r="BD22" s="84">
        <f t="shared" si="4"/>
        <v>769.02999999999884</v>
      </c>
      <c r="BE22" s="56"/>
      <c r="BF22" s="56"/>
      <c r="BG22" s="56"/>
      <c r="BH22" s="72">
        <v>1</v>
      </c>
      <c r="BJ22">
        <v>1</v>
      </c>
    </row>
    <row r="23" spans="1:62" ht="20.100000000000001" customHeight="1" outlineLevel="1">
      <c r="A23" s="77" t="s">
        <v>43</v>
      </c>
      <c r="B23" s="77" t="s">
        <v>218</v>
      </c>
      <c r="C23" s="77" t="s">
        <v>1106</v>
      </c>
      <c r="D23" s="78" t="s">
        <v>46</v>
      </c>
      <c r="E23" s="78" t="str">
        <f t="shared" si="5"/>
        <v>000</v>
      </c>
      <c r="F23" s="3">
        <v>633945</v>
      </c>
      <c r="G23" s="102" t="s">
        <v>271</v>
      </c>
      <c r="H23" s="87"/>
      <c r="I23" s="13"/>
      <c r="J23" s="13"/>
      <c r="L23" s="56">
        <v>0</v>
      </c>
      <c r="M23" s="56"/>
      <c r="N23" s="56"/>
      <c r="O23" s="56"/>
      <c r="P23" s="56"/>
      <c r="Q23" s="56"/>
      <c r="R23" s="56"/>
      <c r="S23" s="56"/>
      <c r="T23" s="56"/>
      <c r="U23" s="56"/>
      <c r="V23" s="56"/>
      <c r="W23" s="56"/>
      <c r="X23" s="56">
        <v>0</v>
      </c>
      <c r="Y23" s="56"/>
      <c r="Z23" s="56"/>
      <c r="AA23" s="56"/>
      <c r="AB23" s="56"/>
      <c r="AD23" s="56"/>
      <c r="AE23" s="56"/>
      <c r="AF23" s="56"/>
      <c r="AG23" s="56"/>
      <c r="AH23" s="56"/>
      <c r="AI23" s="56"/>
      <c r="AJ23" s="56"/>
      <c r="AK23" s="85"/>
      <c r="AL23" s="56"/>
      <c r="AM23" s="56"/>
      <c r="AN23" s="88">
        <v>0</v>
      </c>
      <c r="AO23" s="88"/>
      <c r="AP23" s="88">
        <v>15166.6</v>
      </c>
      <c r="AQ23" s="56"/>
      <c r="AR23" s="56"/>
      <c r="AT23" s="56"/>
      <c r="AU23" s="56"/>
      <c r="AV23" s="56"/>
      <c r="AW23" s="56"/>
      <c r="AX23" s="56"/>
      <c r="AY23" s="56"/>
      <c r="AZ23" s="88">
        <v>0</v>
      </c>
      <c r="BA23" s="56">
        <v>0</v>
      </c>
      <c r="BB23" s="214"/>
      <c r="BC23" s="56"/>
      <c r="BD23" s="84"/>
      <c r="BE23" s="56"/>
      <c r="BF23" s="56"/>
      <c r="BG23" s="56"/>
      <c r="BH23" s="72"/>
    </row>
    <row r="24" spans="1:62" ht="20.100000000000001" customHeight="1" outlineLevel="1">
      <c r="A24" s="77" t="s">
        <v>43</v>
      </c>
      <c r="B24" s="77" t="s">
        <v>218</v>
      </c>
      <c r="C24" s="77" t="s">
        <v>1106</v>
      </c>
      <c r="D24" s="78" t="s">
        <v>46</v>
      </c>
      <c r="E24" s="78" t="str">
        <f t="shared" si="5"/>
        <v>000</v>
      </c>
      <c r="F24" s="3">
        <v>653051</v>
      </c>
      <c r="G24" s="102" t="s">
        <v>71</v>
      </c>
      <c r="H24" s="87"/>
      <c r="I24" s="13"/>
      <c r="J24" s="13"/>
      <c r="L24" s="56">
        <v>0</v>
      </c>
      <c r="M24" s="56"/>
      <c r="N24" s="56"/>
      <c r="O24" s="56"/>
      <c r="P24" s="56"/>
      <c r="Q24" s="56"/>
      <c r="R24" s="56"/>
      <c r="S24" s="56"/>
      <c r="T24" s="56"/>
      <c r="U24" s="56"/>
      <c r="V24" s="56"/>
      <c r="W24" s="56"/>
      <c r="X24" s="56">
        <v>0</v>
      </c>
      <c r="Y24" s="56"/>
      <c r="Z24" s="56"/>
      <c r="AA24" s="56"/>
      <c r="AB24" s="56"/>
      <c r="AD24" s="56"/>
      <c r="AE24" s="56"/>
      <c r="AF24" s="56"/>
      <c r="AG24" s="56"/>
      <c r="AH24" s="56"/>
      <c r="AI24" s="56"/>
      <c r="AJ24" s="56"/>
      <c r="AK24" s="85"/>
      <c r="AL24" s="56"/>
      <c r="AM24" s="56"/>
      <c r="AN24" s="88">
        <v>0</v>
      </c>
      <c r="AO24" s="88"/>
      <c r="AP24" s="88">
        <v>197.64</v>
      </c>
      <c r="AQ24" s="56"/>
      <c r="AR24" s="56"/>
      <c r="AT24" s="56"/>
      <c r="AU24" s="56"/>
      <c r="AV24" s="56"/>
      <c r="AW24" s="56"/>
      <c r="AX24" s="56"/>
      <c r="AY24" s="56"/>
      <c r="AZ24" s="88">
        <v>0</v>
      </c>
      <c r="BA24" s="56">
        <v>180</v>
      </c>
      <c r="BB24" s="214"/>
      <c r="BC24" s="56"/>
      <c r="BD24" s="84"/>
      <c r="BE24" s="56"/>
      <c r="BF24" s="56"/>
      <c r="BG24" s="56"/>
      <c r="BH24" s="72"/>
    </row>
    <row r="25" spans="1:62" ht="20.100000000000001" customHeight="1" outlineLevel="1">
      <c r="A25" s="77" t="s">
        <v>43</v>
      </c>
      <c r="B25" s="77" t="s">
        <v>218</v>
      </c>
      <c r="C25" s="77" t="s">
        <v>1106</v>
      </c>
      <c r="D25" s="78" t="s">
        <v>46</v>
      </c>
      <c r="E25" s="78" t="str">
        <f t="shared" si="5"/>
        <v>000</v>
      </c>
      <c r="F25" s="3">
        <v>658012</v>
      </c>
      <c r="G25" s="102" t="s">
        <v>72</v>
      </c>
      <c r="H25" s="87"/>
      <c r="I25" s="13">
        <v>1426</v>
      </c>
      <c r="J25" s="13">
        <v>2688</v>
      </c>
      <c r="L25" s="56">
        <v>4046</v>
      </c>
      <c r="M25" s="56"/>
      <c r="N25" s="56">
        <v>0</v>
      </c>
      <c r="O25" s="56"/>
      <c r="P25" s="56">
        <v>0</v>
      </c>
      <c r="Q25" s="56"/>
      <c r="R25" s="56">
        <v>0</v>
      </c>
      <c r="S25" s="56"/>
      <c r="T25" s="56">
        <v>0</v>
      </c>
      <c r="U25" s="56"/>
      <c r="V25" s="56">
        <v>0</v>
      </c>
      <c r="W25" s="56"/>
      <c r="X25" s="56">
        <v>0</v>
      </c>
      <c r="Y25" s="56"/>
      <c r="Z25" s="56">
        <v>0</v>
      </c>
      <c r="AA25" s="56"/>
      <c r="AB25" s="56"/>
      <c r="AD25" s="56"/>
      <c r="AE25" s="56"/>
      <c r="AF25" s="56">
        <f t="shared" si="0"/>
        <v>0</v>
      </c>
      <c r="AG25" s="56">
        <v>0</v>
      </c>
      <c r="AH25" s="56">
        <v>0</v>
      </c>
      <c r="AI25" s="56"/>
      <c r="AJ25" s="56">
        <f t="shared" si="1"/>
        <v>0</v>
      </c>
      <c r="AK25" s="85"/>
      <c r="AL25" s="56">
        <v>0</v>
      </c>
      <c r="AM25" s="56"/>
      <c r="AN25" s="88">
        <f t="shared" si="2"/>
        <v>0</v>
      </c>
      <c r="AO25" s="88">
        <v>0</v>
      </c>
      <c r="AP25" s="88">
        <v>429.66</v>
      </c>
      <c r="AQ25" s="56"/>
      <c r="AR25" s="56">
        <v>0</v>
      </c>
      <c r="AT25" s="56">
        <v>0</v>
      </c>
      <c r="AU25" s="56"/>
      <c r="AV25" s="56">
        <f t="shared" si="3"/>
        <v>429.66</v>
      </c>
      <c r="AW25" s="56"/>
      <c r="AX25" s="56">
        <v>0</v>
      </c>
      <c r="AY25" s="56"/>
      <c r="AZ25" s="88">
        <v>0</v>
      </c>
      <c r="BA25" s="56">
        <v>0</v>
      </c>
      <c r="BB25" s="214"/>
      <c r="BC25" s="56"/>
      <c r="BD25" s="84">
        <f t="shared" si="4"/>
        <v>429.66</v>
      </c>
      <c r="BE25" s="56"/>
      <c r="BF25" s="56"/>
      <c r="BG25" s="56"/>
      <c r="BH25" s="72"/>
    </row>
    <row r="26" spans="1:62" ht="20.100000000000001" customHeight="1" outlineLevel="1">
      <c r="A26" s="77" t="s">
        <v>43</v>
      </c>
      <c r="B26" s="77" t="s">
        <v>218</v>
      </c>
      <c r="C26" s="77" t="s">
        <v>1106</v>
      </c>
      <c r="D26" s="78" t="s">
        <v>46</v>
      </c>
      <c r="E26" s="78" t="str">
        <f t="shared" si="5"/>
        <v>000</v>
      </c>
      <c r="F26" s="3">
        <v>658211</v>
      </c>
      <c r="G26" s="102" t="s">
        <v>949</v>
      </c>
      <c r="H26" s="87"/>
      <c r="I26" s="13">
        <v>7806</v>
      </c>
      <c r="J26" s="13">
        <v>9903</v>
      </c>
      <c r="L26" s="56">
        <v>9832</v>
      </c>
      <c r="M26" s="56"/>
      <c r="N26" s="56">
        <v>9900</v>
      </c>
      <c r="O26" s="56"/>
      <c r="P26" s="56">
        <v>9900</v>
      </c>
      <c r="Q26" s="56"/>
      <c r="R26" s="56">
        <v>9900</v>
      </c>
      <c r="S26" s="56"/>
      <c r="T26" s="56">
        <v>0</v>
      </c>
      <c r="U26" s="56"/>
      <c r="V26" s="56">
        <v>9900</v>
      </c>
      <c r="W26" s="56"/>
      <c r="X26" s="56">
        <v>33571.39</v>
      </c>
      <c r="Y26" s="56"/>
      <c r="Z26" s="56">
        <v>9900</v>
      </c>
      <c r="AA26" s="56"/>
      <c r="AB26" s="56"/>
      <c r="AD26" s="56"/>
      <c r="AE26" s="56"/>
      <c r="AF26" s="56">
        <f t="shared" si="0"/>
        <v>9900</v>
      </c>
      <c r="AG26" s="56">
        <v>0</v>
      </c>
      <c r="AH26" s="56">
        <v>0</v>
      </c>
      <c r="AI26" s="56"/>
      <c r="AJ26" s="56">
        <f t="shared" si="1"/>
        <v>9900</v>
      </c>
      <c r="AK26" s="85"/>
      <c r="AL26" s="56">
        <v>0</v>
      </c>
      <c r="AM26" s="56"/>
      <c r="AN26" s="88">
        <f t="shared" si="2"/>
        <v>9900</v>
      </c>
      <c r="AO26" s="88">
        <v>0</v>
      </c>
      <c r="AP26" s="88">
        <v>8755.69</v>
      </c>
      <c r="AQ26" s="56"/>
      <c r="AR26" s="56">
        <v>0</v>
      </c>
      <c r="AT26" s="56">
        <v>0</v>
      </c>
      <c r="AU26" s="56"/>
      <c r="AV26" s="56">
        <f t="shared" si="3"/>
        <v>8755.69</v>
      </c>
      <c r="AW26" s="56"/>
      <c r="AX26" s="56">
        <v>0</v>
      </c>
      <c r="AY26" s="56"/>
      <c r="AZ26" s="88">
        <v>9900</v>
      </c>
      <c r="BA26" s="56">
        <v>9900</v>
      </c>
      <c r="BB26" s="214"/>
      <c r="BC26" s="56"/>
      <c r="BD26" s="84">
        <f t="shared" si="4"/>
        <v>-1144.3099999999995</v>
      </c>
      <c r="BE26" s="56"/>
      <c r="BF26" s="56"/>
      <c r="BG26" s="56"/>
      <c r="BH26" s="72"/>
    </row>
    <row r="27" spans="1:62" ht="20.100000000000001" customHeight="1" outlineLevel="1">
      <c r="A27" s="77" t="s">
        <v>43</v>
      </c>
      <c r="B27" s="77" t="s">
        <v>218</v>
      </c>
      <c r="C27" s="77" t="s">
        <v>1106</v>
      </c>
      <c r="D27" s="78" t="s">
        <v>46</v>
      </c>
      <c r="E27" s="78" t="str">
        <f t="shared" si="5"/>
        <v>000</v>
      </c>
      <c r="F27" s="3">
        <v>661001</v>
      </c>
      <c r="G27" s="102" t="s">
        <v>950</v>
      </c>
      <c r="H27" s="87"/>
      <c r="I27" s="13">
        <v>18428</v>
      </c>
      <c r="J27" s="13">
        <v>18204</v>
      </c>
      <c r="L27" s="56">
        <v>31595</v>
      </c>
      <c r="M27" s="56"/>
      <c r="N27" s="56">
        <v>18364</v>
      </c>
      <c r="O27" s="56"/>
      <c r="P27" s="56">
        <v>18364</v>
      </c>
      <c r="Q27" s="56"/>
      <c r="R27" s="56">
        <v>18364</v>
      </c>
      <c r="S27" s="56"/>
      <c r="T27" s="56">
        <v>0</v>
      </c>
      <c r="U27" s="56"/>
      <c r="V27" s="56">
        <v>18364</v>
      </c>
      <c r="W27" s="56"/>
      <c r="X27" s="56">
        <v>25825.88</v>
      </c>
      <c r="Y27" s="56"/>
      <c r="Z27" s="56">
        <v>18364</v>
      </c>
      <c r="AA27" s="56"/>
      <c r="AB27" s="56"/>
      <c r="AD27" s="56"/>
      <c r="AE27" s="56"/>
      <c r="AF27" s="56">
        <f t="shared" si="0"/>
        <v>18364</v>
      </c>
      <c r="AG27" s="56">
        <v>0</v>
      </c>
      <c r="AH27" s="56">
        <v>0</v>
      </c>
      <c r="AI27" s="56"/>
      <c r="AJ27" s="56">
        <f t="shared" si="1"/>
        <v>18364</v>
      </c>
      <c r="AK27" s="85"/>
      <c r="AL27" s="56">
        <v>0</v>
      </c>
      <c r="AM27" s="56"/>
      <c r="AN27" s="88">
        <f t="shared" si="2"/>
        <v>18364</v>
      </c>
      <c r="AO27" s="88">
        <v>0</v>
      </c>
      <c r="AP27" s="88">
        <v>122115.94</v>
      </c>
      <c r="AQ27" s="56"/>
      <c r="AR27" s="56">
        <v>0</v>
      </c>
      <c r="AT27" s="56">
        <v>24707.200000000001</v>
      </c>
      <c r="AU27" s="56"/>
      <c r="AV27" s="56">
        <f t="shared" si="3"/>
        <v>146823.14000000001</v>
      </c>
      <c r="AW27" s="56"/>
      <c r="AX27" s="56">
        <v>0</v>
      </c>
      <c r="AY27" s="56"/>
      <c r="AZ27" s="88">
        <v>43071</v>
      </c>
      <c r="BA27" s="56">
        <v>45212</v>
      </c>
      <c r="BB27" s="214"/>
      <c r="BC27" s="56"/>
      <c r="BD27" s="84">
        <f t="shared" si="4"/>
        <v>103751.94</v>
      </c>
      <c r="BE27" s="56"/>
      <c r="BF27" s="56"/>
      <c r="BG27" s="56"/>
      <c r="BH27" s="72"/>
    </row>
    <row r="28" spans="1:62" ht="20.100000000000001" customHeight="1" outlineLevel="1">
      <c r="A28" s="77" t="s">
        <v>43</v>
      </c>
      <c r="B28" s="77" t="s">
        <v>218</v>
      </c>
      <c r="C28" s="77" t="s">
        <v>1106</v>
      </c>
      <c r="D28" s="78" t="s">
        <v>46</v>
      </c>
      <c r="E28" s="78" t="str">
        <f t="shared" si="5"/>
        <v>000</v>
      </c>
      <c r="F28" s="3">
        <v>661011</v>
      </c>
      <c r="G28" s="102" t="s">
        <v>951</v>
      </c>
      <c r="H28" s="87"/>
      <c r="I28" s="13">
        <v>20996</v>
      </c>
      <c r="J28" s="13">
        <v>18811</v>
      </c>
      <c r="L28" s="56">
        <v>32660</v>
      </c>
      <c r="M28" s="56"/>
      <c r="N28" s="56">
        <v>20000</v>
      </c>
      <c r="O28" s="56"/>
      <c r="P28" s="56">
        <v>20000</v>
      </c>
      <c r="Q28" s="56"/>
      <c r="R28" s="56">
        <v>20000</v>
      </c>
      <c r="S28" s="56"/>
      <c r="T28" s="56">
        <v>0</v>
      </c>
      <c r="U28" s="56"/>
      <c r="V28" s="56">
        <v>20000</v>
      </c>
      <c r="W28" s="56"/>
      <c r="X28" s="56">
        <v>19977.79</v>
      </c>
      <c r="Y28" s="56"/>
      <c r="Z28" s="56">
        <v>20000</v>
      </c>
      <c r="AA28" s="56"/>
      <c r="AB28" s="56"/>
      <c r="AD28" s="56"/>
      <c r="AE28" s="56"/>
      <c r="AF28" s="56">
        <f t="shared" si="0"/>
        <v>20000</v>
      </c>
      <c r="AG28" s="56">
        <v>0</v>
      </c>
      <c r="AH28" s="56">
        <v>0</v>
      </c>
      <c r="AI28" s="56"/>
      <c r="AJ28" s="56">
        <f t="shared" si="1"/>
        <v>20000</v>
      </c>
      <c r="AK28" s="85"/>
      <c r="AL28" s="56">
        <v>0</v>
      </c>
      <c r="AM28" s="56"/>
      <c r="AN28" s="88">
        <f t="shared" si="2"/>
        <v>20000</v>
      </c>
      <c r="AO28" s="88">
        <v>0</v>
      </c>
      <c r="AP28" s="88">
        <v>20296.18</v>
      </c>
      <c r="AQ28" s="56"/>
      <c r="AR28" s="56">
        <v>0</v>
      </c>
      <c r="AT28" s="56">
        <v>0</v>
      </c>
      <c r="AU28" s="56"/>
      <c r="AV28" s="56">
        <f t="shared" si="3"/>
        <v>20296.18</v>
      </c>
      <c r="AW28" s="56"/>
      <c r="AX28" s="56">
        <v>0</v>
      </c>
      <c r="AY28" s="56"/>
      <c r="AZ28" s="88">
        <v>20000</v>
      </c>
      <c r="BA28" s="56">
        <v>20000</v>
      </c>
      <c r="BB28" s="214"/>
      <c r="BC28" s="56"/>
      <c r="BD28" s="84">
        <f t="shared" si="4"/>
        <v>296.18000000000029</v>
      </c>
      <c r="BE28" s="56"/>
      <c r="BF28" s="56"/>
      <c r="BG28" s="56"/>
      <c r="BH28" s="72"/>
    </row>
    <row r="29" spans="1:62" ht="20.100000000000001" customHeight="1" outlineLevel="1">
      <c r="A29" s="77" t="s">
        <v>43</v>
      </c>
      <c r="B29" s="77" t="s">
        <v>218</v>
      </c>
      <c r="C29" s="77" t="s">
        <v>1106</v>
      </c>
      <c r="D29" s="78" t="s">
        <v>46</v>
      </c>
      <c r="E29" s="78" t="str">
        <f t="shared" si="5"/>
        <v>000</v>
      </c>
      <c r="F29" s="3">
        <v>661226</v>
      </c>
      <c r="G29" s="102" t="s">
        <v>952</v>
      </c>
      <c r="H29" s="87"/>
      <c r="I29" s="13">
        <v>0</v>
      </c>
      <c r="J29" s="13">
        <v>0</v>
      </c>
      <c r="L29" s="56">
        <v>0</v>
      </c>
      <c r="M29" s="56"/>
      <c r="N29" s="56">
        <v>0</v>
      </c>
      <c r="O29" s="56"/>
      <c r="P29" s="56">
        <v>0</v>
      </c>
      <c r="Q29" s="56"/>
      <c r="R29" s="56">
        <v>0</v>
      </c>
      <c r="S29" s="56"/>
      <c r="T29" s="56">
        <v>0</v>
      </c>
      <c r="U29" s="56"/>
      <c r="V29" s="56">
        <v>0</v>
      </c>
      <c r="W29" s="56"/>
      <c r="X29" s="56">
        <v>0</v>
      </c>
      <c r="Y29" s="56"/>
      <c r="Z29" s="56">
        <v>0</v>
      </c>
      <c r="AA29" s="56"/>
      <c r="AB29" s="56"/>
      <c r="AD29" s="56"/>
      <c r="AE29" s="56"/>
      <c r="AF29" s="56">
        <f t="shared" si="0"/>
        <v>0</v>
      </c>
      <c r="AG29" s="56">
        <v>0</v>
      </c>
      <c r="AH29" s="56">
        <v>0</v>
      </c>
      <c r="AI29" s="56"/>
      <c r="AJ29" s="56">
        <f t="shared" si="1"/>
        <v>0</v>
      </c>
      <c r="AK29" s="85"/>
      <c r="AL29" s="56">
        <v>0</v>
      </c>
      <c r="AM29" s="56"/>
      <c r="AN29" s="88">
        <f t="shared" si="2"/>
        <v>0</v>
      </c>
      <c r="AO29" s="88">
        <v>0</v>
      </c>
      <c r="AP29" s="88">
        <v>0</v>
      </c>
      <c r="AQ29" s="56"/>
      <c r="AR29" s="56">
        <v>0</v>
      </c>
      <c r="AT29" s="56">
        <v>0</v>
      </c>
      <c r="AU29" s="56"/>
      <c r="AV29" s="56">
        <f t="shared" si="3"/>
        <v>0</v>
      </c>
      <c r="AW29" s="56"/>
      <c r="AX29" s="56">
        <v>0</v>
      </c>
      <c r="AY29" s="56"/>
      <c r="AZ29" s="88">
        <v>0</v>
      </c>
      <c r="BA29" s="56">
        <v>0</v>
      </c>
      <c r="BB29" s="214"/>
      <c r="BC29" s="56"/>
      <c r="BD29" s="84">
        <f t="shared" si="4"/>
        <v>0</v>
      </c>
      <c r="BE29" s="56"/>
      <c r="BF29" s="56"/>
      <c r="BG29" s="56"/>
      <c r="BH29" s="72"/>
    </row>
    <row r="30" spans="1:62" ht="20.100000000000001" customHeight="1" outlineLevel="1">
      <c r="A30" s="77" t="s">
        <v>43</v>
      </c>
      <c r="B30" s="77" t="s">
        <v>218</v>
      </c>
      <c r="C30" s="77" t="s">
        <v>1106</v>
      </c>
      <c r="D30" s="78" t="s">
        <v>46</v>
      </c>
      <c r="E30" s="78" t="str">
        <f t="shared" si="5"/>
        <v>000</v>
      </c>
      <c r="F30" s="3">
        <v>673001</v>
      </c>
      <c r="G30" s="102" t="s">
        <v>57</v>
      </c>
      <c r="H30" s="87"/>
      <c r="I30" s="13">
        <v>16906</v>
      </c>
      <c r="J30" s="13">
        <v>10994</v>
      </c>
      <c r="L30" s="56">
        <v>13382</v>
      </c>
      <c r="M30" s="56"/>
      <c r="N30" s="56">
        <v>11000</v>
      </c>
      <c r="O30" s="56"/>
      <c r="P30" s="56">
        <v>11000</v>
      </c>
      <c r="Q30" s="56"/>
      <c r="R30" s="56">
        <v>11000</v>
      </c>
      <c r="S30" s="56"/>
      <c r="T30" s="56">
        <v>0</v>
      </c>
      <c r="U30" s="56"/>
      <c r="V30" s="56">
        <v>11000</v>
      </c>
      <c r="W30" s="56"/>
      <c r="X30" s="56">
        <v>22240.68</v>
      </c>
      <c r="Y30" s="56"/>
      <c r="Z30" s="56">
        <v>11000</v>
      </c>
      <c r="AA30" s="56"/>
      <c r="AB30" s="56"/>
      <c r="AD30" s="56"/>
      <c r="AE30" s="56"/>
      <c r="AF30" s="56">
        <f t="shared" si="0"/>
        <v>11000</v>
      </c>
      <c r="AG30" s="56">
        <v>0</v>
      </c>
      <c r="AH30" s="56">
        <v>0</v>
      </c>
      <c r="AI30" s="56"/>
      <c r="AJ30" s="56">
        <f t="shared" si="1"/>
        <v>11000</v>
      </c>
      <c r="AK30" s="85"/>
      <c r="AL30" s="56">
        <v>0</v>
      </c>
      <c r="AM30" s="56"/>
      <c r="AN30" s="88">
        <f t="shared" si="2"/>
        <v>11000</v>
      </c>
      <c r="AO30" s="88">
        <v>0</v>
      </c>
      <c r="AP30" s="88">
        <v>0</v>
      </c>
      <c r="AQ30" s="56"/>
      <c r="AR30" s="56">
        <v>0</v>
      </c>
      <c r="AT30" s="56">
        <v>0</v>
      </c>
      <c r="AU30" s="56"/>
      <c r="AV30" s="56">
        <f t="shared" si="3"/>
        <v>0</v>
      </c>
      <c r="AW30" s="56"/>
      <c r="AX30" s="56">
        <v>0</v>
      </c>
      <c r="AY30" s="56"/>
      <c r="AZ30" s="88">
        <v>11000</v>
      </c>
      <c r="BA30" s="56">
        <v>11000</v>
      </c>
      <c r="BB30" s="214"/>
      <c r="BC30" s="56"/>
      <c r="BD30" s="84">
        <f t="shared" si="4"/>
        <v>-11000</v>
      </c>
      <c r="BE30" s="56"/>
      <c r="BF30" s="56"/>
      <c r="BG30" s="56"/>
      <c r="BH30" s="72"/>
    </row>
    <row r="31" spans="1:62" ht="20.100000000000001" customHeight="1" outlineLevel="1">
      <c r="A31" s="77" t="s">
        <v>43</v>
      </c>
      <c r="B31" s="77" t="s">
        <v>575</v>
      </c>
      <c r="C31" s="77" t="s">
        <v>1106</v>
      </c>
      <c r="D31" s="78" t="s">
        <v>46</v>
      </c>
      <c r="E31" s="78" t="str">
        <f t="shared" si="5"/>
        <v>000</v>
      </c>
      <c r="F31" s="3">
        <v>611411</v>
      </c>
      <c r="G31" s="155" t="s">
        <v>953</v>
      </c>
      <c r="H31" s="87"/>
      <c r="I31" s="13">
        <v>6451</v>
      </c>
      <c r="J31" s="13">
        <v>0</v>
      </c>
      <c r="L31" s="56">
        <v>0</v>
      </c>
      <c r="M31" s="56"/>
      <c r="N31" s="56">
        <v>0</v>
      </c>
      <c r="O31" s="56"/>
      <c r="P31" s="56">
        <v>0</v>
      </c>
      <c r="Q31" s="56"/>
      <c r="R31" s="56">
        <v>0</v>
      </c>
      <c r="S31" s="56"/>
      <c r="T31" s="56">
        <v>0</v>
      </c>
      <c r="U31" s="56"/>
      <c r="V31" s="56">
        <v>0</v>
      </c>
      <c r="W31" s="56"/>
      <c r="X31" s="56">
        <v>0</v>
      </c>
      <c r="Y31" s="56"/>
      <c r="Z31" s="56">
        <v>0</v>
      </c>
      <c r="AA31" s="56"/>
      <c r="AB31" s="56"/>
      <c r="AD31" s="56"/>
      <c r="AE31" s="56"/>
      <c r="AF31" s="56">
        <f t="shared" si="0"/>
        <v>0</v>
      </c>
      <c r="AG31" s="56">
        <v>0</v>
      </c>
      <c r="AH31" s="56">
        <v>0</v>
      </c>
      <c r="AI31" s="56"/>
      <c r="AJ31" s="56">
        <f t="shared" si="1"/>
        <v>0</v>
      </c>
      <c r="AK31" s="85"/>
      <c r="AL31" s="56">
        <v>0</v>
      </c>
      <c r="AM31" s="56"/>
      <c r="AN31" s="88">
        <f t="shared" si="2"/>
        <v>0</v>
      </c>
      <c r="AO31" s="88">
        <v>0</v>
      </c>
      <c r="AP31" s="88">
        <v>0</v>
      </c>
      <c r="AQ31" s="56"/>
      <c r="AR31" s="56">
        <v>0</v>
      </c>
      <c r="AT31" s="56">
        <v>0</v>
      </c>
      <c r="AU31" s="56"/>
      <c r="AV31" s="56">
        <f t="shared" si="3"/>
        <v>0</v>
      </c>
      <c r="AW31" s="56"/>
      <c r="AX31" s="56">
        <v>0</v>
      </c>
      <c r="AY31" s="56"/>
      <c r="AZ31" s="88">
        <v>0</v>
      </c>
      <c r="BA31" s="56">
        <v>0</v>
      </c>
      <c r="BB31" s="214"/>
      <c r="BC31" s="56"/>
      <c r="BD31" s="84">
        <f t="shared" si="4"/>
        <v>0</v>
      </c>
      <c r="BE31" s="56"/>
      <c r="BF31" s="56"/>
      <c r="BG31" s="56"/>
      <c r="BH31" s="72">
        <v>1</v>
      </c>
      <c r="BJ31">
        <v>1</v>
      </c>
    </row>
    <row r="32" spans="1:62" ht="20.100000000000001" customHeight="1" outlineLevel="1">
      <c r="A32" s="77" t="s">
        <v>43</v>
      </c>
      <c r="B32" s="77" t="s">
        <v>954</v>
      </c>
      <c r="C32" s="77" t="s">
        <v>1106</v>
      </c>
      <c r="D32" s="78" t="s">
        <v>46</v>
      </c>
      <c r="E32" s="78" t="str">
        <f t="shared" si="5"/>
        <v>000</v>
      </c>
      <c r="F32" s="3">
        <v>611923</v>
      </c>
      <c r="G32" s="102" t="s">
        <v>955</v>
      </c>
      <c r="H32" s="87"/>
      <c r="I32" s="13">
        <v>54827</v>
      </c>
      <c r="J32" s="13">
        <v>63947</v>
      </c>
      <c r="L32" s="56">
        <v>71825</v>
      </c>
      <c r="M32" s="56"/>
      <c r="N32" s="56">
        <v>61167</v>
      </c>
      <c r="O32" s="56"/>
      <c r="P32" s="56">
        <v>61167</v>
      </c>
      <c r="Q32" s="56"/>
      <c r="R32" s="56">
        <v>62867</v>
      </c>
      <c r="S32" s="56"/>
      <c r="T32" s="56">
        <v>0</v>
      </c>
      <c r="U32" s="56"/>
      <c r="V32" s="56">
        <v>62867</v>
      </c>
      <c r="W32" s="56"/>
      <c r="X32" s="56">
        <v>62867</v>
      </c>
      <c r="Y32" s="56"/>
      <c r="Z32" s="56">
        <v>62900</v>
      </c>
      <c r="AA32" s="56"/>
      <c r="AB32" s="56"/>
      <c r="AD32" s="56"/>
      <c r="AE32" s="56"/>
      <c r="AF32" s="56">
        <f t="shared" si="0"/>
        <v>62900</v>
      </c>
      <c r="AG32" s="56">
        <v>0</v>
      </c>
      <c r="AH32" s="56">
        <v>1250</v>
      </c>
      <c r="AI32" s="56"/>
      <c r="AJ32" s="56">
        <f t="shared" si="1"/>
        <v>64150</v>
      </c>
      <c r="AK32" s="85"/>
      <c r="AL32" s="56">
        <v>0</v>
      </c>
      <c r="AM32" s="56"/>
      <c r="AN32" s="88">
        <f t="shared" si="2"/>
        <v>64150</v>
      </c>
      <c r="AO32" s="88">
        <v>0</v>
      </c>
      <c r="AP32" s="88">
        <v>63387.96</v>
      </c>
      <c r="AQ32" s="56"/>
      <c r="AR32" s="56">
        <v>0</v>
      </c>
      <c r="AT32" s="56">
        <v>0</v>
      </c>
      <c r="AU32" s="56"/>
      <c r="AV32" s="56">
        <f t="shared" si="3"/>
        <v>63387.96</v>
      </c>
      <c r="AW32" s="56"/>
      <c r="AX32" s="56">
        <v>0</v>
      </c>
      <c r="AY32" s="56"/>
      <c r="AZ32" s="88">
        <v>63815</v>
      </c>
      <c r="BA32" s="56">
        <v>63861</v>
      </c>
      <c r="BB32" s="214"/>
      <c r="BC32" s="56"/>
      <c r="BD32" s="84">
        <f t="shared" si="4"/>
        <v>-762.04000000000087</v>
      </c>
      <c r="BE32" s="56"/>
      <c r="BF32" s="56"/>
      <c r="BG32" s="56"/>
      <c r="BH32" s="72">
        <v>1</v>
      </c>
      <c r="BJ32">
        <v>1</v>
      </c>
    </row>
    <row r="33" spans="1:62" ht="20.100000000000001" customHeight="1" outlineLevel="1">
      <c r="A33" s="77" t="s">
        <v>43</v>
      </c>
      <c r="B33" s="77" t="s">
        <v>237</v>
      </c>
      <c r="C33" s="77" t="s">
        <v>1106</v>
      </c>
      <c r="D33" s="78" t="s">
        <v>46</v>
      </c>
      <c r="E33" s="78" t="str">
        <f t="shared" si="5"/>
        <v>000</v>
      </c>
      <c r="F33" s="3">
        <v>653021</v>
      </c>
      <c r="G33" s="102" t="s">
        <v>956</v>
      </c>
      <c r="H33" s="87"/>
      <c r="I33" s="13">
        <v>0</v>
      </c>
      <c r="J33" s="13">
        <v>0</v>
      </c>
      <c r="L33" s="56">
        <v>63341</v>
      </c>
      <c r="M33" s="56"/>
      <c r="N33" s="56">
        <v>96300</v>
      </c>
      <c r="O33" s="56"/>
      <c r="P33" s="56">
        <v>96300</v>
      </c>
      <c r="Q33" s="56"/>
      <c r="R33" s="56">
        <v>96300</v>
      </c>
      <c r="S33" s="56"/>
      <c r="T33" s="56">
        <v>0</v>
      </c>
      <c r="U33" s="56"/>
      <c r="V33" s="56">
        <v>96300</v>
      </c>
      <c r="W33" s="56"/>
      <c r="X33" s="56">
        <v>96261</v>
      </c>
      <c r="Y33" s="56"/>
      <c r="Z33" s="56">
        <v>96300</v>
      </c>
      <c r="AA33" s="56"/>
      <c r="AB33" s="56"/>
      <c r="AD33" s="56"/>
      <c r="AE33" s="56"/>
      <c r="AF33" s="56">
        <f t="shared" si="0"/>
        <v>96300</v>
      </c>
      <c r="AG33" s="56">
        <v>0</v>
      </c>
      <c r="AH33" s="56">
        <v>0</v>
      </c>
      <c r="AI33" s="56"/>
      <c r="AJ33" s="56">
        <f t="shared" si="1"/>
        <v>96300</v>
      </c>
      <c r="AK33" s="85"/>
      <c r="AL33" s="56">
        <v>0</v>
      </c>
      <c r="AM33" s="56"/>
      <c r="AN33" s="88">
        <f t="shared" si="2"/>
        <v>96300</v>
      </c>
      <c r="AO33" s="88">
        <v>0</v>
      </c>
      <c r="AP33" s="88">
        <v>39510</v>
      </c>
      <c r="AQ33" s="56"/>
      <c r="AR33" s="56">
        <v>0</v>
      </c>
      <c r="AT33" s="56">
        <v>0</v>
      </c>
      <c r="AU33" s="56"/>
      <c r="AV33" s="56">
        <f t="shared" si="3"/>
        <v>39510</v>
      </c>
      <c r="AW33" s="56"/>
      <c r="AX33" s="56">
        <v>0</v>
      </c>
      <c r="AY33" s="56"/>
      <c r="AZ33" s="88">
        <v>96300</v>
      </c>
      <c r="BA33" s="56">
        <v>96300</v>
      </c>
      <c r="BB33" s="214"/>
      <c r="BC33" s="56"/>
      <c r="BD33" s="84">
        <f t="shared" si="4"/>
        <v>-56790</v>
      </c>
      <c r="BE33" s="56"/>
      <c r="BF33" s="56"/>
      <c r="BG33" s="56"/>
      <c r="BH33" s="72"/>
    </row>
    <row r="34" spans="1:62" ht="20.100000000000001" customHeight="1" outlineLevel="1">
      <c r="A34" s="77" t="s">
        <v>43</v>
      </c>
      <c r="B34" s="77" t="s">
        <v>91</v>
      </c>
      <c r="C34" s="77" t="s">
        <v>1106</v>
      </c>
      <c r="D34" s="78" t="s">
        <v>46</v>
      </c>
      <c r="E34" s="78" t="str">
        <f t="shared" si="5"/>
        <v>000</v>
      </c>
      <c r="F34" s="3">
        <v>658211</v>
      </c>
      <c r="G34" s="102" t="s">
        <v>957</v>
      </c>
      <c r="H34" s="87"/>
      <c r="I34" s="13">
        <v>6117</v>
      </c>
      <c r="J34" s="13">
        <v>3027</v>
      </c>
      <c r="L34" s="56">
        <v>7948</v>
      </c>
      <c r="M34" s="56"/>
      <c r="N34" s="56">
        <v>8400</v>
      </c>
      <c r="O34" s="56"/>
      <c r="P34" s="56">
        <v>8400</v>
      </c>
      <c r="Q34" s="56"/>
      <c r="R34" s="56">
        <v>8400</v>
      </c>
      <c r="S34" s="56"/>
      <c r="T34" s="56">
        <v>0</v>
      </c>
      <c r="U34" s="56"/>
      <c r="V34" s="56">
        <v>8400</v>
      </c>
      <c r="W34" s="56"/>
      <c r="X34" s="56">
        <v>6897.41</v>
      </c>
      <c r="Y34" s="56"/>
      <c r="Z34" s="56">
        <v>8400</v>
      </c>
      <c r="AA34" s="56"/>
      <c r="AB34" s="56"/>
      <c r="AD34" s="56"/>
      <c r="AE34" s="56"/>
      <c r="AF34" s="56">
        <f t="shared" si="0"/>
        <v>8400</v>
      </c>
      <c r="AG34" s="56">
        <v>0</v>
      </c>
      <c r="AH34" s="56">
        <v>0</v>
      </c>
      <c r="AI34" s="56"/>
      <c r="AJ34" s="56">
        <f t="shared" si="1"/>
        <v>8400</v>
      </c>
      <c r="AK34" s="85"/>
      <c r="AL34" s="56">
        <v>0</v>
      </c>
      <c r="AM34" s="56"/>
      <c r="AN34" s="88">
        <f t="shared" si="2"/>
        <v>8400</v>
      </c>
      <c r="AO34" s="88">
        <v>0</v>
      </c>
      <c r="AP34" s="88">
        <v>901.01</v>
      </c>
      <c r="AQ34" s="56"/>
      <c r="AR34" s="56">
        <v>0</v>
      </c>
      <c r="AT34" s="56">
        <v>0</v>
      </c>
      <c r="AU34" s="56"/>
      <c r="AV34" s="56">
        <f t="shared" si="3"/>
        <v>901.01</v>
      </c>
      <c r="AW34" s="56"/>
      <c r="AX34" s="56">
        <v>0</v>
      </c>
      <c r="AY34" s="56"/>
      <c r="AZ34" s="88">
        <v>8400</v>
      </c>
      <c r="BA34" s="56">
        <v>8400</v>
      </c>
      <c r="BB34" s="214"/>
      <c r="BC34" s="56"/>
      <c r="BD34" s="84">
        <f t="shared" si="4"/>
        <v>-7498.99</v>
      </c>
      <c r="BE34" s="56"/>
      <c r="BF34" s="56"/>
      <c r="BG34" s="56"/>
      <c r="BH34" s="72"/>
    </row>
    <row r="35" spans="1:62" ht="20.100000000000001" customHeight="1" outlineLevel="1">
      <c r="A35" s="77" t="s">
        <v>43</v>
      </c>
      <c r="B35" s="77" t="s">
        <v>91</v>
      </c>
      <c r="C35" s="77" t="s">
        <v>1106</v>
      </c>
      <c r="D35" s="78" t="s">
        <v>46</v>
      </c>
      <c r="E35" s="78" t="str">
        <f t="shared" ref="E35:E50" si="6">+D35</f>
        <v>000</v>
      </c>
      <c r="F35" s="3">
        <v>661001</v>
      </c>
      <c r="G35" s="102" t="s">
        <v>958</v>
      </c>
      <c r="H35" s="87"/>
      <c r="I35" s="13">
        <v>39472</v>
      </c>
      <c r="J35" s="13">
        <v>37572</v>
      </c>
      <c r="L35" s="56">
        <v>53261</v>
      </c>
      <c r="M35" s="56"/>
      <c r="N35" s="56">
        <v>71812</v>
      </c>
      <c r="O35" s="56"/>
      <c r="P35" s="56">
        <v>72821</v>
      </c>
      <c r="Q35" s="56"/>
      <c r="R35" s="56">
        <v>72821</v>
      </c>
      <c r="S35" s="56"/>
      <c r="T35" s="56">
        <v>-2188</v>
      </c>
      <c r="U35" s="56"/>
      <c r="V35" s="56">
        <v>70633</v>
      </c>
      <c r="W35" s="56"/>
      <c r="X35" s="56">
        <v>51196.85</v>
      </c>
      <c r="Y35" s="56"/>
      <c r="Z35" s="56">
        <v>71812</v>
      </c>
      <c r="AA35" s="56"/>
      <c r="AB35" s="56"/>
      <c r="AD35" s="56">
        <v>198</v>
      </c>
      <c r="AE35" s="56"/>
      <c r="AF35" s="56">
        <f t="shared" si="0"/>
        <v>72010</v>
      </c>
      <c r="AG35" s="56">
        <v>0</v>
      </c>
      <c r="AH35" s="56">
        <v>0</v>
      </c>
      <c r="AI35" s="56"/>
      <c r="AJ35" s="56">
        <f t="shared" si="1"/>
        <v>72010</v>
      </c>
      <c r="AK35" s="85"/>
      <c r="AL35" s="56">
        <v>0</v>
      </c>
      <c r="AM35" s="56"/>
      <c r="AN35" s="88">
        <f t="shared" si="2"/>
        <v>72010</v>
      </c>
      <c r="AO35" s="88">
        <v>0</v>
      </c>
      <c r="AP35" s="88">
        <v>73323.67</v>
      </c>
      <c r="AQ35" s="56"/>
      <c r="AR35" s="56">
        <v>0</v>
      </c>
      <c r="AT35" s="56">
        <v>0</v>
      </c>
      <c r="AU35" s="56"/>
      <c r="AV35" s="56">
        <f t="shared" si="3"/>
        <v>73323.67</v>
      </c>
      <c r="AW35" s="56"/>
      <c r="AX35" s="56">
        <v>0</v>
      </c>
      <c r="AY35" s="56"/>
      <c r="AZ35" s="88">
        <v>72010</v>
      </c>
      <c r="BA35" s="56">
        <v>74150</v>
      </c>
      <c r="BB35" s="214"/>
      <c r="BC35" s="56"/>
      <c r="BD35" s="84">
        <f t="shared" si="4"/>
        <v>1313.6699999999983</v>
      </c>
      <c r="BE35" s="56"/>
      <c r="BF35" s="56"/>
      <c r="BG35" s="56"/>
      <c r="BH35" s="72"/>
    </row>
    <row r="36" spans="1:62" ht="20.100000000000001" customHeight="1" outlineLevel="1">
      <c r="A36" s="77" t="s">
        <v>43</v>
      </c>
      <c r="B36" s="77" t="s">
        <v>91</v>
      </c>
      <c r="C36" s="77" t="s">
        <v>1106</v>
      </c>
      <c r="D36" s="78" t="s">
        <v>46</v>
      </c>
      <c r="E36" s="78" t="str">
        <f t="shared" si="6"/>
        <v>000</v>
      </c>
      <c r="F36" s="3">
        <v>673001</v>
      </c>
      <c r="G36" s="102" t="s">
        <v>959</v>
      </c>
      <c r="H36" s="87"/>
      <c r="I36" s="13">
        <v>34817</v>
      </c>
      <c r="J36" s="13">
        <v>33765</v>
      </c>
      <c r="L36" s="56">
        <v>19142</v>
      </c>
      <c r="M36" s="56"/>
      <c r="N36" s="56">
        <v>0</v>
      </c>
      <c r="O36" s="56"/>
      <c r="P36" s="56">
        <v>0</v>
      </c>
      <c r="Q36" s="56"/>
      <c r="R36" s="56">
        <v>0</v>
      </c>
      <c r="S36" s="56"/>
      <c r="T36" s="56">
        <v>2188</v>
      </c>
      <c r="U36" s="56"/>
      <c r="V36" s="56">
        <v>2188</v>
      </c>
      <c r="W36" s="56"/>
      <c r="X36" s="56">
        <v>14107.59</v>
      </c>
      <c r="Y36" s="56"/>
      <c r="Z36" s="56">
        <v>0</v>
      </c>
      <c r="AA36" s="56"/>
      <c r="AB36" s="56"/>
      <c r="AD36" s="56"/>
      <c r="AE36" s="56"/>
      <c r="AF36" s="56">
        <f t="shared" si="0"/>
        <v>0</v>
      </c>
      <c r="AG36" s="56">
        <v>0</v>
      </c>
      <c r="AH36" s="56">
        <v>0</v>
      </c>
      <c r="AI36" s="56"/>
      <c r="AJ36" s="56">
        <f t="shared" si="1"/>
        <v>0</v>
      </c>
      <c r="AK36" s="85"/>
      <c r="AL36" s="56">
        <v>0</v>
      </c>
      <c r="AM36" s="56"/>
      <c r="AN36" s="88">
        <f t="shared" si="2"/>
        <v>0</v>
      </c>
      <c r="AO36" s="88">
        <v>0</v>
      </c>
      <c r="AP36" s="88">
        <v>0</v>
      </c>
      <c r="AQ36" s="56"/>
      <c r="AR36" s="56">
        <v>0</v>
      </c>
      <c r="AT36" s="56">
        <v>0</v>
      </c>
      <c r="AU36" s="56"/>
      <c r="AV36" s="56">
        <f t="shared" si="3"/>
        <v>0</v>
      </c>
      <c r="AW36" s="56"/>
      <c r="AX36" s="56">
        <v>0</v>
      </c>
      <c r="AY36" s="56"/>
      <c r="AZ36" s="88">
        <v>0</v>
      </c>
      <c r="BA36" s="56">
        <v>0</v>
      </c>
      <c r="BB36" s="214"/>
      <c r="BC36" s="56"/>
      <c r="BD36" s="84">
        <f t="shared" si="4"/>
        <v>0</v>
      </c>
      <c r="BE36" s="56"/>
      <c r="BF36" s="56"/>
      <c r="BG36" s="56"/>
      <c r="BH36" s="72"/>
    </row>
    <row r="37" spans="1:62" ht="20.100000000000001" customHeight="1" outlineLevel="1">
      <c r="A37" s="77" t="s">
        <v>43</v>
      </c>
      <c r="B37" s="77" t="s">
        <v>964</v>
      </c>
      <c r="C37" s="77" t="s">
        <v>1106</v>
      </c>
      <c r="D37" s="78" t="s">
        <v>46</v>
      </c>
      <c r="E37" s="78" t="str">
        <f t="shared" si="6"/>
        <v>000</v>
      </c>
      <c r="F37" s="3">
        <v>653022</v>
      </c>
      <c r="G37" s="102" t="s">
        <v>965</v>
      </c>
      <c r="H37" s="87"/>
      <c r="I37" s="13">
        <v>0</v>
      </c>
      <c r="J37" s="13">
        <v>0</v>
      </c>
      <c r="L37" s="56">
        <v>0</v>
      </c>
      <c r="M37" s="56"/>
      <c r="N37" s="56">
        <v>0</v>
      </c>
      <c r="O37" s="56"/>
      <c r="P37" s="56"/>
      <c r="Q37" s="56"/>
      <c r="R37" s="56"/>
      <c r="S37" s="89"/>
      <c r="T37" s="56"/>
      <c r="U37" s="56"/>
      <c r="V37" s="56">
        <v>0</v>
      </c>
      <c r="W37" s="56"/>
      <c r="X37" s="56">
        <v>0</v>
      </c>
      <c r="Y37" s="56"/>
      <c r="Z37" s="56">
        <v>750000</v>
      </c>
      <c r="AA37" s="56"/>
      <c r="AB37" s="56"/>
      <c r="AD37" s="56"/>
      <c r="AE37" s="56"/>
      <c r="AF37" s="56">
        <f>SUM(Z37:AE37)</f>
        <v>750000</v>
      </c>
      <c r="AG37" s="56">
        <v>0</v>
      </c>
      <c r="AH37" s="56">
        <v>0</v>
      </c>
      <c r="AI37" s="56"/>
      <c r="AJ37" s="56">
        <f>SUM(AE37:AI37)</f>
        <v>750000</v>
      </c>
      <c r="AK37" s="85"/>
      <c r="AL37" s="56">
        <v>0</v>
      </c>
      <c r="AM37" s="56"/>
      <c r="AN37" s="88">
        <f>SUM(AI37:AM37)</f>
        <v>750000</v>
      </c>
      <c r="AO37" s="88">
        <v>0</v>
      </c>
      <c r="AP37" s="88">
        <v>667884</v>
      </c>
      <c r="AQ37" s="56"/>
      <c r="AR37" s="56">
        <v>0</v>
      </c>
      <c r="AT37" s="56">
        <v>0</v>
      </c>
      <c r="AU37" s="56"/>
      <c r="AV37" s="56">
        <f t="shared" ref="AV37:AV50" si="7">SUM(AP37:AU37)</f>
        <v>667884</v>
      </c>
      <c r="AW37" s="56"/>
      <c r="AX37" s="56">
        <v>0</v>
      </c>
      <c r="AY37" s="56"/>
      <c r="AZ37" s="88">
        <v>750000</v>
      </c>
      <c r="BA37" s="56">
        <v>750000</v>
      </c>
      <c r="BB37" s="214"/>
      <c r="BC37" s="56"/>
      <c r="BD37" s="84">
        <f t="shared" ref="BD37:BD50" si="8">+AP37-AN37</f>
        <v>-82116</v>
      </c>
      <c r="BE37" s="56"/>
      <c r="BF37" s="56"/>
      <c r="BG37" s="56"/>
      <c r="BH37" s="72"/>
    </row>
    <row r="38" spans="1:62" ht="20.100000000000001" customHeight="1" outlineLevel="1">
      <c r="A38" s="77" t="s">
        <v>43</v>
      </c>
      <c r="B38" s="77" t="s">
        <v>137</v>
      </c>
      <c r="C38" s="77" t="s">
        <v>1106</v>
      </c>
      <c r="D38" s="78" t="s">
        <v>46</v>
      </c>
      <c r="E38" s="78" t="str">
        <f t="shared" si="6"/>
        <v>000</v>
      </c>
      <c r="F38" s="3">
        <v>611712</v>
      </c>
      <c r="G38" s="102" t="s">
        <v>589</v>
      </c>
      <c r="H38" s="87"/>
      <c r="I38" s="13">
        <v>150168</v>
      </c>
      <c r="J38" s="13">
        <v>170778</v>
      </c>
      <c r="L38" s="56">
        <v>211630</v>
      </c>
      <c r="M38" s="56"/>
      <c r="N38" s="56">
        <v>248872</v>
      </c>
      <c r="O38" s="56"/>
      <c r="P38" s="56">
        <v>248872</v>
      </c>
      <c r="Q38" s="56"/>
      <c r="R38" s="56">
        <v>268184</v>
      </c>
      <c r="S38" s="56"/>
      <c r="T38" s="56">
        <v>0</v>
      </c>
      <c r="U38" s="56"/>
      <c r="V38" s="56">
        <v>268184</v>
      </c>
      <c r="W38" s="56"/>
      <c r="X38" s="56">
        <v>271960.48</v>
      </c>
      <c r="Y38" s="56"/>
      <c r="Z38" s="56">
        <f>290000+34000</f>
        <v>324000</v>
      </c>
      <c r="AA38" s="56"/>
      <c r="AB38" s="56"/>
      <c r="AD38" s="56"/>
      <c r="AE38" s="56"/>
      <c r="AF38" s="56">
        <f>SUM(Z38:AE38)</f>
        <v>324000</v>
      </c>
      <c r="AG38" s="104">
        <v>2840</v>
      </c>
      <c r="AH38" s="56">
        <v>18000</v>
      </c>
      <c r="AI38" s="56"/>
      <c r="AJ38" s="56">
        <f>SUM(AE38:AI38)</f>
        <v>344840</v>
      </c>
      <c r="AK38" s="85"/>
      <c r="AL38" s="56">
        <v>0</v>
      </c>
      <c r="AM38" s="56"/>
      <c r="AN38" s="88">
        <f>SUM(AI38:AM38)</f>
        <v>344840</v>
      </c>
      <c r="AO38" s="88">
        <v>0</v>
      </c>
      <c r="AP38" s="88">
        <v>367363.31</v>
      </c>
      <c r="AQ38" s="56"/>
      <c r="AR38" s="56">
        <v>0</v>
      </c>
      <c r="AT38" s="56">
        <v>0</v>
      </c>
      <c r="AU38" s="56"/>
      <c r="AV38" s="56">
        <f t="shared" si="7"/>
        <v>367363.31</v>
      </c>
      <c r="AW38" s="56"/>
      <c r="AX38" s="106">
        <v>65652</v>
      </c>
      <c r="AY38" s="56"/>
      <c r="AZ38" s="88">
        <v>373041</v>
      </c>
      <c r="BA38" s="56">
        <v>354000</v>
      </c>
      <c r="BB38" s="214"/>
      <c r="BC38" s="56"/>
      <c r="BD38" s="84">
        <f t="shared" si="8"/>
        <v>22523.309999999998</v>
      </c>
      <c r="BE38" s="56"/>
      <c r="BF38" s="56"/>
      <c r="BG38" s="56"/>
      <c r="BH38" s="72">
        <v>1</v>
      </c>
      <c r="BJ38">
        <v>1</v>
      </c>
    </row>
    <row r="39" spans="1:62" ht="20.100000000000001" customHeight="1" outlineLevel="1">
      <c r="A39" s="77" t="s">
        <v>43</v>
      </c>
      <c r="B39" s="77" t="s">
        <v>137</v>
      </c>
      <c r="C39" s="77" t="s">
        <v>1106</v>
      </c>
      <c r="D39" s="78" t="s">
        <v>46</v>
      </c>
      <c r="E39" s="78" t="str">
        <f t="shared" si="6"/>
        <v>000</v>
      </c>
      <c r="F39" s="3">
        <v>643012</v>
      </c>
      <c r="G39" s="102" t="s">
        <v>960</v>
      </c>
      <c r="H39" s="87"/>
      <c r="I39" s="13">
        <v>0</v>
      </c>
      <c r="J39" s="13">
        <v>0</v>
      </c>
      <c r="K39" s="4">
        <v>0</v>
      </c>
      <c r="L39" s="56">
        <v>1698</v>
      </c>
      <c r="M39" s="56"/>
      <c r="N39" s="56">
        <v>0</v>
      </c>
      <c r="O39" s="56"/>
      <c r="P39" s="56">
        <v>972</v>
      </c>
      <c r="Q39" s="56"/>
      <c r="R39" s="56">
        <v>972</v>
      </c>
      <c r="S39" s="56"/>
      <c r="T39" s="56">
        <v>0</v>
      </c>
      <c r="U39" s="56"/>
      <c r="V39" s="56">
        <v>972</v>
      </c>
      <c r="W39" s="56"/>
      <c r="X39" s="56">
        <v>438.68</v>
      </c>
      <c r="Y39" s="56"/>
      <c r="Z39" s="56">
        <v>0</v>
      </c>
      <c r="AA39" s="56"/>
      <c r="AB39" s="56"/>
      <c r="AD39" s="56"/>
      <c r="AE39" s="56"/>
      <c r="AF39" s="56">
        <f>SUM(Z39:AE39)</f>
        <v>0</v>
      </c>
      <c r="AG39" s="56">
        <v>0</v>
      </c>
      <c r="AH39" s="56">
        <v>0</v>
      </c>
      <c r="AI39" s="56"/>
      <c r="AJ39" s="56">
        <f>SUM(AE39:AI39)</f>
        <v>0</v>
      </c>
      <c r="AK39" s="85"/>
      <c r="AL39" s="56">
        <v>0</v>
      </c>
      <c r="AM39" s="56"/>
      <c r="AN39" s="88">
        <f>SUM(AI39:AM39)</f>
        <v>0</v>
      </c>
      <c r="AO39" s="88">
        <v>0</v>
      </c>
      <c r="AP39" s="88">
        <v>0</v>
      </c>
      <c r="AQ39" s="56"/>
      <c r="AR39" s="56">
        <v>0</v>
      </c>
      <c r="AT39" s="56">
        <v>0</v>
      </c>
      <c r="AU39" s="56"/>
      <c r="AV39" s="56">
        <f t="shared" si="7"/>
        <v>0</v>
      </c>
      <c r="AW39" s="56"/>
      <c r="AX39" s="56">
        <v>0</v>
      </c>
      <c r="AY39" s="56"/>
      <c r="AZ39" s="88">
        <v>0</v>
      </c>
      <c r="BA39" s="56">
        <v>0</v>
      </c>
      <c r="BB39" s="214"/>
      <c r="BC39" s="56"/>
      <c r="BD39" s="84">
        <f t="shared" si="8"/>
        <v>0</v>
      </c>
      <c r="BE39" s="56"/>
      <c r="BF39" s="56"/>
      <c r="BG39" s="56"/>
      <c r="BH39" s="72"/>
    </row>
    <row r="40" spans="1:62" ht="20.100000000000001" customHeight="1" outlineLevel="1">
      <c r="A40" s="77" t="s">
        <v>43</v>
      </c>
      <c r="B40" s="77" t="s">
        <v>429</v>
      </c>
      <c r="C40" s="77" t="s">
        <v>1106</v>
      </c>
      <c r="D40" s="78" t="s">
        <v>46</v>
      </c>
      <c r="E40" s="78" t="str">
        <f t="shared" si="6"/>
        <v>000</v>
      </c>
      <c r="F40" s="3">
        <v>611931</v>
      </c>
      <c r="G40" s="102" t="s">
        <v>961</v>
      </c>
      <c r="H40" s="87"/>
      <c r="I40" s="13">
        <v>35940</v>
      </c>
      <c r="J40" s="13">
        <v>35679</v>
      </c>
      <c r="L40" s="56">
        <v>39428</v>
      </c>
      <c r="M40" s="56"/>
      <c r="N40" s="56">
        <v>38731</v>
      </c>
      <c r="O40" s="56"/>
      <c r="P40" s="56">
        <v>38731</v>
      </c>
      <c r="Q40" s="56"/>
      <c r="R40" s="56">
        <v>40731</v>
      </c>
      <c r="S40" s="56"/>
      <c r="T40" s="56">
        <v>0</v>
      </c>
      <c r="U40" s="56"/>
      <c r="V40" s="56">
        <v>40731</v>
      </c>
      <c r="W40" s="56"/>
      <c r="X40" s="56">
        <v>40730.959999999999</v>
      </c>
      <c r="Y40" s="56"/>
      <c r="Z40" s="56">
        <v>39595</v>
      </c>
      <c r="AA40" s="56"/>
      <c r="AB40" s="56"/>
      <c r="AD40" s="56"/>
      <c r="AE40" s="56"/>
      <c r="AF40" s="56">
        <f>SUM(Z40:AE40)</f>
        <v>39595</v>
      </c>
      <c r="AG40" s="56">
        <v>0</v>
      </c>
      <c r="AH40" s="56">
        <v>2250</v>
      </c>
      <c r="AI40" s="56"/>
      <c r="AJ40" s="56">
        <f>SUM(AE40:AI40)</f>
        <v>41845</v>
      </c>
      <c r="AK40" s="85"/>
      <c r="AL40" s="56">
        <v>0</v>
      </c>
      <c r="AM40" s="56"/>
      <c r="AN40" s="88">
        <f>SUM(AI40:AM40)</f>
        <v>41845</v>
      </c>
      <c r="AO40" s="88">
        <v>0</v>
      </c>
      <c r="AP40" s="88">
        <v>40404.959999999999</v>
      </c>
      <c r="AQ40" s="56"/>
      <c r="AR40" s="56">
        <v>0</v>
      </c>
      <c r="AT40" s="56">
        <v>0</v>
      </c>
      <c r="AU40" s="56"/>
      <c r="AV40" s="56">
        <f t="shared" si="7"/>
        <v>40404.959999999999</v>
      </c>
      <c r="AW40" s="56"/>
      <c r="AX40" s="56">
        <v>0</v>
      </c>
      <c r="AY40" s="56"/>
      <c r="AZ40" s="88">
        <v>40405</v>
      </c>
      <c r="BA40" s="56">
        <v>46987</v>
      </c>
      <c r="BB40" s="214"/>
      <c r="BC40" s="56"/>
      <c r="BD40" s="84">
        <f t="shared" si="8"/>
        <v>-1440.0400000000009</v>
      </c>
      <c r="BE40" s="56"/>
      <c r="BF40" s="56"/>
      <c r="BG40" s="56"/>
      <c r="BH40" s="72">
        <v>1</v>
      </c>
      <c r="BJ40">
        <v>1</v>
      </c>
    </row>
    <row r="41" spans="1:62" ht="20.100000000000001" customHeight="1" outlineLevel="1">
      <c r="A41" s="77" t="s">
        <v>43</v>
      </c>
      <c r="B41" s="77" t="s">
        <v>962</v>
      </c>
      <c r="C41" s="77" t="s">
        <v>1106</v>
      </c>
      <c r="D41" s="78" t="s">
        <v>46</v>
      </c>
      <c r="E41" s="78" t="str">
        <f t="shared" si="6"/>
        <v>000</v>
      </c>
      <c r="F41" s="3">
        <v>611411</v>
      </c>
      <c r="G41" s="155" t="s">
        <v>969</v>
      </c>
      <c r="H41" s="87"/>
      <c r="I41" s="13"/>
      <c r="J41" s="13"/>
      <c r="L41" s="56">
        <v>0</v>
      </c>
      <c r="M41" s="56"/>
      <c r="N41" s="56"/>
      <c r="O41" s="56"/>
      <c r="P41" s="56"/>
      <c r="Q41" s="56"/>
      <c r="R41" s="56"/>
      <c r="S41" s="56"/>
      <c r="T41" s="56"/>
      <c r="U41" s="56"/>
      <c r="V41" s="56"/>
      <c r="W41" s="56"/>
      <c r="X41" s="56">
        <v>0</v>
      </c>
      <c r="Y41" s="56"/>
      <c r="Z41" s="56"/>
      <c r="AA41" s="56"/>
      <c r="AB41" s="56"/>
      <c r="AD41" s="56"/>
      <c r="AE41" s="56"/>
      <c r="AF41" s="56"/>
      <c r="AG41" s="56"/>
      <c r="AH41" s="56"/>
      <c r="AI41" s="56"/>
      <c r="AJ41" s="56"/>
      <c r="AK41" s="85"/>
      <c r="AL41" s="56"/>
      <c r="AM41" s="56"/>
      <c r="AN41" s="88">
        <v>0</v>
      </c>
      <c r="AO41" s="88">
        <v>0</v>
      </c>
      <c r="AP41" s="88">
        <v>0</v>
      </c>
      <c r="AQ41" s="56"/>
      <c r="AR41" s="56">
        <v>0</v>
      </c>
      <c r="AT41" s="56">
        <v>0</v>
      </c>
      <c r="AU41" s="56"/>
      <c r="AV41" s="56">
        <f t="shared" si="7"/>
        <v>0</v>
      </c>
      <c r="AW41" s="56"/>
      <c r="AX41" s="56">
        <v>0</v>
      </c>
      <c r="AY41" s="56"/>
      <c r="AZ41" s="88">
        <v>5000</v>
      </c>
      <c r="BA41" s="56">
        <v>5000</v>
      </c>
      <c r="BB41" s="214"/>
      <c r="BC41" s="56"/>
      <c r="BD41" s="84">
        <f t="shared" si="8"/>
        <v>0</v>
      </c>
      <c r="BE41" s="56"/>
      <c r="BF41" s="56"/>
      <c r="BG41" s="56"/>
      <c r="BH41" s="72"/>
    </row>
    <row r="42" spans="1:62" ht="20.100000000000001" customHeight="1" outlineLevel="1">
      <c r="A42" s="77" t="s">
        <v>43</v>
      </c>
      <c r="B42" s="77" t="s">
        <v>962</v>
      </c>
      <c r="C42" s="77" t="s">
        <v>1106</v>
      </c>
      <c r="D42" s="78" t="s">
        <v>46</v>
      </c>
      <c r="E42" s="78" t="str">
        <f t="shared" si="6"/>
        <v>000</v>
      </c>
      <c r="F42" s="3">
        <v>643011</v>
      </c>
      <c r="G42" s="102" t="s">
        <v>974</v>
      </c>
      <c r="H42" s="87"/>
      <c r="I42" s="13">
        <v>0</v>
      </c>
      <c r="J42" s="13">
        <v>0</v>
      </c>
      <c r="L42" s="56">
        <v>0</v>
      </c>
      <c r="M42" s="56"/>
      <c r="N42" s="56">
        <v>0</v>
      </c>
      <c r="O42" s="56"/>
      <c r="P42" s="56"/>
      <c r="Q42" s="56"/>
      <c r="R42" s="56"/>
      <c r="S42" s="56"/>
      <c r="T42" s="56"/>
      <c r="U42" s="56"/>
      <c r="V42" s="56">
        <v>0</v>
      </c>
      <c r="W42" s="56"/>
      <c r="X42" s="56">
        <v>0</v>
      </c>
      <c r="Y42" s="56"/>
      <c r="Z42" s="56">
        <v>152500</v>
      </c>
      <c r="AA42" s="56"/>
      <c r="AB42" s="56"/>
      <c r="AD42" s="56"/>
      <c r="AE42" s="56"/>
      <c r="AF42" s="56">
        <f t="shared" ref="AF42:AF50" si="9">SUM(Z42:AE42)</f>
        <v>152500</v>
      </c>
      <c r="AG42" s="56">
        <v>0</v>
      </c>
      <c r="AH42" s="56">
        <v>0</v>
      </c>
      <c r="AI42" s="56"/>
      <c r="AJ42" s="56">
        <f t="shared" ref="AJ42:AJ50" si="10">SUM(AE42:AI42)</f>
        <v>152500</v>
      </c>
      <c r="AK42" s="85"/>
      <c r="AL42" s="56">
        <v>-89075</v>
      </c>
      <c r="AM42" s="56"/>
      <c r="AN42" s="88">
        <f t="shared" ref="AN42:AN50" si="11">SUM(AI42:AM42)</f>
        <v>63425</v>
      </c>
      <c r="AO42" s="88">
        <v>0</v>
      </c>
      <c r="AP42" s="88">
        <v>165606.54</v>
      </c>
      <c r="AQ42" s="56"/>
      <c r="AR42" s="56">
        <v>0</v>
      </c>
      <c r="AT42" s="56">
        <v>0</v>
      </c>
      <c r="AU42" s="56"/>
      <c r="AV42" s="56">
        <f t="shared" si="7"/>
        <v>165606.54</v>
      </c>
      <c r="AW42" s="56"/>
      <c r="AX42" s="56">
        <v>0</v>
      </c>
      <c r="AY42" s="56"/>
      <c r="AZ42" s="88">
        <v>158000</v>
      </c>
      <c r="BA42" s="56">
        <v>168916</v>
      </c>
      <c r="BB42" s="214"/>
      <c r="BC42" s="56"/>
      <c r="BD42" s="84">
        <f t="shared" si="8"/>
        <v>102181.54000000001</v>
      </c>
      <c r="BE42" s="56"/>
      <c r="BF42" s="56"/>
      <c r="BG42" s="56"/>
      <c r="BH42" s="72"/>
    </row>
    <row r="43" spans="1:62" ht="20.100000000000001" customHeight="1" outlineLevel="1">
      <c r="A43" s="77" t="s">
        <v>43</v>
      </c>
      <c r="B43" s="77" t="s">
        <v>962</v>
      </c>
      <c r="C43" s="77" t="s">
        <v>1106</v>
      </c>
      <c r="D43" s="78" t="s">
        <v>46</v>
      </c>
      <c r="E43" s="78" t="str">
        <f t="shared" si="6"/>
        <v>000</v>
      </c>
      <c r="F43" s="3">
        <v>643012</v>
      </c>
      <c r="G43" s="102" t="s">
        <v>963</v>
      </c>
      <c r="H43" s="87"/>
      <c r="I43" s="13">
        <v>0</v>
      </c>
      <c r="J43" s="13">
        <v>0</v>
      </c>
      <c r="L43" s="56">
        <v>2060</v>
      </c>
      <c r="M43" s="56"/>
      <c r="N43" s="56">
        <v>0</v>
      </c>
      <c r="O43" s="56"/>
      <c r="P43" s="56">
        <v>0</v>
      </c>
      <c r="Q43" s="56"/>
      <c r="R43" s="56">
        <v>7500</v>
      </c>
      <c r="S43" s="89"/>
      <c r="T43" s="56">
        <v>0</v>
      </c>
      <c r="U43" s="56"/>
      <c r="V43" s="56">
        <v>7500</v>
      </c>
      <c r="W43" s="56"/>
      <c r="X43" s="56">
        <f>2995+532.28</f>
        <v>3527.2799999999997</v>
      </c>
      <c r="Y43" s="56"/>
      <c r="Z43" s="56">
        <f>7500+5500</f>
        <v>13000</v>
      </c>
      <c r="AA43" s="56"/>
      <c r="AB43" s="56"/>
      <c r="AD43" s="56"/>
      <c r="AE43" s="56"/>
      <c r="AF43" s="56">
        <f t="shared" si="9"/>
        <v>13000</v>
      </c>
      <c r="AG43" s="56">
        <v>0</v>
      </c>
      <c r="AH43" s="56">
        <v>0</v>
      </c>
      <c r="AI43" s="56"/>
      <c r="AJ43" s="56">
        <f t="shared" si="10"/>
        <v>13000</v>
      </c>
      <c r="AK43" s="85"/>
      <c r="AL43" s="56">
        <v>0</v>
      </c>
      <c r="AM43" s="56"/>
      <c r="AN43" s="88">
        <f t="shared" si="11"/>
        <v>13000</v>
      </c>
      <c r="AO43" s="88">
        <v>0</v>
      </c>
      <c r="AP43" s="88">
        <v>9998</v>
      </c>
      <c r="AQ43" s="56"/>
      <c r="AR43" s="56">
        <v>0</v>
      </c>
      <c r="AT43" s="56">
        <v>0</v>
      </c>
      <c r="AU43" s="56"/>
      <c r="AV43" s="56">
        <f t="shared" si="7"/>
        <v>9998</v>
      </c>
      <c r="AW43" s="56"/>
      <c r="AX43" s="56">
        <v>0</v>
      </c>
      <c r="AY43" s="56"/>
      <c r="AZ43" s="88">
        <v>13000</v>
      </c>
      <c r="BA43" s="56">
        <v>295627</v>
      </c>
      <c r="BB43" s="214"/>
      <c r="BC43" s="56"/>
      <c r="BD43" s="84">
        <f t="shared" si="8"/>
        <v>-3002</v>
      </c>
      <c r="BE43" s="56"/>
      <c r="BF43" s="56"/>
      <c r="BG43" s="56"/>
      <c r="BH43" s="72"/>
    </row>
    <row r="44" spans="1:62" ht="20.100000000000001" customHeight="1" outlineLevel="1">
      <c r="A44" s="77" t="s">
        <v>43</v>
      </c>
      <c r="B44" s="77" t="s">
        <v>962</v>
      </c>
      <c r="C44" s="77" t="s">
        <v>1106</v>
      </c>
      <c r="D44" s="78" t="s">
        <v>46</v>
      </c>
      <c r="E44" s="78" t="str">
        <f t="shared" si="6"/>
        <v>000</v>
      </c>
      <c r="F44" s="3">
        <v>658211</v>
      </c>
      <c r="G44" s="102" t="s">
        <v>966</v>
      </c>
      <c r="H44" s="87"/>
      <c r="I44" s="13">
        <v>7873</v>
      </c>
      <c r="J44" s="13">
        <v>5791</v>
      </c>
      <c r="L44" s="56">
        <v>8399</v>
      </c>
      <c r="M44" s="56"/>
      <c r="N44" s="56">
        <v>8400</v>
      </c>
      <c r="O44" s="56"/>
      <c r="P44" s="56">
        <v>8400</v>
      </c>
      <c r="Q44" s="56"/>
      <c r="R44" s="56">
        <v>8400</v>
      </c>
      <c r="S44" s="56"/>
      <c r="T44" s="56">
        <v>0</v>
      </c>
      <c r="U44" s="56"/>
      <c r="V44" s="56">
        <v>8400</v>
      </c>
      <c r="W44" s="56"/>
      <c r="X44" s="56">
        <v>9192.4599999999991</v>
      </c>
      <c r="Y44" s="56"/>
      <c r="Z44" s="56">
        <v>9400</v>
      </c>
      <c r="AA44" s="56"/>
      <c r="AB44" s="56"/>
      <c r="AD44" s="56"/>
      <c r="AE44" s="56"/>
      <c r="AF44" s="56">
        <f t="shared" si="9"/>
        <v>9400</v>
      </c>
      <c r="AG44" s="56">
        <v>0</v>
      </c>
      <c r="AH44" s="56">
        <v>0</v>
      </c>
      <c r="AI44" s="56"/>
      <c r="AJ44" s="56">
        <f t="shared" si="10"/>
        <v>9400</v>
      </c>
      <c r="AK44" s="85"/>
      <c r="AL44" s="56">
        <v>2700</v>
      </c>
      <c r="AM44" s="56"/>
      <c r="AN44" s="88">
        <f t="shared" si="11"/>
        <v>12100</v>
      </c>
      <c r="AO44" s="88">
        <v>0</v>
      </c>
      <c r="AP44" s="88">
        <v>10096.57</v>
      </c>
      <c r="AQ44" s="56"/>
      <c r="AR44" s="56">
        <v>0</v>
      </c>
      <c r="AT44" s="56">
        <v>0</v>
      </c>
      <c r="AU44" s="56"/>
      <c r="AV44" s="56">
        <f t="shared" si="7"/>
        <v>10096.57</v>
      </c>
      <c r="AW44" s="56"/>
      <c r="AX44" s="56">
        <v>0</v>
      </c>
      <c r="AY44" s="56"/>
      <c r="AZ44" s="88">
        <v>13400</v>
      </c>
      <c r="BA44" s="56">
        <v>13400</v>
      </c>
      <c r="BB44" s="214"/>
      <c r="BC44" s="56"/>
      <c r="BD44" s="84">
        <f t="shared" si="8"/>
        <v>-2003.4300000000003</v>
      </c>
      <c r="BE44" s="56"/>
      <c r="BF44" s="56"/>
      <c r="BG44" s="56"/>
      <c r="BH44" s="72"/>
    </row>
    <row r="45" spans="1:62" ht="20.100000000000001" customHeight="1" outlineLevel="1">
      <c r="A45" s="77" t="s">
        <v>43</v>
      </c>
      <c r="B45" s="77" t="s">
        <v>962</v>
      </c>
      <c r="C45" s="77" t="s">
        <v>1106</v>
      </c>
      <c r="D45" s="78" t="s">
        <v>46</v>
      </c>
      <c r="E45" s="78" t="str">
        <f t="shared" si="6"/>
        <v>000</v>
      </c>
      <c r="F45" s="3">
        <v>661011</v>
      </c>
      <c r="G45" s="102" t="s">
        <v>975</v>
      </c>
      <c r="H45" s="87"/>
      <c r="I45" s="13">
        <v>0</v>
      </c>
      <c r="J45" s="13">
        <v>0</v>
      </c>
      <c r="L45" s="56">
        <v>0</v>
      </c>
      <c r="M45" s="56"/>
      <c r="N45" s="56">
        <v>0</v>
      </c>
      <c r="O45" s="56"/>
      <c r="P45" s="56">
        <v>0</v>
      </c>
      <c r="Q45" s="56"/>
      <c r="R45" s="56">
        <v>15000</v>
      </c>
      <c r="S45" s="89"/>
      <c r="T45" s="56">
        <v>0</v>
      </c>
      <c r="U45" s="56"/>
      <c r="V45" s="56">
        <v>15000</v>
      </c>
      <c r="W45" s="56"/>
      <c r="X45" s="56">
        <v>15059.54</v>
      </c>
      <c r="Y45" s="56"/>
      <c r="Z45" s="56">
        <v>40000</v>
      </c>
      <c r="AA45" s="56"/>
      <c r="AB45" s="56"/>
      <c r="AD45" s="56"/>
      <c r="AE45" s="56"/>
      <c r="AF45" s="56">
        <f t="shared" si="9"/>
        <v>40000</v>
      </c>
      <c r="AG45" s="56">
        <v>0</v>
      </c>
      <c r="AH45" s="56">
        <v>0</v>
      </c>
      <c r="AI45" s="56"/>
      <c r="AJ45" s="56">
        <f t="shared" si="10"/>
        <v>40000</v>
      </c>
      <c r="AK45" s="85"/>
      <c r="AL45" s="56">
        <f>86375+20589-477</f>
        <v>106487</v>
      </c>
      <c r="AM45" s="56"/>
      <c r="AN45" s="88">
        <f t="shared" si="11"/>
        <v>146487</v>
      </c>
      <c r="AO45" s="88">
        <v>0</v>
      </c>
      <c r="AP45" s="88">
        <v>38447.65</v>
      </c>
      <c r="AQ45" s="56"/>
      <c r="AR45" s="56">
        <v>0</v>
      </c>
      <c r="AT45" s="56">
        <v>77.959999999999994</v>
      </c>
      <c r="AU45" s="56"/>
      <c r="AV45" s="56">
        <f t="shared" si="7"/>
        <v>38525.61</v>
      </c>
      <c r="AW45" s="56"/>
      <c r="AX45" s="56">
        <v>0</v>
      </c>
      <c r="AY45" s="56"/>
      <c r="AZ45" s="88">
        <v>70078</v>
      </c>
      <c r="BA45" s="56">
        <v>70077.960000000006</v>
      </c>
      <c r="BB45" s="214"/>
      <c r="BC45" s="56"/>
      <c r="BD45" s="84">
        <f t="shared" si="8"/>
        <v>-108039.35</v>
      </c>
      <c r="BE45" s="56"/>
      <c r="BF45" s="56"/>
      <c r="BG45" s="56"/>
      <c r="BH45" s="72"/>
    </row>
    <row r="46" spans="1:62" ht="20.100000000000001" customHeight="1" outlineLevel="1">
      <c r="A46" s="77" t="s">
        <v>43</v>
      </c>
      <c r="B46" s="77" t="s">
        <v>962</v>
      </c>
      <c r="C46" s="77" t="s">
        <v>1106</v>
      </c>
      <c r="D46" s="78" t="s">
        <v>46</v>
      </c>
      <c r="E46" s="78" t="str">
        <f t="shared" si="6"/>
        <v>000</v>
      </c>
      <c r="F46" s="3">
        <v>661086</v>
      </c>
      <c r="G46" s="155" t="s">
        <v>967</v>
      </c>
      <c r="H46" s="87"/>
      <c r="I46" s="13">
        <v>14566</v>
      </c>
      <c r="J46" s="13">
        <v>10143</v>
      </c>
      <c r="L46" s="56">
        <v>27273</v>
      </c>
      <c r="M46" s="56"/>
      <c r="N46" s="56">
        <v>0</v>
      </c>
      <c r="O46" s="56"/>
      <c r="P46" s="56">
        <v>3972</v>
      </c>
      <c r="Q46" s="56"/>
      <c r="R46" s="56">
        <v>3972</v>
      </c>
      <c r="S46" s="56"/>
      <c r="T46" s="56">
        <v>0</v>
      </c>
      <c r="U46" s="56"/>
      <c r="V46" s="56">
        <v>3972</v>
      </c>
      <c r="W46" s="56"/>
      <c r="X46" s="56">
        <v>76637.570000000007</v>
      </c>
      <c r="Y46" s="56"/>
      <c r="Z46" s="56">
        <v>0</v>
      </c>
      <c r="AA46" s="56"/>
      <c r="AB46" s="56"/>
      <c r="AD46" s="56"/>
      <c r="AE46" s="56"/>
      <c r="AF46" s="56">
        <f t="shared" si="9"/>
        <v>0</v>
      </c>
      <c r="AG46" s="56">
        <v>0</v>
      </c>
      <c r="AH46" s="56">
        <v>0</v>
      </c>
      <c r="AI46" s="56"/>
      <c r="AJ46" s="56">
        <f t="shared" si="10"/>
        <v>0</v>
      </c>
      <c r="AK46" s="85"/>
      <c r="AL46" s="56">
        <v>0</v>
      </c>
      <c r="AM46" s="56"/>
      <c r="AN46" s="88">
        <f t="shared" si="11"/>
        <v>0</v>
      </c>
      <c r="AO46" s="88">
        <v>0</v>
      </c>
      <c r="AP46" s="88">
        <v>9966.4500000000007</v>
      </c>
      <c r="AQ46" s="56"/>
      <c r="AR46" s="56">
        <v>0</v>
      </c>
      <c r="AT46" s="56">
        <v>0</v>
      </c>
      <c r="AU46" s="56"/>
      <c r="AV46" s="56">
        <f t="shared" si="7"/>
        <v>9966.4500000000007</v>
      </c>
      <c r="AW46" s="56"/>
      <c r="AX46" s="56">
        <v>0</v>
      </c>
      <c r="AY46" s="56"/>
      <c r="AZ46" s="88">
        <v>0</v>
      </c>
      <c r="BA46" s="56">
        <v>2218</v>
      </c>
      <c r="BB46" s="214"/>
      <c r="BC46" s="56"/>
      <c r="BD46" s="84">
        <f t="shared" si="8"/>
        <v>9966.4500000000007</v>
      </c>
      <c r="BE46" s="56"/>
      <c r="BF46" s="56"/>
      <c r="BG46" s="56"/>
      <c r="BH46" s="72"/>
    </row>
    <row r="47" spans="1:62" ht="20.100000000000001" customHeight="1" outlineLevel="1">
      <c r="A47" s="77" t="s">
        <v>43</v>
      </c>
      <c r="B47" s="77" t="s">
        <v>962</v>
      </c>
      <c r="C47" s="77" t="s">
        <v>1106</v>
      </c>
      <c r="D47" s="78" t="s">
        <v>46</v>
      </c>
      <c r="E47" s="78" t="str">
        <f t="shared" si="6"/>
        <v>000</v>
      </c>
      <c r="F47" s="3">
        <v>673001</v>
      </c>
      <c r="G47" s="102" t="s">
        <v>976</v>
      </c>
      <c r="H47" s="87"/>
      <c r="I47" s="13">
        <v>0</v>
      </c>
      <c r="J47" s="13">
        <v>0</v>
      </c>
      <c r="L47" s="56">
        <v>0</v>
      </c>
      <c r="M47" s="56"/>
      <c r="N47" s="56">
        <v>0</v>
      </c>
      <c r="O47" s="56"/>
      <c r="P47" s="56">
        <v>0</v>
      </c>
      <c r="Q47" s="56"/>
      <c r="R47" s="56">
        <v>5000</v>
      </c>
      <c r="S47" s="89"/>
      <c r="T47" s="56">
        <v>0</v>
      </c>
      <c r="U47" s="56"/>
      <c r="V47" s="56">
        <v>5000</v>
      </c>
      <c r="W47" s="56"/>
      <c r="X47" s="56">
        <v>9714.6</v>
      </c>
      <c r="Y47" s="56"/>
      <c r="Z47" s="56">
        <f>73000+14000+30000</f>
        <v>117000</v>
      </c>
      <c r="AA47" s="56"/>
      <c r="AB47" s="56"/>
      <c r="AD47" s="56"/>
      <c r="AE47" s="56"/>
      <c r="AF47" s="56">
        <f t="shared" si="9"/>
        <v>117000</v>
      </c>
      <c r="AG47" s="56">
        <v>0</v>
      </c>
      <c r="AH47" s="56">
        <v>0</v>
      </c>
      <c r="AI47" s="56"/>
      <c r="AJ47" s="56">
        <f t="shared" si="10"/>
        <v>117000</v>
      </c>
      <c r="AK47" s="85"/>
      <c r="AL47" s="56">
        <f>-20589+477</f>
        <v>-20112</v>
      </c>
      <c r="AM47" s="56"/>
      <c r="AN47" s="88">
        <f t="shared" si="11"/>
        <v>96888</v>
      </c>
      <c r="AO47" s="88">
        <v>0</v>
      </c>
      <c r="AP47" s="88">
        <v>13440</v>
      </c>
      <c r="AQ47" s="56"/>
      <c r="AR47" s="56">
        <v>0</v>
      </c>
      <c r="AT47" s="56">
        <v>0</v>
      </c>
      <c r="AU47" s="56"/>
      <c r="AV47" s="56">
        <f t="shared" si="7"/>
        <v>13440</v>
      </c>
      <c r="AW47" s="56"/>
      <c r="AX47" s="56">
        <v>0</v>
      </c>
      <c r="AY47" s="56"/>
      <c r="AZ47" s="88">
        <v>14000</v>
      </c>
      <c r="BA47" s="56">
        <v>14000</v>
      </c>
      <c r="BB47" s="229"/>
      <c r="BC47" s="56"/>
      <c r="BD47" s="84">
        <f t="shared" si="8"/>
        <v>-83448</v>
      </c>
      <c r="BE47" s="56"/>
      <c r="BF47" s="56"/>
      <c r="BG47" s="56"/>
      <c r="BH47" s="72"/>
    </row>
    <row r="48" spans="1:62" ht="20.100000000000001" customHeight="1" outlineLevel="1">
      <c r="A48" s="77" t="s">
        <v>43</v>
      </c>
      <c r="B48" s="77" t="s">
        <v>962</v>
      </c>
      <c r="C48" s="77" t="s">
        <v>1106</v>
      </c>
      <c r="D48" s="78" t="s">
        <v>46</v>
      </c>
      <c r="E48" s="78" t="str">
        <f t="shared" si="6"/>
        <v>000</v>
      </c>
      <c r="F48" s="3">
        <v>673081</v>
      </c>
      <c r="G48" s="155" t="s">
        <v>968</v>
      </c>
      <c r="H48" s="87"/>
      <c r="I48" s="13">
        <v>62000</v>
      </c>
      <c r="J48" s="13">
        <v>16033</v>
      </c>
      <c r="L48" s="56">
        <v>95523</v>
      </c>
      <c r="M48" s="56"/>
      <c r="N48" s="56">
        <v>0</v>
      </c>
      <c r="O48" s="56"/>
      <c r="P48" s="56">
        <v>28292</v>
      </c>
      <c r="Q48" s="56"/>
      <c r="R48" s="56">
        <v>28292</v>
      </c>
      <c r="S48" s="56"/>
      <c r="T48" s="56">
        <v>0</v>
      </c>
      <c r="U48" s="56"/>
      <c r="V48" s="56">
        <v>28292</v>
      </c>
      <c r="W48" s="56"/>
      <c r="X48" s="56">
        <v>29966.080000000002</v>
      </c>
      <c r="Y48" s="56"/>
      <c r="Z48" s="56">
        <v>0</v>
      </c>
      <c r="AA48" s="56"/>
      <c r="AB48" s="56"/>
      <c r="AD48" s="56"/>
      <c r="AE48" s="56"/>
      <c r="AF48" s="56">
        <f t="shared" si="9"/>
        <v>0</v>
      </c>
      <c r="AG48" s="56">
        <v>0</v>
      </c>
      <c r="AH48" s="56">
        <v>0</v>
      </c>
      <c r="AI48" s="56"/>
      <c r="AJ48" s="56">
        <f t="shared" si="10"/>
        <v>0</v>
      </c>
      <c r="AK48" s="85"/>
      <c r="AL48" s="56">
        <v>0</v>
      </c>
      <c r="AM48" s="56"/>
      <c r="AN48" s="88">
        <f t="shared" si="11"/>
        <v>0</v>
      </c>
      <c r="AO48" s="88">
        <v>0</v>
      </c>
      <c r="AP48" s="88">
        <v>10079.700000000001</v>
      </c>
      <c r="AQ48" s="56"/>
      <c r="AR48" s="56">
        <v>0</v>
      </c>
      <c r="AT48" s="56">
        <v>0</v>
      </c>
      <c r="AU48" s="56"/>
      <c r="AV48" s="56">
        <f t="shared" si="7"/>
        <v>10079.700000000001</v>
      </c>
      <c r="AW48" s="56"/>
      <c r="AX48" s="56">
        <v>0</v>
      </c>
      <c r="AY48" s="56"/>
      <c r="AZ48" s="88">
        <v>0</v>
      </c>
      <c r="BA48" s="56">
        <v>0</v>
      </c>
      <c r="BB48" s="214"/>
      <c r="BC48" s="56"/>
      <c r="BD48" s="84">
        <f t="shared" si="8"/>
        <v>10079.700000000001</v>
      </c>
      <c r="BE48" s="56"/>
      <c r="BF48" s="56"/>
      <c r="BG48" s="56"/>
      <c r="BH48" s="72"/>
    </row>
    <row r="49" spans="1:62" ht="20.100000000000001" customHeight="1" outlineLevel="1">
      <c r="A49" s="77" t="s">
        <v>43</v>
      </c>
      <c r="B49" s="77" t="s">
        <v>970</v>
      </c>
      <c r="C49" s="77" t="s">
        <v>1106</v>
      </c>
      <c r="D49" s="78" t="s">
        <v>46</v>
      </c>
      <c r="E49" s="78" t="str">
        <f t="shared" si="6"/>
        <v>000</v>
      </c>
      <c r="F49" s="3">
        <v>611821</v>
      </c>
      <c r="G49" s="102" t="s">
        <v>971</v>
      </c>
      <c r="H49" s="87"/>
      <c r="I49" s="13">
        <v>54521</v>
      </c>
      <c r="J49" s="13">
        <v>53216</v>
      </c>
      <c r="L49" s="56">
        <v>57195</v>
      </c>
      <c r="M49" s="56"/>
      <c r="N49" s="56">
        <v>56535</v>
      </c>
      <c r="O49" s="56"/>
      <c r="P49" s="56">
        <v>56535</v>
      </c>
      <c r="Q49" s="56"/>
      <c r="R49" s="56">
        <v>64485</v>
      </c>
      <c r="S49" s="56"/>
      <c r="T49" s="56">
        <v>0</v>
      </c>
      <c r="U49" s="56"/>
      <c r="V49" s="56">
        <v>64485</v>
      </c>
      <c r="W49" s="56"/>
      <c r="X49" s="56">
        <v>64484.959999999999</v>
      </c>
      <c r="Y49" s="56"/>
      <c r="Z49" s="56">
        <v>63588</v>
      </c>
      <c r="AA49" s="56"/>
      <c r="AB49" s="56"/>
      <c r="AD49" s="56"/>
      <c r="AE49" s="56"/>
      <c r="AF49" s="56">
        <f t="shared" si="9"/>
        <v>63588</v>
      </c>
      <c r="AG49" s="56">
        <v>0</v>
      </c>
      <c r="AH49" s="56">
        <v>2250</v>
      </c>
      <c r="AI49" s="56"/>
      <c r="AJ49" s="56">
        <f t="shared" si="10"/>
        <v>65838</v>
      </c>
      <c r="AK49" s="85"/>
      <c r="AL49" s="56">
        <v>0</v>
      </c>
      <c r="AM49" s="56"/>
      <c r="AN49" s="88">
        <f t="shared" si="11"/>
        <v>65838</v>
      </c>
      <c r="AO49" s="88">
        <v>0</v>
      </c>
      <c r="AP49" s="88">
        <v>64403</v>
      </c>
      <c r="AQ49" s="56"/>
      <c r="AR49" s="56">
        <v>0</v>
      </c>
      <c r="AT49" s="56">
        <v>0</v>
      </c>
      <c r="AU49" s="56"/>
      <c r="AV49" s="56">
        <f t="shared" si="7"/>
        <v>64403</v>
      </c>
      <c r="AW49" s="56"/>
      <c r="AX49" s="106">
        <v>815</v>
      </c>
      <c r="AY49" s="56"/>
      <c r="AZ49" s="88">
        <v>64403</v>
      </c>
      <c r="BA49" s="56">
        <v>65230</v>
      </c>
      <c r="BB49" s="214"/>
      <c r="BC49" s="56"/>
      <c r="BD49" s="84">
        <f t="shared" si="8"/>
        <v>-1435</v>
      </c>
      <c r="BE49" s="56"/>
      <c r="BF49" s="56"/>
      <c r="BG49" s="56"/>
      <c r="BH49" s="72">
        <v>1</v>
      </c>
      <c r="BJ49">
        <v>1</v>
      </c>
    </row>
    <row r="50" spans="1:62" ht="20.100000000000001" customHeight="1" outlineLevel="1">
      <c r="A50" s="77" t="s">
        <v>43</v>
      </c>
      <c r="B50" s="77" t="s">
        <v>972</v>
      </c>
      <c r="C50" s="77" t="s">
        <v>1106</v>
      </c>
      <c r="D50" s="78" t="s">
        <v>46</v>
      </c>
      <c r="E50" s="78" t="str">
        <f t="shared" si="6"/>
        <v>000</v>
      </c>
      <c r="F50" s="3">
        <v>611821</v>
      </c>
      <c r="G50" s="102" t="s">
        <v>973</v>
      </c>
      <c r="H50" s="87"/>
      <c r="I50" s="13"/>
      <c r="J50" s="13"/>
      <c r="L50" s="56">
        <v>0</v>
      </c>
      <c r="M50" s="56"/>
      <c r="N50" s="56">
        <v>0</v>
      </c>
      <c r="O50" s="56"/>
      <c r="P50" s="56"/>
      <c r="Q50" s="56"/>
      <c r="R50" s="56"/>
      <c r="S50" s="56"/>
      <c r="T50" s="56"/>
      <c r="U50" s="56"/>
      <c r="V50" s="56">
        <v>0</v>
      </c>
      <c r="W50" s="56"/>
      <c r="X50" s="56">
        <v>0</v>
      </c>
      <c r="Y50" s="56"/>
      <c r="Z50" s="56">
        <v>0</v>
      </c>
      <c r="AA50" s="56"/>
      <c r="AB50" s="56"/>
      <c r="AD50" s="56"/>
      <c r="AE50" s="56"/>
      <c r="AF50" s="56">
        <f t="shared" si="9"/>
        <v>0</v>
      </c>
      <c r="AG50" s="104">
        <v>24500</v>
      </c>
      <c r="AH50" s="56">
        <v>0</v>
      </c>
      <c r="AI50" s="56"/>
      <c r="AJ50" s="56">
        <f t="shared" si="10"/>
        <v>24500</v>
      </c>
      <c r="AK50" s="85"/>
      <c r="AL50" s="56">
        <v>0</v>
      </c>
      <c r="AM50" s="56"/>
      <c r="AN50" s="88">
        <f t="shared" si="11"/>
        <v>24500</v>
      </c>
      <c r="AO50" s="88">
        <v>0</v>
      </c>
      <c r="AP50" s="88">
        <v>38228</v>
      </c>
      <c r="AQ50" s="56"/>
      <c r="AR50" s="56">
        <v>0</v>
      </c>
      <c r="AT50" s="56">
        <v>0</v>
      </c>
      <c r="AU50" s="56"/>
      <c r="AV50" s="56">
        <f t="shared" si="7"/>
        <v>38228</v>
      </c>
      <c r="AW50" s="56"/>
      <c r="AX50" s="106">
        <v>5228</v>
      </c>
      <c r="AY50" s="56"/>
      <c r="AZ50" s="88">
        <v>38228</v>
      </c>
      <c r="BA50" s="56">
        <v>38582</v>
      </c>
      <c r="BB50" s="100"/>
      <c r="BC50" s="56"/>
      <c r="BD50" s="84">
        <f t="shared" si="8"/>
        <v>13728</v>
      </c>
      <c r="BE50" s="56"/>
      <c r="BF50" s="56"/>
      <c r="BG50" s="56"/>
      <c r="BH50" s="72">
        <v>1</v>
      </c>
    </row>
    <row r="51" spans="1:62" ht="20.100000000000001" customHeight="1">
      <c r="B51" s="77"/>
      <c r="C51" s="77"/>
      <c r="D51" s="90"/>
      <c r="E51" s="90"/>
      <c r="F51" s="3"/>
      <c r="G51" s="110" t="s">
        <v>977</v>
      </c>
      <c r="H51" s="81"/>
      <c r="I51" s="92">
        <v>1107641</v>
      </c>
      <c r="J51" s="93">
        <v>1651300</v>
      </c>
      <c r="L51" s="125">
        <v>1880905</v>
      </c>
      <c r="M51" s="126"/>
      <c r="N51" s="125">
        <v>2103315</v>
      </c>
      <c r="O51" s="126"/>
      <c r="P51" s="125">
        <v>2144307</v>
      </c>
      <c r="Q51" s="126"/>
      <c r="R51" s="125">
        <v>2235936</v>
      </c>
      <c r="S51" s="95"/>
      <c r="T51" s="94">
        <v>0</v>
      </c>
      <c r="U51" s="126"/>
      <c r="V51" s="125">
        <v>2235936</v>
      </c>
      <c r="W51" s="126"/>
      <c r="X51" s="125">
        <f>SUBTOTAL(9,X10:X50)</f>
        <v>2296695.54</v>
      </c>
      <c r="Y51" s="126"/>
      <c r="Z51" s="125">
        <f>SUBTOTAL(9,Z11:Z50)</f>
        <v>3304119</v>
      </c>
      <c r="AA51" s="126"/>
      <c r="AB51" s="125">
        <f>SUBTOTAL(9,AB11:AB50)</f>
        <v>0</v>
      </c>
      <c r="AD51" s="125">
        <f>SUBTOTAL(9,AD11:AD50)</f>
        <v>498</v>
      </c>
      <c r="AE51" s="126"/>
      <c r="AF51" s="125">
        <f>SUBTOTAL(9,AF11:AF50)</f>
        <v>3304617</v>
      </c>
      <c r="AG51" s="125">
        <f>SUBTOTAL(9,AG11:AG50)</f>
        <v>54960</v>
      </c>
      <c r="AH51" s="125">
        <f>SUBTOTAL(9,AH11:AH50)</f>
        <v>39250</v>
      </c>
      <c r="AI51" s="126"/>
      <c r="AJ51" s="125">
        <f>SUBTOTAL(9,AJ11:AJ50)</f>
        <v>3398827</v>
      </c>
      <c r="AK51" s="96"/>
      <c r="AL51" s="125">
        <f>SUBTOTAL(9,AL11:AL50)</f>
        <v>0</v>
      </c>
      <c r="AM51" s="126"/>
      <c r="AN51" s="127">
        <f>SUBTOTAL(9,AN11:AN50)</f>
        <v>3398827</v>
      </c>
      <c r="AO51" s="127">
        <f>SUBTOTAL(9,AO11:AO50)</f>
        <v>0</v>
      </c>
      <c r="AP51" s="127">
        <f>SUBTOTAL(9,AP11:AP50)</f>
        <v>3272619.11</v>
      </c>
      <c r="AQ51" s="126"/>
      <c r="AR51" s="125">
        <f>SUBTOTAL(9,AR11:AR50)</f>
        <v>0</v>
      </c>
      <c r="AT51" s="125">
        <f>SUBTOTAL(9,AT11:AT50)</f>
        <v>53463.159999999996</v>
      </c>
      <c r="AU51" s="126"/>
      <c r="AV51" s="125">
        <f>SUBTOTAL(9,AV11:AV50)</f>
        <v>3310718.03</v>
      </c>
      <c r="AW51" s="126"/>
      <c r="AX51" s="125">
        <f>SUBTOTAL(9,AX11:AX50)</f>
        <v>79196</v>
      </c>
      <c r="AY51" s="126"/>
      <c r="AZ51" s="127">
        <f>SUBTOTAL(9,AZ11:AZ50)</f>
        <v>2477125</v>
      </c>
      <c r="BA51" s="125">
        <f>SUBTOTAL(9,BA11:BA50)</f>
        <v>2788696.96</v>
      </c>
      <c r="BB51" s="125"/>
      <c r="BC51" s="125"/>
      <c r="BD51" s="98">
        <f t="shared" si="4"/>
        <v>-126207.89000000013</v>
      </c>
      <c r="BE51" s="126"/>
      <c r="BF51" s="126"/>
      <c r="BG51" s="126"/>
    </row>
  </sheetData>
  <autoFilter ref="A9:BH51"/>
  <mergeCells count="8">
    <mergeCell ref="A6:F6"/>
    <mergeCell ref="A7:F7"/>
    <mergeCell ref="AB5:AD5"/>
    <mergeCell ref="A8:E8"/>
    <mergeCell ref="AG2:AH2"/>
    <mergeCell ref="AG3:AH3"/>
    <mergeCell ref="AG4:AH4"/>
    <mergeCell ref="AB4:AD4"/>
  </mergeCells>
  <phoneticPr fontId="3" type="noConversion"/>
  <conditionalFormatting sqref="F1:F1048576">
    <cfRule type="cellIs" dxfId="10" priority="1" stopIfTrue="1" operator="between">
      <formula>610000</formula>
      <formula>619999</formula>
    </cfRule>
  </conditionalFormatting>
  <pageMargins left="0.54" right="0.25" top="0.24" bottom="0.49" header="0.25" footer="0"/>
  <pageSetup scale="77" fitToHeight="0" orientation="landscape" r:id="rId1"/>
  <headerFooter alignWithMargins="0">
    <oddFooter>&amp;C&amp;8Detail of Expenditures Budget By Department, Page &amp;P of &amp;N</oddFooter>
  </headerFooter>
  <legacyDrawing r:id="rId2"/>
</worksheet>
</file>

<file path=xl/worksheets/sheet28.xml><?xml version="1.0" encoding="utf-8"?>
<worksheet xmlns="http://schemas.openxmlformats.org/spreadsheetml/2006/main" xmlns:r="http://schemas.openxmlformats.org/officeDocument/2006/relationships">
  <sheetPr codeName="Sheet31" enableFormatConditionsCalculation="0">
    <tabColor indexed="17"/>
    <pageSetUpPr fitToPage="1"/>
  </sheetPr>
  <dimension ref="A1:BJ33"/>
  <sheetViews>
    <sheetView zoomScale="87" zoomScaleNormal="90" workbookViewId="0">
      <pane xSplit="8" ySplit="9" topLeftCell="AN10" activePane="bottomRight" state="frozen"/>
      <selection activeCell="A28" sqref="A28"/>
      <selection pane="topRight" activeCell="A28" sqref="A28"/>
      <selection pane="bottomLeft" activeCell="A28" sqref="A28"/>
      <selection pane="bottomRight"/>
    </sheetView>
  </sheetViews>
  <sheetFormatPr defaultRowHeight="12.75" outlineLevelRow="1" outlineLevelCol="1"/>
  <cols>
    <col min="1" max="1" width="7" style="39" customWidth="1" outlineLevel="1"/>
    <col min="2" max="2" width="6.140625" style="39" customWidth="1" outlineLevel="1"/>
    <col min="3" max="3" width="3.7109375" style="39" customWidth="1" outlineLevel="1"/>
    <col min="4" max="5" width="4.85546875" style="168" customWidth="1" outlineLevel="1"/>
    <col min="6" max="6" width="8.7109375" style="40" customWidth="1" outlineLevel="1"/>
    <col min="7" max="7" width="28.5703125" style="4" customWidth="1"/>
    <col min="8" max="8" width="16.5703125" style="4" hidden="1" customWidth="1"/>
    <col min="9" max="10" width="15.140625" style="4" hidden="1" customWidth="1" collapsed="1"/>
    <col min="11" max="11" width="39.5703125" style="4" hidden="1" customWidth="1"/>
    <col min="12" max="12" width="15.140625" style="7" bestFit="1" customWidth="1" collapsed="1"/>
    <col min="13" max="13" width="31.7109375" style="7" hidden="1" customWidth="1"/>
    <col min="14" max="14" width="35.5703125" style="7" hidden="1" customWidth="1" collapsed="1"/>
    <col min="15" max="15" width="0.140625" style="7" customWidth="1"/>
    <col min="16" max="16" width="25.28515625" style="7" hidden="1" customWidth="1" outlineLevel="1" collapsed="1"/>
    <col min="17" max="17" width="23.42578125" style="7" hidden="1" customWidth="1" outlineLevel="1"/>
    <col min="18" max="18" width="20.5703125" style="7" hidden="1" customWidth="1" outlineLevel="1" collapsed="1"/>
    <col min="19" max="19" width="18" style="7" hidden="1" customWidth="1" outlineLevel="1"/>
    <col min="20" max="20" width="19.5703125" style="7" hidden="1" customWidth="1" outlineLevel="1"/>
    <col min="21" max="21" width="18.42578125" style="7" hidden="1" customWidth="1" outlineLevel="1"/>
    <col min="22" max="22" width="13.140625" style="7" hidden="1" customWidth="1"/>
    <col min="23" max="23" width="14.140625" style="7" hidden="1" customWidth="1"/>
    <col min="24" max="24" width="14.5703125" style="7" customWidth="1" collapsed="1"/>
    <col min="25" max="25" width="0.85546875" style="7" hidden="1" customWidth="1"/>
    <col min="26" max="26" width="16.140625" style="7" hidden="1" customWidth="1"/>
    <col min="27" max="27" width="0.140625" style="7" hidden="1" customWidth="1"/>
    <col min="28" max="28" width="16.140625" style="7" hidden="1" customWidth="1" outlineLevel="1"/>
    <col min="29" max="29" width="0.42578125" style="7" hidden="1" customWidth="1" outlineLevel="1"/>
    <col min="30" max="30" width="17.85546875" style="7" hidden="1" customWidth="1" outlineLevel="1"/>
    <col min="31" max="31" width="0.42578125" style="7" hidden="1" customWidth="1" outlineLevel="1"/>
    <col min="32" max="32" width="16.140625" style="7" hidden="1" customWidth="1" collapsed="1"/>
    <col min="33" max="33" width="16" style="7" hidden="1" customWidth="1" outlineLevel="1"/>
    <col min="34" max="34" width="17" style="7" hidden="1" customWidth="1" outlineLevel="1"/>
    <col min="35" max="35" width="10.5703125" style="7" hidden="1" customWidth="1" outlineLevel="1"/>
    <col min="36" max="36" width="16.140625" style="7" hidden="1" customWidth="1" collapsed="1"/>
    <col min="37" max="37" width="0.7109375" style="7" hidden="1" customWidth="1"/>
    <col min="38" max="38" width="16.140625" style="7" hidden="1" customWidth="1" outlineLevel="1"/>
    <col min="39" max="39" width="4.140625" style="7" hidden="1" customWidth="1" outlineLevel="1"/>
    <col min="40" max="40" width="16.140625" style="17" customWidth="1" collapsed="1"/>
    <col min="41" max="41" width="16.140625" style="17" hidden="1" customWidth="1" collapsed="1"/>
    <col min="42" max="42" width="16.140625" style="17" customWidth="1" collapsed="1"/>
    <col min="43" max="43" width="0.7109375" style="7" hidden="1" customWidth="1" outlineLevel="1"/>
    <col min="44" max="44" width="22.140625" style="7" hidden="1" customWidth="1" outlineLevel="1"/>
    <col min="45" max="45" width="0.42578125" style="7" hidden="1" customWidth="1" outlineLevel="1"/>
    <col min="46" max="46" width="17.85546875" style="7" hidden="1" customWidth="1" outlineLevel="1"/>
    <col min="47" max="47" width="0.42578125" style="7" hidden="1" customWidth="1" outlineLevel="1"/>
    <col min="48" max="48" width="18" style="7" hidden="1" customWidth="1" collapsed="1"/>
    <col min="49" max="49" width="0.5703125" style="7" hidden="1" customWidth="1"/>
    <col min="50" max="50" width="18" style="7" hidden="1" customWidth="1"/>
    <col min="51" max="51" width="0.5703125" style="7" customWidth="1"/>
    <col min="52" max="52" width="15.140625" style="7" customWidth="1"/>
    <col min="53" max="53" width="15.7109375" style="7" bestFit="1" customWidth="1"/>
    <col min="54" max="54" width="15.140625" style="7" customWidth="1"/>
    <col min="55" max="55" width="23.140625" style="7" customWidth="1"/>
    <col min="56" max="56" width="19.85546875" style="7" bestFit="1" customWidth="1"/>
    <col min="57" max="59" width="12.42578125" style="7" customWidth="1"/>
    <col min="60" max="60" width="3.85546875" style="76" customWidth="1"/>
    <col min="61" max="61" width="14.5703125" style="12" bestFit="1" customWidth="1"/>
  </cols>
  <sheetData>
    <row r="1" spans="1:62" ht="15">
      <c r="A1" s="1" t="s">
        <v>0</v>
      </c>
      <c r="B1" s="2"/>
      <c r="C1" s="2"/>
      <c r="D1" s="1"/>
      <c r="E1" s="1"/>
      <c r="F1" s="3"/>
      <c r="H1" s="5"/>
      <c r="I1" s="6"/>
      <c r="T1" s="8"/>
      <c r="Z1" s="9"/>
      <c r="AB1" s="9"/>
      <c r="AD1" s="9"/>
      <c r="AF1" s="9"/>
      <c r="AH1" s="10" t="e">
        <f>+#REF!</f>
        <v>#REF!</v>
      </c>
      <c r="AJ1" s="9"/>
      <c r="AK1" s="9"/>
      <c r="AN1" s="9"/>
      <c r="AO1" s="9"/>
      <c r="AP1" s="9"/>
      <c r="AR1" s="9"/>
      <c r="AT1" s="9"/>
      <c r="AV1" s="9"/>
      <c r="AW1" s="9"/>
      <c r="AX1" s="9"/>
      <c r="AY1" s="9"/>
      <c r="AZ1" s="9"/>
      <c r="BA1" s="9"/>
      <c r="BB1" s="9"/>
      <c r="BC1" s="9"/>
      <c r="BD1" s="9"/>
      <c r="BE1" s="9"/>
      <c r="BF1" s="9"/>
      <c r="BG1" s="9"/>
      <c r="BH1" s="11"/>
    </row>
    <row r="2" spans="1:62" ht="15">
      <c r="A2" s="1" t="s">
        <v>1053</v>
      </c>
      <c r="B2" s="2"/>
      <c r="C2" s="2"/>
      <c r="D2" s="1"/>
      <c r="E2" s="1"/>
      <c r="F2" s="3"/>
      <c r="H2" s="5"/>
      <c r="I2" s="13"/>
      <c r="J2" s="14"/>
      <c r="K2" s="14"/>
      <c r="L2" s="15"/>
      <c r="M2" s="15"/>
      <c r="N2" s="15"/>
      <c r="O2" s="15"/>
      <c r="P2" s="15"/>
      <c r="R2" s="15"/>
      <c r="T2" s="8"/>
      <c r="V2" s="15"/>
      <c r="X2" s="15"/>
      <c r="Z2" s="15"/>
      <c r="AB2" s="15"/>
      <c r="AD2" s="15"/>
      <c r="AF2" s="15"/>
      <c r="AG2" s="238" t="s">
        <v>1</v>
      </c>
      <c r="AH2" s="238"/>
      <c r="AI2" s="17"/>
      <c r="AJ2" s="18"/>
      <c r="AK2" s="15"/>
      <c r="AL2" s="10" t="e">
        <f>+#REF!</f>
        <v>#REF!</v>
      </c>
      <c r="AN2" s="18"/>
      <c r="AO2" s="18"/>
      <c r="AP2" s="18"/>
      <c r="AR2" s="15"/>
      <c r="AT2" s="15"/>
      <c r="AV2" s="15"/>
      <c r="AW2" s="15"/>
      <c r="AX2" s="15"/>
      <c r="AY2" s="15"/>
      <c r="AZ2" s="15"/>
      <c r="BA2" s="15"/>
      <c r="BB2" s="15"/>
      <c r="BC2" s="15"/>
      <c r="BD2" s="15"/>
      <c r="BE2" s="15"/>
      <c r="BF2" s="15"/>
      <c r="BG2" s="15"/>
      <c r="BH2" s="19"/>
    </row>
    <row r="3" spans="1:62">
      <c r="A3" s="20" t="str">
        <f>IF(G7=1,"DETAIL OF EXPENDITURES BUDGET BY DEPARTMENT WITH COMPARATIVE AMOUNTS", "SUMMARY OF EXPENDITURES BUDGET BY DEPARTMENT WITH COMPARATIVE AMOUNTS")</f>
        <v>DETAIL OF EXPENDITURES BUDGET BY DEPARTMENT WITH COMPARATIVE AMOUNTS</v>
      </c>
      <c r="B3" s="21"/>
      <c r="C3" s="21"/>
      <c r="D3" s="22"/>
      <c r="E3" s="22"/>
      <c r="F3" s="3"/>
      <c r="H3" s="5"/>
      <c r="I3" s="23"/>
      <c r="J3" s="15"/>
      <c r="L3" s="15"/>
      <c r="M3" s="10"/>
      <c r="N3" s="10"/>
      <c r="O3" s="10"/>
      <c r="P3" s="24"/>
      <c r="R3" s="24"/>
      <c r="V3" s="24"/>
      <c r="W3" s="24"/>
      <c r="X3" s="15"/>
      <c r="Y3" s="24"/>
      <c r="AA3" s="24"/>
      <c r="AB3" s="24" t="e">
        <f>+#REF!</f>
        <v>#REF!</v>
      </c>
      <c r="AC3" s="24"/>
      <c r="AD3" s="24" t="e">
        <f>+#REF!</f>
        <v>#REF!</v>
      </c>
      <c r="AE3" s="24"/>
      <c r="AF3" s="10" t="e">
        <f>+#REF!</f>
        <v>#REF!</v>
      </c>
      <c r="AG3" s="239" t="s">
        <v>2</v>
      </c>
      <c r="AH3" s="239"/>
      <c r="AI3" s="25"/>
      <c r="AJ3" s="25" t="e">
        <f>+#REF!</f>
        <v>#REF!</v>
      </c>
      <c r="AK3" s="24"/>
      <c r="AL3" s="16" t="s">
        <v>1</v>
      </c>
      <c r="AM3" s="25"/>
      <c r="AN3" s="25"/>
      <c r="AO3" s="25"/>
      <c r="AP3" s="25"/>
      <c r="AQ3" s="24"/>
      <c r="AR3" s="24" t="e">
        <f>+#REF!</f>
        <v>#REF!</v>
      </c>
      <c r="AS3" s="24"/>
      <c r="AT3" s="24" t="e">
        <f>+#REF!</f>
        <v>#REF!</v>
      </c>
      <c r="AU3" s="24"/>
      <c r="AV3" s="24" t="e">
        <f>+#REF!</f>
        <v>#REF!</v>
      </c>
      <c r="AW3" s="24"/>
      <c r="AX3" s="24" t="e">
        <f>+#REF!</f>
        <v>#REF!</v>
      </c>
      <c r="AY3" s="24"/>
      <c r="AZ3" s="24"/>
      <c r="BA3" s="24"/>
      <c r="BB3" s="24"/>
      <c r="BC3" s="24"/>
      <c r="BD3" s="26"/>
      <c r="BE3" s="26"/>
      <c r="BF3" s="26"/>
      <c r="BG3" s="26"/>
      <c r="BH3" s="27"/>
    </row>
    <row r="4" spans="1:62" ht="15">
      <c r="A4" s="28" t="s">
        <v>1070</v>
      </c>
      <c r="B4" s="29"/>
      <c r="C4" s="29"/>
      <c r="D4" s="28"/>
      <c r="E4" s="28"/>
      <c r="F4" s="3"/>
      <c r="H4" s="30"/>
      <c r="I4" s="31" t="e">
        <f>+#REF!</f>
        <v>#REF!</v>
      </c>
      <c r="J4" s="31" t="e">
        <f>+#REF!</f>
        <v>#REF!</v>
      </c>
      <c r="L4" s="31"/>
      <c r="M4" s="32"/>
      <c r="N4" s="33"/>
      <c r="O4" s="32"/>
      <c r="P4" s="33"/>
      <c r="R4" s="33"/>
      <c r="T4" s="33"/>
      <c r="X4" s="31"/>
      <c r="Z4" s="10"/>
      <c r="AB4" s="241"/>
      <c r="AC4" s="241"/>
      <c r="AD4" s="241"/>
      <c r="AE4" s="35"/>
      <c r="AF4" s="34"/>
      <c r="AG4" s="240"/>
      <c r="AH4" s="240"/>
      <c r="AI4" s="17"/>
      <c r="AJ4" s="16"/>
      <c r="AK4" s="24"/>
      <c r="AL4" s="16"/>
      <c r="AM4" s="17"/>
      <c r="AN4" s="31"/>
      <c r="AO4" s="31"/>
      <c r="AP4" s="31"/>
      <c r="AR4" s="34" t="s">
        <v>5</v>
      </c>
      <c r="AU4" s="35"/>
      <c r="AV4" s="34"/>
      <c r="AW4" s="34"/>
      <c r="AX4" s="34" t="s">
        <v>5</v>
      </c>
      <c r="AY4" s="34"/>
      <c r="AZ4" s="34"/>
      <c r="BA4" s="34"/>
      <c r="BB4" s="34"/>
      <c r="BC4" s="34"/>
      <c r="BD4" s="37"/>
      <c r="BE4" s="37"/>
      <c r="BF4" s="37"/>
      <c r="BG4" s="37"/>
      <c r="BH4" s="38"/>
    </row>
    <row r="5" spans="1:62" ht="15">
      <c r="B5" s="29"/>
      <c r="C5" s="29"/>
      <c r="D5" s="28"/>
      <c r="E5" s="28"/>
      <c r="G5" s="28"/>
      <c r="H5" s="5"/>
      <c r="I5" s="41" t="s">
        <v>6</v>
      </c>
      <c r="J5" s="42" t="s">
        <v>7</v>
      </c>
      <c r="L5" s="16" t="s">
        <v>8</v>
      </c>
      <c r="M5" s="16"/>
      <c r="N5" s="16" t="s">
        <v>9</v>
      </c>
      <c r="O5" s="16"/>
      <c r="P5" s="16" t="s">
        <v>9</v>
      </c>
      <c r="Q5" s="17"/>
      <c r="R5" s="43"/>
      <c r="S5" s="17"/>
      <c r="T5" s="16"/>
      <c r="U5" s="17"/>
      <c r="V5" s="16" t="s">
        <v>9</v>
      </c>
      <c r="X5" s="16" t="s">
        <v>9</v>
      </c>
      <c r="Z5" s="34" t="s">
        <v>1</v>
      </c>
      <c r="AB5" s="243" t="s">
        <v>10</v>
      </c>
      <c r="AC5" s="243"/>
      <c r="AD5" s="243"/>
      <c r="AE5" s="35"/>
      <c r="AF5" s="34" t="s">
        <v>1</v>
      </c>
      <c r="AG5" s="17"/>
      <c r="AH5" s="16" t="s">
        <v>11</v>
      </c>
      <c r="AI5" s="17"/>
      <c r="AJ5" s="16" t="s">
        <v>1</v>
      </c>
      <c r="AK5" s="24"/>
      <c r="AL5" s="43" t="s">
        <v>12</v>
      </c>
      <c r="AM5" s="17"/>
      <c r="AN5" s="16" t="s">
        <v>1</v>
      </c>
      <c r="AO5" s="45" t="s">
        <v>1</v>
      </c>
      <c r="AP5" s="46" t="s">
        <v>5</v>
      </c>
      <c r="AQ5" s="47"/>
      <c r="AR5" s="48" t="s">
        <v>10</v>
      </c>
      <c r="AS5" s="47"/>
      <c r="AT5" s="47"/>
      <c r="AU5" s="47"/>
      <c r="AV5" s="46" t="s">
        <v>5</v>
      </c>
      <c r="AW5" s="34"/>
      <c r="AX5" s="49" t="s">
        <v>3</v>
      </c>
      <c r="AY5" s="34"/>
      <c r="AZ5" s="16" t="s">
        <v>1054</v>
      </c>
      <c r="BA5" s="16" t="s">
        <v>1054</v>
      </c>
      <c r="BB5" s="34" t="s">
        <v>1069</v>
      </c>
      <c r="BC5" s="34"/>
      <c r="BD5" s="50" t="s">
        <v>13</v>
      </c>
      <c r="BE5" s="37"/>
      <c r="BF5" s="37"/>
      <c r="BG5" s="37"/>
      <c r="BH5" s="51"/>
    </row>
    <row r="6" spans="1:62">
      <c r="A6" s="242"/>
      <c r="B6" s="242"/>
      <c r="C6" s="242"/>
      <c r="D6" s="242"/>
      <c r="E6" s="242"/>
      <c r="F6" s="242"/>
      <c r="G6" s="22"/>
      <c r="H6" s="5"/>
      <c r="I6" s="52" t="s">
        <v>14</v>
      </c>
      <c r="J6" s="52" t="s">
        <v>14</v>
      </c>
      <c r="L6" s="43" t="s">
        <v>14</v>
      </c>
      <c r="M6" s="43"/>
      <c r="N6" s="43" t="s">
        <v>15</v>
      </c>
      <c r="O6" s="43"/>
      <c r="P6" s="43" t="s">
        <v>4</v>
      </c>
      <c r="Q6" s="17"/>
      <c r="R6" s="43" t="s">
        <v>4</v>
      </c>
      <c r="S6" s="43"/>
      <c r="T6" s="43" t="s">
        <v>16</v>
      </c>
      <c r="U6" s="43"/>
      <c r="V6" s="43" t="s">
        <v>4</v>
      </c>
      <c r="W6" s="43"/>
      <c r="X6" s="43" t="s">
        <v>14</v>
      </c>
      <c r="Y6" s="43"/>
      <c r="Z6" s="34" t="s">
        <v>17</v>
      </c>
      <c r="AA6" s="43"/>
      <c r="AB6" s="53" t="s">
        <v>16</v>
      </c>
      <c r="AC6" s="53"/>
      <c r="AD6" s="34"/>
      <c r="AE6" s="53"/>
      <c r="AF6" s="34" t="s">
        <v>17</v>
      </c>
      <c r="AG6" s="43" t="s">
        <v>16</v>
      </c>
      <c r="AH6" s="16" t="s">
        <v>18</v>
      </c>
      <c r="AI6" s="43"/>
      <c r="AJ6" s="16" t="s">
        <v>19</v>
      </c>
      <c r="AK6" s="24"/>
      <c r="AL6" s="43" t="s">
        <v>16</v>
      </c>
      <c r="AM6" s="43"/>
      <c r="AN6" s="43" t="s">
        <v>14</v>
      </c>
      <c r="AO6" s="45" t="s">
        <v>20</v>
      </c>
      <c r="AP6" s="43" t="s">
        <v>14</v>
      </c>
      <c r="AQ6" s="54"/>
      <c r="AR6" s="54" t="s">
        <v>16</v>
      </c>
      <c r="AS6" s="54"/>
      <c r="AT6" s="46"/>
      <c r="AU6" s="54"/>
      <c r="AV6" s="46" t="s">
        <v>19</v>
      </c>
      <c r="AW6" s="34"/>
      <c r="AX6" s="55" t="s">
        <v>16</v>
      </c>
      <c r="AY6" s="34"/>
      <c r="AZ6" s="16" t="s">
        <v>19</v>
      </c>
      <c r="BA6" s="16" t="s">
        <v>19</v>
      </c>
      <c r="BB6" s="34" t="s">
        <v>19</v>
      </c>
      <c r="BC6" s="56"/>
      <c r="BD6" s="50" t="s">
        <v>21</v>
      </c>
      <c r="BE6" s="37"/>
      <c r="BF6" s="37"/>
      <c r="BG6" s="37"/>
      <c r="BH6" s="57"/>
    </row>
    <row r="7" spans="1:62" ht="15">
      <c r="A7" s="237"/>
      <c r="B7" s="237"/>
      <c r="C7" s="237"/>
      <c r="D7" s="237"/>
      <c r="E7" s="237"/>
      <c r="F7" s="237"/>
      <c r="G7" s="59">
        <v>1</v>
      </c>
      <c r="H7" s="60"/>
      <c r="I7" s="52" t="s">
        <v>22</v>
      </c>
      <c r="J7" s="52" t="s">
        <v>22</v>
      </c>
      <c r="L7" s="43" t="s">
        <v>22</v>
      </c>
      <c r="M7" s="43"/>
      <c r="N7" s="43" t="s">
        <v>23</v>
      </c>
      <c r="O7" s="43"/>
      <c r="P7" s="43" t="s">
        <v>24</v>
      </c>
      <c r="Q7" s="43"/>
      <c r="R7" s="43" t="s">
        <v>24</v>
      </c>
      <c r="S7" s="43"/>
      <c r="T7" s="43" t="s">
        <v>25</v>
      </c>
      <c r="U7" s="43"/>
      <c r="V7" s="43" t="s">
        <v>24</v>
      </c>
      <c r="W7" s="43"/>
      <c r="X7" s="43" t="s">
        <v>22</v>
      </c>
      <c r="Y7" s="43"/>
      <c r="Z7" s="53" t="s">
        <v>15</v>
      </c>
      <c r="AA7" s="43"/>
      <c r="AB7" s="53" t="s">
        <v>26</v>
      </c>
      <c r="AC7" s="53"/>
      <c r="AD7" s="53"/>
      <c r="AE7" s="53"/>
      <c r="AF7" s="53" t="s">
        <v>4</v>
      </c>
      <c r="AG7" s="43" t="s">
        <v>26</v>
      </c>
      <c r="AH7" s="43" t="s">
        <v>27</v>
      </c>
      <c r="AI7" s="43"/>
      <c r="AJ7" s="43" t="s">
        <v>4</v>
      </c>
      <c r="AK7" s="24"/>
      <c r="AL7" s="43" t="s">
        <v>26</v>
      </c>
      <c r="AM7" s="43"/>
      <c r="AN7" s="43" t="s">
        <v>22</v>
      </c>
      <c r="AO7" s="61" t="s">
        <v>22</v>
      </c>
      <c r="AP7" s="43" t="s">
        <v>22</v>
      </c>
      <c r="AQ7" s="54"/>
      <c r="AR7" s="54" t="s">
        <v>26</v>
      </c>
      <c r="AS7" s="54"/>
      <c r="AT7" s="54"/>
      <c r="AU7" s="54"/>
      <c r="AV7" s="54" t="s">
        <v>4</v>
      </c>
      <c r="AW7" s="53"/>
      <c r="AX7" s="55" t="s">
        <v>26</v>
      </c>
      <c r="AY7" s="53"/>
      <c r="AZ7" s="16" t="s">
        <v>15</v>
      </c>
      <c r="BA7" s="43" t="s">
        <v>4</v>
      </c>
      <c r="BB7" s="34" t="s">
        <v>15</v>
      </c>
      <c r="BC7" s="56"/>
      <c r="BD7" s="50" t="s">
        <v>28</v>
      </c>
      <c r="BE7" s="62"/>
      <c r="BF7" s="62"/>
      <c r="BG7" s="62"/>
      <c r="BH7" s="57"/>
      <c r="BI7" s="63"/>
    </row>
    <row r="8" spans="1:62" ht="15">
      <c r="A8" s="237" t="s">
        <v>29</v>
      </c>
      <c r="B8" s="237"/>
      <c r="C8" s="237"/>
      <c r="D8" s="237"/>
      <c r="E8" s="237"/>
      <c r="F8" s="64" t="s">
        <v>30</v>
      </c>
      <c r="G8" s="64" t="s">
        <v>31</v>
      </c>
      <c r="H8" s="60"/>
      <c r="I8" s="65" t="s">
        <v>32</v>
      </c>
      <c r="J8" s="65" t="s">
        <v>32</v>
      </c>
      <c r="L8" s="66" t="s">
        <v>32</v>
      </c>
      <c r="M8" s="36"/>
      <c r="N8" s="36" t="s">
        <v>2</v>
      </c>
      <c r="O8" s="36"/>
      <c r="P8" s="36" t="s">
        <v>33</v>
      </c>
      <c r="Q8" s="36"/>
      <c r="R8" s="36" t="s">
        <v>34</v>
      </c>
      <c r="S8" s="36"/>
      <c r="T8" s="36" t="s">
        <v>35</v>
      </c>
      <c r="U8" s="36"/>
      <c r="V8" s="36" t="s">
        <v>36</v>
      </c>
      <c r="W8" s="36"/>
      <c r="X8" s="66" t="s">
        <v>32</v>
      </c>
      <c r="Y8" s="36"/>
      <c r="Z8" s="44" t="s">
        <v>24</v>
      </c>
      <c r="AA8" s="36"/>
      <c r="AB8" s="44" t="s">
        <v>35</v>
      </c>
      <c r="AC8" s="44"/>
      <c r="AD8" s="44" t="s">
        <v>37</v>
      </c>
      <c r="AE8" s="44"/>
      <c r="AF8" s="44" t="s">
        <v>38</v>
      </c>
      <c r="AG8" s="36" t="s">
        <v>35</v>
      </c>
      <c r="AH8" s="36" t="s">
        <v>39</v>
      </c>
      <c r="AI8" s="36"/>
      <c r="AJ8" s="36" t="s">
        <v>40</v>
      </c>
      <c r="AK8" s="24"/>
      <c r="AL8" s="36" t="s">
        <v>35</v>
      </c>
      <c r="AM8" s="36"/>
      <c r="AN8" s="36" t="s">
        <v>32</v>
      </c>
      <c r="AO8" s="67" t="s">
        <v>32</v>
      </c>
      <c r="AP8" s="36" t="s">
        <v>32</v>
      </c>
      <c r="AQ8" s="48"/>
      <c r="AR8" s="48" t="s">
        <v>35</v>
      </c>
      <c r="AS8" s="48"/>
      <c r="AT8" s="48" t="s">
        <v>37</v>
      </c>
      <c r="AU8" s="48"/>
      <c r="AV8" s="48" t="s">
        <v>38</v>
      </c>
      <c r="AW8" s="44"/>
      <c r="AX8" s="49" t="s">
        <v>35</v>
      </c>
      <c r="AY8" s="44"/>
      <c r="AZ8" s="36" t="s">
        <v>2</v>
      </c>
      <c r="BA8" s="36" t="s">
        <v>40</v>
      </c>
      <c r="BB8" s="44" t="s">
        <v>2</v>
      </c>
      <c r="BC8" s="56"/>
      <c r="BD8" s="50" t="s">
        <v>41</v>
      </c>
      <c r="BE8" s="68"/>
      <c r="BF8" s="68"/>
      <c r="BG8" s="68"/>
      <c r="BH8" s="69"/>
    </row>
    <row r="9" spans="1:62" ht="15">
      <c r="A9" s="58"/>
      <c r="B9" s="58"/>
      <c r="C9" s="58"/>
      <c r="D9" s="64"/>
      <c r="E9" s="64"/>
      <c r="F9" s="64"/>
      <c r="G9" s="70"/>
      <c r="H9" s="60"/>
      <c r="J9" s="71"/>
      <c r="AK9" s="24"/>
      <c r="AZ9" s="34"/>
      <c r="BB9" s="34"/>
      <c r="BC9" s="56"/>
      <c r="BH9" s="72">
        <v>2</v>
      </c>
    </row>
    <row r="10" spans="1:62" ht="20.100000000000001" customHeight="1" outlineLevel="1">
      <c r="A10" s="75" t="s">
        <v>919</v>
      </c>
      <c r="B10" s="77"/>
      <c r="C10" s="77"/>
      <c r="D10" s="90"/>
      <c r="E10" s="90"/>
      <c r="F10" s="3"/>
      <c r="H10" s="87"/>
      <c r="L10" s="44"/>
      <c r="M10" s="83"/>
      <c r="N10" s="83"/>
      <c r="O10" s="83"/>
      <c r="P10" s="83"/>
      <c r="Q10" s="83"/>
      <c r="R10" s="83"/>
      <c r="S10" s="83"/>
      <c r="T10" s="83"/>
      <c r="U10" s="83"/>
      <c r="V10" s="83"/>
      <c r="W10" s="83"/>
      <c r="X10" s="83"/>
      <c r="Y10" s="83"/>
      <c r="Z10" s="83"/>
      <c r="AA10" s="83"/>
      <c r="AB10" s="83"/>
      <c r="AD10" s="83"/>
      <c r="AE10" s="83"/>
      <c r="AF10" s="83"/>
      <c r="AG10" s="83"/>
      <c r="AH10" s="83"/>
      <c r="AI10" s="83"/>
      <c r="AJ10" s="83"/>
      <c r="AK10" s="85"/>
      <c r="AL10" s="83"/>
      <c r="AM10" s="83"/>
      <c r="AN10" s="100"/>
      <c r="AO10" s="100"/>
      <c r="AP10" s="100"/>
      <c r="AQ10" s="83"/>
      <c r="AR10" s="83"/>
      <c r="AT10" s="83"/>
      <c r="AU10" s="83"/>
      <c r="AV10" s="83"/>
      <c r="AW10" s="83"/>
      <c r="AX10" s="83"/>
      <c r="AY10" s="83"/>
      <c r="AZ10" s="83"/>
      <c r="BA10" s="83"/>
      <c r="BB10" s="83"/>
      <c r="BC10" s="83"/>
      <c r="BD10" s="83"/>
      <c r="BE10" s="83"/>
      <c r="BF10" s="83"/>
      <c r="BG10" s="83"/>
      <c r="BH10" s="19"/>
    </row>
    <row r="11" spans="1:62" ht="20.100000000000001" customHeight="1" outlineLevel="1">
      <c r="A11" s="77" t="s">
        <v>43</v>
      </c>
      <c r="B11" s="77" t="s">
        <v>883</v>
      </c>
      <c r="C11" s="77" t="s">
        <v>1107</v>
      </c>
      <c r="D11" s="78" t="s">
        <v>46</v>
      </c>
      <c r="E11" s="78" t="str">
        <f>+D11</f>
        <v>000</v>
      </c>
      <c r="F11" s="79">
        <v>611116</v>
      </c>
      <c r="G11" s="102" t="s">
        <v>762</v>
      </c>
      <c r="H11" s="87"/>
      <c r="I11" s="82">
        <v>67078</v>
      </c>
      <c r="J11" s="82">
        <v>67220</v>
      </c>
      <c r="L11" s="83">
        <v>73097</v>
      </c>
      <c r="M11" s="83"/>
      <c r="N11" s="83">
        <v>81075</v>
      </c>
      <c r="O11" s="83"/>
      <c r="P11" s="83">
        <v>81075</v>
      </c>
      <c r="Q11" s="83"/>
      <c r="R11" s="83">
        <v>82775</v>
      </c>
      <c r="S11" s="83"/>
      <c r="T11" s="83">
        <v>0</v>
      </c>
      <c r="U11" s="83"/>
      <c r="V11" s="83">
        <v>82775</v>
      </c>
      <c r="W11" s="83"/>
      <c r="X11" s="83">
        <v>82775</v>
      </c>
      <c r="Y11" s="83"/>
      <c r="Z11" s="83">
        <v>82639</v>
      </c>
      <c r="AA11" s="83"/>
      <c r="AB11" s="83"/>
      <c r="AD11" s="83"/>
      <c r="AE11" s="83"/>
      <c r="AF11" s="86">
        <f t="shared" ref="AF11:AF17" si="0">SUM(Z11:AE11)</f>
        <v>82639</v>
      </c>
      <c r="AG11" s="83">
        <v>0</v>
      </c>
      <c r="AH11" s="83">
        <v>1250</v>
      </c>
      <c r="AI11" s="83"/>
      <c r="AJ11" s="86">
        <f t="shared" ref="AJ11:AJ17" si="1">SUM(AE11:AI11)</f>
        <v>83889</v>
      </c>
      <c r="AK11" s="85"/>
      <c r="AL11" s="83">
        <v>0</v>
      </c>
      <c r="AM11" s="83"/>
      <c r="AN11" s="86">
        <f t="shared" ref="AN11:AN17" si="2">SUM(AI11:AM11)</f>
        <v>83889</v>
      </c>
      <c r="AO11" s="86">
        <v>0</v>
      </c>
      <c r="AP11" s="86">
        <v>82638.960000000006</v>
      </c>
      <c r="AQ11" s="83"/>
      <c r="AR11" s="83">
        <v>0</v>
      </c>
      <c r="AT11" s="83">
        <v>0</v>
      </c>
      <c r="AU11" s="83"/>
      <c r="AV11" s="86">
        <f t="shared" ref="AV11:AV17" si="3">SUM(AP11:AU11)</f>
        <v>82638.960000000006</v>
      </c>
      <c r="AW11" s="86"/>
      <c r="AX11" s="86">
        <v>0</v>
      </c>
      <c r="AY11" s="86"/>
      <c r="AZ11" s="86">
        <v>82639</v>
      </c>
      <c r="BA11" s="86">
        <v>82639</v>
      </c>
      <c r="BB11" s="214"/>
      <c r="BC11" s="86"/>
      <c r="BD11" s="84">
        <f t="shared" ref="BD11:BD17" si="4">+AP11-AN11</f>
        <v>-1250.0399999999936</v>
      </c>
      <c r="BE11" s="86"/>
      <c r="BF11" s="86"/>
      <c r="BG11" s="86"/>
      <c r="BH11" s="72">
        <v>1</v>
      </c>
      <c r="BJ11">
        <v>1</v>
      </c>
    </row>
    <row r="12" spans="1:62" ht="20.100000000000001" customHeight="1" outlineLevel="1">
      <c r="A12" s="77" t="s">
        <v>43</v>
      </c>
      <c r="B12" s="77" t="s">
        <v>883</v>
      </c>
      <c r="C12" s="77" t="s">
        <v>1107</v>
      </c>
      <c r="D12" s="78" t="s">
        <v>46</v>
      </c>
      <c r="E12" s="78" t="str">
        <f t="shared" ref="E12:E32" si="5">+D12</f>
        <v>000</v>
      </c>
      <c r="F12" s="3">
        <v>611117</v>
      </c>
      <c r="G12" s="102" t="s">
        <v>920</v>
      </c>
      <c r="H12" s="87"/>
      <c r="I12" s="13">
        <v>50850</v>
      </c>
      <c r="J12" s="13">
        <v>50819</v>
      </c>
      <c r="L12" s="56">
        <v>56349</v>
      </c>
      <c r="M12" s="56"/>
      <c r="N12" s="56">
        <v>58474</v>
      </c>
      <c r="O12" s="56"/>
      <c r="P12" s="56">
        <v>58474</v>
      </c>
      <c r="Q12" s="56"/>
      <c r="R12" s="56">
        <v>60447</v>
      </c>
      <c r="S12" s="56"/>
      <c r="T12" s="56">
        <v>0</v>
      </c>
      <c r="U12" s="56"/>
      <c r="V12" s="56">
        <v>60447</v>
      </c>
      <c r="W12" s="56"/>
      <c r="X12" s="56">
        <v>60446.96</v>
      </c>
      <c r="Y12" s="56"/>
      <c r="Z12" s="56">
        <v>59990</v>
      </c>
      <c r="AA12" s="56"/>
      <c r="AB12" s="56"/>
      <c r="AD12" s="56"/>
      <c r="AE12" s="56"/>
      <c r="AF12" s="56">
        <f t="shared" si="0"/>
        <v>59990</v>
      </c>
      <c r="AG12" s="56">
        <v>0</v>
      </c>
      <c r="AH12" s="56">
        <v>1250</v>
      </c>
      <c r="AI12" s="56"/>
      <c r="AJ12" s="56">
        <f t="shared" si="1"/>
        <v>61240</v>
      </c>
      <c r="AK12" s="85"/>
      <c r="AL12" s="56">
        <v>0</v>
      </c>
      <c r="AM12" s="56"/>
      <c r="AN12" s="88">
        <f t="shared" si="2"/>
        <v>61240</v>
      </c>
      <c r="AO12" s="88">
        <v>0</v>
      </c>
      <c r="AP12" s="88">
        <v>59990</v>
      </c>
      <c r="AQ12" s="56"/>
      <c r="AR12" s="56">
        <v>0</v>
      </c>
      <c r="AT12" s="56">
        <v>0</v>
      </c>
      <c r="AU12" s="56"/>
      <c r="AV12" s="56">
        <f t="shared" si="3"/>
        <v>59990</v>
      </c>
      <c r="AW12" s="56"/>
      <c r="AX12" s="56">
        <v>0</v>
      </c>
      <c r="AY12" s="56"/>
      <c r="AZ12" s="88">
        <v>59990</v>
      </c>
      <c r="BA12" s="56">
        <v>59990</v>
      </c>
      <c r="BB12" s="214"/>
      <c r="BC12" s="56"/>
      <c r="BD12" s="84">
        <f t="shared" si="4"/>
        <v>-1250</v>
      </c>
      <c r="BE12" s="56"/>
      <c r="BF12" s="56"/>
      <c r="BG12" s="56"/>
      <c r="BH12" s="72">
        <v>1</v>
      </c>
      <c r="BJ12">
        <v>1</v>
      </c>
    </row>
    <row r="13" spans="1:62" ht="20.100000000000001" customHeight="1" outlineLevel="1">
      <c r="A13" s="77" t="s">
        <v>43</v>
      </c>
      <c r="B13" s="77" t="s">
        <v>883</v>
      </c>
      <c r="C13" s="77" t="s">
        <v>1107</v>
      </c>
      <c r="D13" s="78" t="s">
        <v>46</v>
      </c>
      <c r="E13" s="78" t="str">
        <f t="shared" si="5"/>
        <v>000</v>
      </c>
      <c r="F13" s="3">
        <v>611411</v>
      </c>
      <c r="G13" s="102" t="s">
        <v>80</v>
      </c>
      <c r="H13" s="87"/>
      <c r="I13" s="13">
        <v>104105</v>
      </c>
      <c r="J13" s="13">
        <v>99682</v>
      </c>
      <c r="L13" s="56">
        <v>118141</v>
      </c>
      <c r="M13" s="56"/>
      <c r="N13" s="56">
        <v>108576</v>
      </c>
      <c r="O13" s="56"/>
      <c r="P13" s="56">
        <v>108576</v>
      </c>
      <c r="Q13" s="56"/>
      <c r="R13" s="56">
        <v>122826</v>
      </c>
      <c r="S13" s="56"/>
      <c r="T13" s="56">
        <v>0</v>
      </c>
      <c r="U13" s="56"/>
      <c r="V13" s="56">
        <v>122826</v>
      </c>
      <c r="W13" s="56"/>
      <c r="X13" s="56">
        <v>120286.72</v>
      </c>
      <c r="Y13" s="56"/>
      <c r="Z13" s="56">
        <v>112237</v>
      </c>
      <c r="AA13" s="56"/>
      <c r="AB13" s="56"/>
      <c r="AD13" s="56"/>
      <c r="AE13" s="56"/>
      <c r="AF13" s="56">
        <f t="shared" si="0"/>
        <v>112237</v>
      </c>
      <c r="AG13" s="56">
        <v>0</v>
      </c>
      <c r="AH13" s="56">
        <v>11250</v>
      </c>
      <c r="AI13" s="56"/>
      <c r="AJ13" s="56">
        <f t="shared" si="1"/>
        <v>123487</v>
      </c>
      <c r="AK13" s="85"/>
      <c r="AL13" s="56">
        <v>0</v>
      </c>
      <c r="AM13" s="56"/>
      <c r="AN13" s="88">
        <f t="shared" si="2"/>
        <v>123487</v>
      </c>
      <c r="AO13" s="88">
        <v>0</v>
      </c>
      <c r="AP13" s="88">
        <v>107776.22</v>
      </c>
      <c r="AQ13" s="56"/>
      <c r="AR13" s="56">
        <v>0</v>
      </c>
      <c r="AT13" s="56">
        <v>0</v>
      </c>
      <c r="AU13" s="56"/>
      <c r="AV13" s="56">
        <f t="shared" si="3"/>
        <v>107776.22</v>
      </c>
      <c r="AW13" s="56"/>
      <c r="AX13" s="56">
        <v>0</v>
      </c>
      <c r="AY13" s="56"/>
      <c r="AZ13" s="88">
        <v>108179</v>
      </c>
      <c r="BA13" s="56">
        <v>109919</v>
      </c>
      <c r="BB13" s="214"/>
      <c r="BC13" s="56"/>
      <c r="BD13" s="84">
        <f t="shared" si="4"/>
        <v>-15710.779999999999</v>
      </c>
      <c r="BE13" s="56"/>
      <c r="BF13" s="56"/>
      <c r="BG13" s="56"/>
      <c r="BH13" s="72">
        <v>1</v>
      </c>
      <c r="BJ13">
        <v>1</v>
      </c>
    </row>
    <row r="14" spans="1:62" ht="20.100000000000001" customHeight="1" outlineLevel="1">
      <c r="A14" s="77" t="s">
        <v>43</v>
      </c>
      <c r="B14" s="144" t="s">
        <v>77</v>
      </c>
      <c r="C14" s="77" t="s">
        <v>1107</v>
      </c>
      <c r="D14" s="78" t="s">
        <v>46</v>
      </c>
      <c r="E14" s="78" t="str">
        <f t="shared" si="5"/>
        <v>000</v>
      </c>
      <c r="F14" s="3">
        <v>611812</v>
      </c>
      <c r="G14" s="102" t="s">
        <v>81</v>
      </c>
      <c r="H14" s="87"/>
      <c r="I14" s="13">
        <v>477484</v>
      </c>
      <c r="J14" s="13">
        <v>467034</v>
      </c>
      <c r="L14" s="56">
        <v>531736</v>
      </c>
      <c r="M14" s="56"/>
      <c r="N14" s="56">
        <v>560019</v>
      </c>
      <c r="O14" s="56"/>
      <c r="P14" s="56">
        <v>560019</v>
      </c>
      <c r="Q14" s="56"/>
      <c r="R14" s="56">
        <v>558700</v>
      </c>
      <c r="S14" s="56"/>
      <c r="T14" s="56">
        <v>0</v>
      </c>
      <c r="U14" s="56"/>
      <c r="V14" s="56">
        <v>558700</v>
      </c>
      <c r="W14" s="56"/>
      <c r="X14" s="56">
        <v>556963.53</v>
      </c>
      <c r="Y14" s="56"/>
      <c r="Z14" s="56">
        <v>576329</v>
      </c>
      <c r="AA14" s="56"/>
      <c r="AB14" s="56"/>
      <c r="AD14" s="56"/>
      <c r="AE14" s="56"/>
      <c r="AF14" s="56">
        <f t="shared" si="0"/>
        <v>576329</v>
      </c>
      <c r="AG14" s="56">
        <v>0</v>
      </c>
      <c r="AH14" s="56">
        <v>13750</v>
      </c>
      <c r="AI14" s="56"/>
      <c r="AJ14" s="56">
        <f t="shared" si="1"/>
        <v>590079</v>
      </c>
      <c r="AK14" s="85"/>
      <c r="AL14" s="56">
        <v>0</v>
      </c>
      <c r="AM14" s="56"/>
      <c r="AN14" s="88">
        <f t="shared" si="2"/>
        <v>590079</v>
      </c>
      <c r="AO14" s="88">
        <v>0</v>
      </c>
      <c r="AP14" s="88">
        <v>571403.94999999995</v>
      </c>
      <c r="AQ14" s="56"/>
      <c r="AR14" s="56">
        <v>0</v>
      </c>
      <c r="AT14" s="56">
        <v>0</v>
      </c>
      <c r="AU14" s="56"/>
      <c r="AV14" s="56">
        <f t="shared" si="3"/>
        <v>571403.94999999995</v>
      </c>
      <c r="AW14" s="56"/>
      <c r="AX14" s="56">
        <v>0</v>
      </c>
      <c r="AY14" s="56"/>
      <c r="AZ14" s="88">
        <v>577508</v>
      </c>
      <c r="BA14" s="56">
        <v>578977</v>
      </c>
      <c r="BB14" s="214"/>
      <c r="BC14" s="56"/>
      <c r="BD14" s="84">
        <f t="shared" si="4"/>
        <v>-18675.050000000047</v>
      </c>
      <c r="BE14" s="56"/>
      <c r="BF14" s="56"/>
      <c r="BG14" s="56"/>
      <c r="BH14" s="72">
        <v>1</v>
      </c>
      <c r="BJ14">
        <v>1</v>
      </c>
    </row>
    <row r="15" spans="1:62" ht="20.100000000000001" customHeight="1" outlineLevel="1">
      <c r="A15" s="77" t="s">
        <v>43</v>
      </c>
      <c r="B15" s="77" t="s">
        <v>883</v>
      </c>
      <c r="C15" s="77" t="s">
        <v>1107</v>
      </c>
      <c r="D15" s="78" t="s">
        <v>46</v>
      </c>
      <c r="E15" s="78" t="str">
        <f t="shared" si="5"/>
        <v>000</v>
      </c>
      <c r="F15" s="3">
        <v>633200</v>
      </c>
      <c r="G15" s="102" t="s">
        <v>724</v>
      </c>
      <c r="H15" s="87"/>
      <c r="I15" s="13">
        <v>162420</v>
      </c>
      <c r="J15" s="13">
        <v>183792</v>
      </c>
      <c r="L15" s="56">
        <v>141642</v>
      </c>
      <c r="M15" s="56"/>
      <c r="N15" s="56">
        <v>100000</v>
      </c>
      <c r="O15" s="56"/>
      <c r="P15" s="56">
        <v>127716</v>
      </c>
      <c r="Q15" s="56"/>
      <c r="R15" s="56">
        <v>127716</v>
      </c>
      <c r="S15" s="56"/>
      <c r="T15" s="56">
        <v>0</v>
      </c>
      <c r="U15" s="56"/>
      <c r="V15" s="56">
        <v>127716</v>
      </c>
      <c r="W15" s="56"/>
      <c r="X15" s="56">
        <v>124403.88</v>
      </c>
      <c r="Y15" s="56"/>
      <c r="Z15" s="56">
        <v>102000</v>
      </c>
      <c r="AA15" s="56"/>
      <c r="AB15" s="56"/>
      <c r="AD15" s="56"/>
      <c r="AE15" s="56"/>
      <c r="AF15" s="56">
        <f t="shared" si="0"/>
        <v>102000</v>
      </c>
      <c r="AG15" s="56">
        <v>0</v>
      </c>
      <c r="AH15" s="56">
        <v>0</v>
      </c>
      <c r="AI15" s="56"/>
      <c r="AJ15" s="56">
        <f t="shared" si="1"/>
        <v>102000</v>
      </c>
      <c r="AK15" s="85"/>
      <c r="AL15" s="56">
        <v>0</v>
      </c>
      <c r="AM15" s="56"/>
      <c r="AN15" s="88">
        <f t="shared" si="2"/>
        <v>102000</v>
      </c>
      <c r="AO15" s="88">
        <v>0</v>
      </c>
      <c r="AP15" s="88">
        <v>148307.65</v>
      </c>
      <c r="AQ15" s="56"/>
      <c r="AR15" s="56">
        <v>0</v>
      </c>
      <c r="AT15" s="56">
        <v>0</v>
      </c>
      <c r="AU15" s="56"/>
      <c r="AV15" s="56">
        <f t="shared" si="3"/>
        <v>148307.65</v>
      </c>
      <c r="AW15" s="56"/>
      <c r="AX15" s="56">
        <v>0</v>
      </c>
      <c r="AY15" s="56"/>
      <c r="AZ15" s="88">
        <v>102000</v>
      </c>
      <c r="BA15" s="56">
        <v>177000</v>
      </c>
      <c r="BB15" s="214"/>
      <c r="BC15" s="56"/>
      <c r="BD15" s="84">
        <f t="shared" si="4"/>
        <v>46307.649999999994</v>
      </c>
      <c r="BE15" s="56"/>
      <c r="BF15" s="56"/>
      <c r="BG15" s="56"/>
      <c r="BH15" s="72"/>
    </row>
    <row r="16" spans="1:62" ht="20.100000000000001" customHeight="1" outlineLevel="1">
      <c r="A16" s="77" t="s">
        <v>43</v>
      </c>
      <c r="B16" s="77" t="s">
        <v>883</v>
      </c>
      <c r="C16" s="77" t="s">
        <v>1107</v>
      </c>
      <c r="D16" s="78" t="s">
        <v>46</v>
      </c>
      <c r="E16" s="78" t="str">
        <f t="shared" si="5"/>
        <v>000</v>
      </c>
      <c r="F16" s="3">
        <v>633321</v>
      </c>
      <c r="G16" s="102" t="s">
        <v>921</v>
      </c>
      <c r="H16" s="87"/>
      <c r="I16" s="13">
        <v>75052</v>
      </c>
      <c r="J16" s="13">
        <v>108497</v>
      </c>
      <c r="L16" s="56">
        <v>129975</v>
      </c>
      <c r="M16" s="56"/>
      <c r="N16" s="56">
        <v>100000</v>
      </c>
      <c r="O16" s="56"/>
      <c r="P16" s="56">
        <v>115890</v>
      </c>
      <c r="Q16" s="56"/>
      <c r="R16" s="56">
        <v>150890</v>
      </c>
      <c r="S16" s="56"/>
      <c r="T16" s="56" t="s">
        <v>922</v>
      </c>
      <c r="U16" s="56"/>
      <c r="V16" s="56">
        <v>150890</v>
      </c>
      <c r="W16" s="56"/>
      <c r="X16" s="56">
        <v>412380.42</v>
      </c>
      <c r="Y16" s="56"/>
      <c r="Z16" s="56">
        <v>150000</v>
      </c>
      <c r="AA16" s="56"/>
      <c r="AB16" s="56"/>
      <c r="AD16" s="56"/>
      <c r="AE16" s="56"/>
      <c r="AF16" s="56">
        <f t="shared" si="0"/>
        <v>150000</v>
      </c>
      <c r="AG16" s="56">
        <v>0</v>
      </c>
      <c r="AH16" s="56">
        <v>0</v>
      </c>
      <c r="AI16" s="56"/>
      <c r="AJ16" s="56">
        <f t="shared" si="1"/>
        <v>150000</v>
      </c>
      <c r="AK16" s="85"/>
      <c r="AL16" s="89">
        <v>50000</v>
      </c>
      <c r="AM16" s="56"/>
      <c r="AN16" s="88">
        <f t="shared" si="2"/>
        <v>200000</v>
      </c>
      <c r="AO16" s="88">
        <v>0</v>
      </c>
      <c r="AP16" s="88">
        <v>231598.31</v>
      </c>
      <c r="AQ16" s="56"/>
      <c r="AR16" s="56">
        <v>0</v>
      </c>
      <c r="AT16" s="56">
        <v>0</v>
      </c>
      <c r="AU16" s="56"/>
      <c r="AV16" s="56">
        <f t="shared" si="3"/>
        <v>231598.31</v>
      </c>
      <c r="AW16" s="56"/>
      <c r="AX16" s="56">
        <v>0</v>
      </c>
      <c r="AY16" s="56"/>
      <c r="AZ16" s="88">
        <v>225000</v>
      </c>
      <c r="BA16" s="56">
        <v>225000</v>
      </c>
      <c r="BB16" s="214"/>
      <c r="BC16" s="56"/>
      <c r="BD16" s="84">
        <f t="shared" si="4"/>
        <v>31598.309999999998</v>
      </c>
      <c r="BE16" s="56"/>
      <c r="BF16" s="56"/>
      <c r="BG16" s="56"/>
      <c r="BH16" s="72"/>
    </row>
    <row r="17" spans="1:60" ht="20.100000000000001" customHeight="1" outlineLevel="1">
      <c r="A17" s="77" t="s">
        <v>43</v>
      </c>
      <c r="B17" s="77" t="s">
        <v>883</v>
      </c>
      <c r="C17" s="77" t="s">
        <v>1107</v>
      </c>
      <c r="D17" s="78" t="s">
        <v>46</v>
      </c>
      <c r="E17" s="78" t="str">
        <f t="shared" si="5"/>
        <v>000</v>
      </c>
      <c r="F17" s="3">
        <v>634012</v>
      </c>
      <c r="G17" s="102" t="s">
        <v>923</v>
      </c>
      <c r="H17" s="87"/>
      <c r="I17" s="13">
        <v>13013</v>
      </c>
      <c r="J17" s="13">
        <v>34562</v>
      </c>
      <c r="L17" s="56">
        <v>10338</v>
      </c>
      <c r="M17" s="56"/>
      <c r="N17" s="56">
        <v>108500</v>
      </c>
      <c r="O17" s="56"/>
      <c r="P17" s="56">
        <v>108500</v>
      </c>
      <c r="Q17" s="56"/>
      <c r="R17" s="56">
        <v>108500</v>
      </c>
      <c r="S17" s="56"/>
      <c r="T17" s="56">
        <v>0</v>
      </c>
      <c r="U17" s="56"/>
      <c r="V17" s="56">
        <v>108500</v>
      </c>
      <c r="W17" s="56"/>
      <c r="X17" s="56">
        <v>14694.25</v>
      </c>
      <c r="Y17" s="56"/>
      <c r="Z17" s="56">
        <v>114000</v>
      </c>
      <c r="AA17" s="56"/>
      <c r="AB17" s="56"/>
      <c r="AD17" s="56"/>
      <c r="AE17" s="56"/>
      <c r="AF17" s="56">
        <f t="shared" si="0"/>
        <v>114000</v>
      </c>
      <c r="AG17" s="56">
        <v>0</v>
      </c>
      <c r="AH17" s="56">
        <v>0</v>
      </c>
      <c r="AI17" s="56"/>
      <c r="AJ17" s="56">
        <f t="shared" si="1"/>
        <v>114000</v>
      </c>
      <c r="AK17" s="85"/>
      <c r="AL17" s="56">
        <v>0</v>
      </c>
      <c r="AM17" s="56"/>
      <c r="AN17" s="88">
        <f t="shared" si="2"/>
        <v>114000</v>
      </c>
      <c r="AO17" s="88">
        <v>0</v>
      </c>
      <c r="AP17" s="88">
        <v>24575.94</v>
      </c>
      <c r="AQ17" s="56"/>
      <c r="AR17" s="56">
        <v>0</v>
      </c>
      <c r="AT17" s="56">
        <v>0</v>
      </c>
      <c r="AU17" s="56"/>
      <c r="AV17" s="56">
        <f t="shared" si="3"/>
        <v>24575.94</v>
      </c>
      <c r="AW17" s="56"/>
      <c r="AX17" s="56">
        <v>0</v>
      </c>
      <c r="AY17" s="56"/>
      <c r="AZ17" s="88">
        <v>114000</v>
      </c>
      <c r="BA17" s="56">
        <v>39000</v>
      </c>
      <c r="BB17" s="214"/>
      <c r="BC17" s="56"/>
      <c r="BD17" s="84">
        <f t="shared" si="4"/>
        <v>-89424.06</v>
      </c>
      <c r="BE17" s="56"/>
      <c r="BF17" s="56"/>
      <c r="BG17" s="56"/>
      <c r="BH17" s="72"/>
    </row>
    <row r="18" spans="1:60" ht="20.100000000000001" customHeight="1" outlineLevel="1">
      <c r="A18" s="77" t="s">
        <v>924</v>
      </c>
      <c r="B18" s="77" t="s">
        <v>925</v>
      </c>
      <c r="C18" s="77" t="s">
        <v>1107</v>
      </c>
      <c r="D18" s="90" t="s">
        <v>926</v>
      </c>
      <c r="E18" s="78" t="str">
        <f t="shared" si="5"/>
        <v>000-</v>
      </c>
      <c r="F18" s="3">
        <v>634021</v>
      </c>
      <c r="G18" s="102" t="s">
        <v>927</v>
      </c>
      <c r="H18" s="87"/>
      <c r="I18" s="13"/>
      <c r="J18" s="13"/>
      <c r="L18" s="56">
        <v>0</v>
      </c>
      <c r="M18" s="56"/>
      <c r="N18" s="56"/>
      <c r="O18" s="56"/>
      <c r="P18" s="56"/>
      <c r="Q18" s="56"/>
      <c r="R18" s="56"/>
      <c r="S18" s="56"/>
      <c r="T18" s="56"/>
      <c r="U18" s="56"/>
      <c r="V18" s="56"/>
      <c r="W18" s="56"/>
      <c r="X18" s="56">
        <v>0</v>
      </c>
      <c r="Y18" s="56"/>
      <c r="Z18" s="56"/>
      <c r="AA18" s="56"/>
      <c r="AB18" s="56"/>
      <c r="AD18" s="56"/>
      <c r="AE18" s="56"/>
      <c r="AF18" s="56"/>
      <c r="AG18" s="56"/>
      <c r="AH18" s="56"/>
      <c r="AI18" s="56"/>
      <c r="AJ18" s="56"/>
      <c r="AK18" s="85"/>
      <c r="AL18" s="56"/>
      <c r="AM18" s="56"/>
      <c r="AN18" s="88">
        <v>0</v>
      </c>
      <c r="AO18" s="88"/>
      <c r="AP18" s="88">
        <v>195</v>
      </c>
      <c r="AQ18" s="56"/>
      <c r="AR18" s="56"/>
      <c r="AT18" s="56"/>
      <c r="AU18" s="56"/>
      <c r="AV18" s="56"/>
      <c r="AW18" s="56"/>
      <c r="AX18" s="56"/>
      <c r="AY18" s="56"/>
      <c r="AZ18" s="88">
        <v>500</v>
      </c>
      <c r="BA18" s="56">
        <v>500</v>
      </c>
      <c r="BB18" s="214"/>
      <c r="BC18" s="56"/>
      <c r="BD18" s="84"/>
      <c r="BE18" s="56"/>
      <c r="BF18" s="56"/>
      <c r="BG18" s="56"/>
      <c r="BH18" s="72"/>
    </row>
    <row r="19" spans="1:60" ht="20.100000000000001" customHeight="1" outlineLevel="1">
      <c r="A19" s="77" t="s">
        <v>43</v>
      </c>
      <c r="B19" s="77" t="s">
        <v>883</v>
      </c>
      <c r="C19" s="77" t="s">
        <v>1107</v>
      </c>
      <c r="D19" s="78" t="s">
        <v>46</v>
      </c>
      <c r="E19" s="78" t="str">
        <f t="shared" si="5"/>
        <v>000</v>
      </c>
      <c r="F19" s="3">
        <v>643011</v>
      </c>
      <c r="G19" s="102" t="s">
        <v>258</v>
      </c>
      <c r="H19" s="87"/>
      <c r="I19" s="13">
        <v>6910</v>
      </c>
      <c r="J19" s="13">
        <v>1373</v>
      </c>
      <c r="L19" s="56">
        <v>5786</v>
      </c>
      <c r="M19" s="56"/>
      <c r="N19" s="56">
        <v>16500</v>
      </c>
      <c r="O19" s="56"/>
      <c r="P19" s="56">
        <v>24142</v>
      </c>
      <c r="Q19" s="56"/>
      <c r="R19" s="56">
        <v>24142</v>
      </c>
      <c r="S19" s="56"/>
      <c r="T19" s="56">
        <v>0</v>
      </c>
      <c r="U19" s="56"/>
      <c r="V19" s="56">
        <v>24142</v>
      </c>
      <c r="W19" s="56"/>
      <c r="X19" s="56">
        <v>10812.2</v>
      </c>
      <c r="Y19" s="56"/>
      <c r="Z19" s="56">
        <v>18000</v>
      </c>
      <c r="AA19" s="56"/>
      <c r="AB19" s="56"/>
      <c r="AD19" s="56"/>
      <c r="AE19" s="56"/>
      <c r="AF19" s="56">
        <f t="shared" ref="AF19:AF32" si="6">SUM(Z19:AE19)</f>
        <v>18000</v>
      </c>
      <c r="AG19" s="56">
        <v>0</v>
      </c>
      <c r="AH19" s="56">
        <v>0</v>
      </c>
      <c r="AI19" s="56"/>
      <c r="AJ19" s="56">
        <f t="shared" ref="AJ19:AJ32" si="7">SUM(AE19:AI19)</f>
        <v>18000</v>
      </c>
      <c r="AK19" s="85"/>
      <c r="AL19" s="56">
        <v>0</v>
      </c>
      <c r="AM19" s="56"/>
      <c r="AN19" s="88">
        <f t="shared" ref="AN19:AN32" si="8">SUM(AI19:AM19)</f>
        <v>18000</v>
      </c>
      <c r="AO19" s="88">
        <v>0</v>
      </c>
      <c r="AP19" s="88">
        <v>11691.55</v>
      </c>
      <c r="AQ19" s="56"/>
      <c r="AR19" s="56">
        <v>0</v>
      </c>
      <c r="AT19" s="56">
        <v>0</v>
      </c>
      <c r="AU19" s="56"/>
      <c r="AV19" s="56">
        <f t="shared" ref="AV19:AV32" si="9">SUM(AP19:AU19)</f>
        <v>11691.55</v>
      </c>
      <c r="AW19" s="56"/>
      <c r="AX19" s="56">
        <v>0</v>
      </c>
      <c r="AY19" s="56"/>
      <c r="AZ19" s="88">
        <v>18000</v>
      </c>
      <c r="BA19" s="56">
        <v>18000</v>
      </c>
      <c r="BB19" s="214"/>
      <c r="BC19" s="56"/>
      <c r="BD19" s="84">
        <f t="shared" ref="BD19:BD33" si="10">+AP19-AN19</f>
        <v>-6308.4500000000007</v>
      </c>
      <c r="BE19" s="56"/>
      <c r="BF19" s="56"/>
      <c r="BG19" s="56"/>
      <c r="BH19" s="72"/>
    </row>
    <row r="20" spans="1:60" ht="20.100000000000001" customHeight="1" outlineLevel="1">
      <c r="A20" s="77" t="s">
        <v>43</v>
      </c>
      <c r="B20" s="77" t="s">
        <v>883</v>
      </c>
      <c r="C20" s="77" t="s">
        <v>1107</v>
      </c>
      <c r="D20" s="78" t="s">
        <v>46</v>
      </c>
      <c r="E20" s="78" t="str">
        <f t="shared" si="5"/>
        <v>000</v>
      </c>
      <c r="F20" s="3">
        <v>644221</v>
      </c>
      <c r="G20" s="102" t="s">
        <v>928</v>
      </c>
      <c r="H20" s="87"/>
      <c r="I20" s="13">
        <v>6793</v>
      </c>
      <c r="J20" s="13">
        <v>0</v>
      </c>
      <c r="L20" s="56">
        <v>0</v>
      </c>
      <c r="M20" s="56"/>
      <c r="N20" s="56">
        <v>0</v>
      </c>
      <c r="O20" s="56"/>
      <c r="P20" s="56">
        <v>0</v>
      </c>
      <c r="Q20" s="56"/>
      <c r="R20" s="56">
        <v>0</v>
      </c>
      <c r="S20" s="56"/>
      <c r="T20" s="56">
        <v>0</v>
      </c>
      <c r="U20" s="56"/>
      <c r="V20" s="56">
        <v>0</v>
      </c>
      <c r="W20" s="56"/>
      <c r="X20" s="56">
        <v>0</v>
      </c>
      <c r="Y20" s="56"/>
      <c r="Z20" s="56">
        <v>0</v>
      </c>
      <c r="AA20" s="56"/>
      <c r="AB20" s="56"/>
      <c r="AD20" s="56"/>
      <c r="AE20" s="56"/>
      <c r="AF20" s="56">
        <f t="shared" si="6"/>
        <v>0</v>
      </c>
      <c r="AG20" s="56">
        <v>0</v>
      </c>
      <c r="AH20" s="56">
        <v>0</v>
      </c>
      <c r="AI20" s="56"/>
      <c r="AJ20" s="56">
        <f t="shared" si="7"/>
        <v>0</v>
      </c>
      <c r="AK20" s="85"/>
      <c r="AL20" s="56">
        <v>0</v>
      </c>
      <c r="AM20" s="56"/>
      <c r="AN20" s="88">
        <f t="shared" si="8"/>
        <v>0</v>
      </c>
      <c r="AO20" s="88">
        <v>0</v>
      </c>
      <c r="AP20" s="88">
        <v>0</v>
      </c>
      <c r="AQ20" s="56"/>
      <c r="AR20" s="56">
        <v>0</v>
      </c>
      <c r="AT20" s="56">
        <v>0</v>
      </c>
      <c r="AU20" s="56"/>
      <c r="AV20" s="56">
        <f t="shared" si="9"/>
        <v>0</v>
      </c>
      <c r="AW20" s="56"/>
      <c r="AX20" s="56">
        <v>0</v>
      </c>
      <c r="AY20" s="56"/>
      <c r="AZ20" s="88">
        <v>0</v>
      </c>
      <c r="BA20" s="56">
        <v>0</v>
      </c>
      <c r="BB20" s="214"/>
      <c r="BC20" s="56"/>
      <c r="BD20" s="84">
        <f t="shared" si="10"/>
        <v>0</v>
      </c>
      <c r="BE20" s="56"/>
      <c r="BF20" s="56"/>
      <c r="BG20" s="56"/>
      <c r="BH20" s="72"/>
    </row>
    <row r="21" spans="1:60" ht="20.100000000000001" customHeight="1" outlineLevel="1">
      <c r="A21" s="77" t="s">
        <v>43</v>
      </c>
      <c r="B21" s="77" t="s">
        <v>883</v>
      </c>
      <c r="C21" s="77" t="s">
        <v>1107</v>
      </c>
      <c r="D21" s="78" t="s">
        <v>46</v>
      </c>
      <c r="E21" s="78" t="str">
        <f t="shared" si="5"/>
        <v>000</v>
      </c>
      <c r="F21" s="3">
        <v>653051</v>
      </c>
      <c r="G21" s="102" t="s">
        <v>71</v>
      </c>
      <c r="H21" s="87"/>
      <c r="I21" s="13">
        <v>29147</v>
      </c>
      <c r="J21" s="13">
        <v>16887</v>
      </c>
      <c r="L21" s="56">
        <v>25182</v>
      </c>
      <c r="M21" s="56"/>
      <c r="N21" s="56">
        <v>26000</v>
      </c>
      <c r="O21" s="56"/>
      <c r="P21" s="56">
        <v>26000</v>
      </c>
      <c r="Q21" s="56"/>
      <c r="R21" s="56">
        <v>26000</v>
      </c>
      <c r="S21" s="56"/>
      <c r="T21" s="56">
        <v>0</v>
      </c>
      <c r="U21" s="56"/>
      <c r="V21" s="56">
        <v>26000</v>
      </c>
      <c r="W21" s="56"/>
      <c r="X21" s="56">
        <v>23627.68</v>
      </c>
      <c r="Y21" s="56"/>
      <c r="Z21" s="56">
        <v>30500</v>
      </c>
      <c r="AA21" s="56"/>
      <c r="AB21" s="56"/>
      <c r="AD21" s="56"/>
      <c r="AE21" s="56"/>
      <c r="AF21" s="56">
        <f t="shared" si="6"/>
        <v>30500</v>
      </c>
      <c r="AG21" s="56">
        <v>0</v>
      </c>
      <c r="AH21" s="56">
        <v>0</v>
      </c>
      <c r="AI21" s="56"/>
      <c r="AJ21" s="56">
        <f t="shared" si="7"/>
        <v>30500</v>
      </c>
      <c r="AK21" s="85"/>
      <c r="AL21" s="56">
        <v>0</v>
      </c>
      <c r="AM21" s="56"/>
      <c r="AN21" s="88">
        <f t="shared" si="8"/>
        <v>30500</v>
      </c>
      <c r="AO21" s="88">
        <v>0</v>
      </c>
      <c r="AP21" s="88">
        <v>26314.74</v>
      </c>
      <c r="AQ21" s="56"/>
      <c r="AR21" s="56">
        <v>0</v>
      </c>
      <c r="AT21" s="56">
        <v>0</v>
      </c>
      <c r="AU21" s="56"/>
      <c r="AV21" s="56">
        <f t="shared" si="9"/>
        <v>26314.74</v>
      </c>
      <c r="AW21" s="56"/>
      <c r="AX21" s="56">
        <v>0</v>
      </c>
      <c r="AY21" s="56"/>
      <c r="AZ21" s="88">
        <v>35110</v>
      </c>
      <c r="BA21" s="56">
        <v>35110</v>
      </c>
      <c r="BB21" s="214"/>
      <c r="BC21" s="56"/>
      <c r="BD21" s="84">
        <f t="shared" si="10"/>
        <v>-4185.2599999999984</v>
      </c>
      <c r="BE21" s="56"/>
      <c r="BF21" s="56"/>
      <c r="BG21" s="56"/>
      <c r="BH21" s="72"/>
    </row>
    <row r="22" spans="1:60" ht="20.100000000000001" customHeight="1" outlineLevel="1">
      <c r="A22" s="77" t="s">
        <v>43</v>
      </c>
      <c r="B22" s="77" t="s">
        <v>883</v>
      </c>
      <c r="C22" s="77" t="s">
        <v>1107</v>
      </c>
      <c r="D22" s="78" t="s">
        <v>46</v>
      </c>
      <c r="E22" s="78" t="str">
        <f t="shared" si="5"/>
        <v>000</v>
      </c>
      <c r="F22" s="3">
        <v>653052</v>
      </c>
      <c r="G22" s="102" t="s">
        <v>929</v>
      </c>
      <c r="H22" s="87"/>
      <c r="I22" s="87">
        <v>0</v>
      </c>
      <c r="J22" s="13">
        <v>0</v>
      </c>
      <c r="L22" s="56">
        <v>0</v>
      </c>
      <c r="M22" s="56"/>
      <c r="N22" s="56">
        <v>0</v>
      </c>
      <c r="O22" s="56"/>
      <c r="P22" s="56">
        <v>0</v>
      </c>
      <c r="Q22" s="56"/>
      <c r="R22" s="56">
        <v>0</v>
      </c>
      <c r="S22" s="56"/>
      <c r="T22" s="56">
        <v>0</v>
      </c>
      <c r="U22" s="56"/>
      <c r="V22" s="56">
        <v>0</v>
      </c>
      <c r="W22" s="56"/>
      <c r="X22" s="56">
        <v>0</v>
      </c>
      <c r="Y22" s="56"/>
      <c r="Z22" s="56">
        <v>0</v>
      </c>
      <c r="AA22" s="56"/>
      <c r="AB22" s="56"/>
      <c r="AD22" s="56"/>
      <c r="AE22" s="56"/>
      <c r="AF22" s="56">
        <f t="shared" si="6"/>
        <v>0</v>
      </c>
      <c r="AG22" s="56">
        <v>0</v>
      </c>
      <c r="AH22" s="56">
        <v>0</v>
      </c>
      <c r="AI22" s="56"/>
      <c r="AJ22" s="56">
        <f t="shared" si="7"/>
        <v>0</v>
      </c>
      <c r="AK22" s="85"/>
      <c r="AL22" s="56">
        <v>0</v>
      </c>
      <c r="AM22" s="56"/>
      <c r="AN22" s="88">
        <f t="shared" si="8"/>
        <v>0</v>
      </c>
      <c r="AO22" s="88">
        <v>0</v>
      </c>
      <c r="AP22" s="88">
        <v>0</v>
      </c>
      <c r="AQ22" s="56"/>
      <c r="AR22" s="56">
        <v>0</v>
      </c>
      <c r="AT22" s="56">
        <v>0</v>
      </c>
      <c r="AU22" s="56"/>
      <c r="AV22" s="56">
        <f t="shared" si="9"/>
        <v>0</v>
      </c>
      <c r="AW22" s="56"/>
      <c r="AX22" s="56">
        <v>0</v>
      </c>
      <c r="AY22" s="56"/>
      <c r="AZ22" s="88">
        <v>0</v>
      </c>
      <c r="BA22" s="56">
        <v>0</v>
      </c>
      <c r="BB22" s="214"/>
      <c r="BC22" s="56"/>
      <c r="BD22" s="84">
        <f t="shared" si="10"/>
        <v>0</v>
      </c>
      <c r="BE22" s="56"/>
      <c r="BF22" s="56"/>
      <c r="BG22" s="56"/>
      <c r="BH22" s="72"/>
    </row>
    <row r="23" spans="1:60" ht="20.100000000000001" customHeight="1" outlineLevel="1">
      <c r="A23" s="77" t="s">
        <v>43</v>
      </c>
      <c r="B23" s="77" t="s">
        <v>883</v>
      </c>
      <c r="C23" s="77" t="s">
        <v>1107</v>
      </c>
      <c r="D23" s="78" t="s">
        <v>46</v>
      </c>
      <c r="E23" s="78" t="str">
        <f t="shared" si="5"/>
        <v>000</v>
      </c>
      <c r="F23" s="3">
        <v>658211</v>
      </c>
      <c r="G23" s="102" t="s">
        <v>72</v>
      </c>
      <c r="H23" s="87"/>
      <c r="I23" s="13">
        <v>25754</v>
      </c>
      <c r="J23" s="13">
        <v>47021</v>
      </c>
      <c r="L23" s="56">
        <v>59055</v>
      </c>
      <c r="M23" s="56"/>
      <c r="N23" s="56">
        <v>56000</v>
      </c>
      <c r="O23" s="56"/>
      <c r="P23" s="56">
        <v>56000</v>
      </c>
      <c r="Q23" s="56"/>
      <c r="R23" s="56">
        <v>56000</v>
      </c>
      <c r="S23" s="56"/>
      <c r="T23" s="56">
        <v>0</v>
      </c>
      <c r="U23" s="56"/>
      <c r="V23" s="56">
        <v>56000</v>
      </c>
      <c r="W23" s="56"/>
      <c r="X23" s="56">
        <v>36135.15</v>
      </c>
      <c r="Y23" s="56"/>
      <c r="Z23" s="56">
        <v>60000</v>
      </c>
      <c r="AA23" s="56"/>
      <c r="AB23" s="56"/>
      <c r="AD23" s="56"/>
      <c r="AE23" s="56"/>
      <c r="AF23" s="56">
        <f t="shared" si="6"/>
        <v>60000</v>
      </c>
      <c r="AG23" s="56">
        <v>0</v>
      </c>
      <c r="AH23" s="56">
        <v>0</v>
      </c>
      <c r="AI23" s="56"/>
      <c r="AJ23" s="56">
        <f t="shared" si="7"/>
        <v>60000</v>
      </c>
      <c r="AK23" s="85"/>
      <c r="AL23" s="56">
        <v>0</v>
      </c>
      <c r="AM23" s="56"/>
      <c r="AN23" s="88">
        <f t="shared" si="8"/>
        <v>60000</v>
      </c>
      <c r="AO23" s="88">
        <v>0</v>
      </c>
      <c r="AP23" s="88">
        <v>34517.839999999997</v>
      </c>
      <c r="AQ23" s="56"/>
      <c r="AR23" s="56">
        <v>0</v>
      </c>
      <c r="AT23" s="56">
        <v>0</v>
      </c>
      <c r="AU23" s="56"/>
      <c r="AV23" s="56">
        <f t="shared" si="9"/>
        <v>34517.839999999997</v>
      </c>
      <c r="AW23" s="56"/>
      <c r="AX23" s="56">
        <v>0</v>
      </c>
      <c r="AY23" s="56"/>
      <c r="AZ23" s="88">
        <v>38000</v>
      </c>
      <c r="BA23" s="56">
        <v>38000</v>
      </c>
      <c r="BB23" s="214"/>
      <c r="BC23" s="56"/>
      <c r="BD23" s="84">
        <f t="shared" si="10"/>
        <v>-25482.160000000003</v>
      </c>
      <c r="BE23" s="56"/>
      <c r="BF23" s="56"/>
      <c r="BG23" s="56"/>
      <c r="BH23" s="72"/>
    </row>
    <row r="24" spans="1:60" ht="20.100000000000001" customHeight="1" outlineLevel="1">
      <c r="A24" s="77" t="s">
        <v>43</v>
      </c>
      <c r="B24" s="77" t="s">
        <v>883</v>
      </c>
      <c r="C24" s="77" t="s">
        <v>1107</v>
      </c>
      <c r="D24" s="78" t="s">
        <v>46</v>
      </c>
      <c r="E24" s="78" t="str">
        <f t="shared" si="5"/>
        <v>000</v>
      </c>
      <c r="F24" s="3">
        <v>661001</v>
      </c>
      <c r="G24" s="102" t="s">
        <v>73</v>
      </c>
      <c r="H24" s="87"/>
      <c r="I24" s="13">
        <v>10011</v>
      </c>
      <c r="J24" s="13">
        <v>9471</v>
      </c>
      <c r="L24" s="56">
        <v>12313</v>
      </c>
      <c r="M24" s="56"/>
      <c r="N24" s="56">
        <v>12900</v>
      </c>
      <c r="O24" s="56"/>
      <c r="P24" s="56">
        <v>12900</v>
      </c>
      <c r="Q24" s="56"/>
      <c r="R24" s="56">
        <v>12900</v>
      </c>
      <c r="S24" s="56"/>
      <c r="T24" s="56">
        <v>0</v>
      </c>
      <c r="U24" s="56"/>
      <c r="V24" s="56">
        <v>12900</v>
      </c>
      <c r="W24" s="56"/>
      <c r="X24" s="56">
        <v>12086.47</v>
      </c>
      <c r="Y24" s="56"/>
      <c r="Z24" s="56">
        <v>12700</v>
      </c>
      <c r="AA24" s="56"/>
      <c r="AB24" s="56"/>
      <c r="AD24" s="56"/>
      <c r="AE24" s="56"/>
      <c r="AF24" s="56">
        <f t="shared" si="6"/>
        <v>12700</v>
      </c>
      <c r="AG24" s="56">
        <v>0</v>
      </c>
      <c r="AH24" s="56">
        <v>0</v>
      </c>
      <c r="AI24" s="56"/>
      <c r="AJ24" s="56">
        <f t="shared" si="7"/>
        <v>12700</v>
      </c>
      <c r="AK24" s="85"/>
      <c r="AL24" s="56">
        <v>5000</v>
      </c>
      <c r="AM24" s="56"/>
      <c r="AN24" s="88">
        <f t="shared" si="8"/>
        <v>17700</v>
      </c>
      <c r="AO24" s="88">
        <v>0</v>
      </c>
      <c r="AP24" s="88">
        <v>27497.599999999999</v>
      </c>
      <c r="AQ24" s="56"/>
      <c r="AR24" s="56">
        <v>0</v>
      </c>
      <c r="AT24" s="56">
        <v>0</v>
      </c>
      <c r="AU24" s="56"/>
      <c r="AV24" s="56">
        <f t="shared" si="9"/>
        <v>27497.599999999999</v>
      </c>
      <c r="AW24" s="56"/>
      <c r="AX24" s="56">
        <v>0</v>
      </c>
      <c r="AY24" s="56"/>
      <c r="AZ24" s="88">
        <v>20465</v>
      </c>
      <c r="BA24" s="56">
        <v>20465</v>
      </c>
      <c r="BB24" s="214"/>
      <c r="BC24" s="56"/>
      <c r="BD24" s="84">
        <f t="shared" si="10"/>
        <v>9797.5999999999985</v>
      </c>
      <c r="BE24" s="56"/>
      <c r="BF24" s="56"/>
      <c r="BG24" s="56"/>
      <c r="BH24" s="72"/>
    </row>
    <row r="25" spans="1:60" ht="20.100000000000001" customHeight="1" outlineLevel="1">
      <c r="A25" s="77" t="s">
        <v>43</v>
      </c>
      <c r="B25" s="77" t="s">
        <v>883</v>
      </c>
      <c r="C25" s="77" t="s">
        <v>1107</v>
      </c>
      <c r="D25" s="78" t="s">
        <v>46</v>
      </c>
      <c r="E25" s="78" t="str">
        <f t="shared" si="5"/>
        <v>000</v>
      </c>
      <c r="F25" s="3">
        <v>673001</v>
      </c>
      <c r="G25" s="102" t="s">
        <v>57</v>
      </c>
      <c r="H25" s="87"/>
      <c r="I25" s="13">
        <v>3995</v>
      </c>
      <c r="J25" s="13">
        <v>20643</v>
      </c>
      <c r="L25" s="56">
        <v>6143</v>
      </c>
      <c r="M25" s="56"/>
      <c r="N25" s="56">
        <v>6500</v>
      </c>
      <c r="O25" s="56"/>
      <c r="P25" s="56">
        <v>6500</v>
      </c>
      <c r="Q25" s="56"/>
      <c r="R25" s="56">
        <v>6500</v>
      </c>
      <c r="S25" s="56"/>
      <c r="T25" s="56">
        <v>0</v>
      </c>
      <c r="U25" s="56"/>
      <c r="V25" s="56">
        <v>6500</v>
      </c>
      <c r="W25" s="56"/>
      <c r="X25" s="56">
        <v>1622.39</v>
      </c>
      <c r="Y25" s="56"/>
      <c r="Z25" s="56">
        <v>5000</v>
      </c>
      <c r="AA25" s="56"/>
      <c r="AB25" s="56"/>
      <c r="AD25" s="56"/>
      <c r="AE25" s="56"/>
      <c r="AF25" s="56">
        <f t="shared" si="6"/>
        <v>5000</v>
      </c>
      <c r="AG25" s="56">
        <v>0</v>
      </c>
      <c r="AH25" s="56">
        <v>0</v>
      </c>
      <c r="AI25" s="56"/>
      <c r="AJ25" s="56">
        <f t="shared" si="7"/>
        <v>5000</v>
      </c>
      <c r="AK25" s="85"/>
      <c r="AL25" s="56">
        <v>-5000</v>
      </c>
      <c r="AM25" s="56"/>
      <c r="AN25" s="88">
        <f t="shared" si="8"/>
        <v>0</v>
      </c>
      <c r="AO25" s="88">
        <v>0</v>
      </c>
      <c r="AP25" s="88">
        <v>0</v>
      </c>
      <c r="AQ25" s="56"/>
      <c r="AR25" s="56">
        <v>0</v>
      </c>
      <c r="AT25" s="56">
        <v>0</v>
      </c>
      <c r="AU25" s="56"/>
      <c r="AV25" s="56">
        <f t="shared" si="9"/>
        <v>0</v>
      </c>
      <c r="AW25" s="56"/>
      <c r="AX25" s="56">
        <v>0</v>
      </c>
      <c r="AY25" s="56"/>
      <c r="AZ25" s="88">
        <v>0</v>
      </c>
      <c r="BA25" s="56">
        <v>0</v>
      </c>
      <c r="BB25" s="214"/>
      <c r="BC25" s="56"/>
      <c r="BD25" s="84">
        <f t="shared" si="10"/>
        <v>0</v>
      </c>
      <c r="BE25" s="56"/>
      <c r="BF25" s="56"/>
      <c r="BG25" s="56"/>
      <c r="BH25" s="72"/>
    </row>
    <row r="26" spans="1:60" ht="20.100000000000001" customHeight="1" outlineLevel="1">
      <c r="A26" s="77" t="s">
        <v>43</v>
      </c>
      <c r="B26" s="77" t="s">
        <v>883</v>
      </c>
      <c r="C26" s="77" t="s">
        <v>1107</v>
      </c>
      <c r="D26" s="78" t="s">
        <v>46</v>
      </c>
      <c r="E26" s="78" t="str">
        <f t="shared" si="5"/>
        <v>000</v>
      </c>
      <c r="F26" s="3">
        <v>681011</v>
      </c>
      <c r="G26" s="102" t="s">
        <v>930</v>
      </c>
      <c r="H26" s="87"/>
      <c r="I26" s="13">
        <v>3056</v>
      </c>
      <c r="J26" s="13">
        <v>2959</v>
      </c>
      <c r="L26" s="56">
        <v>3292</v>
      </c>
      <c r="M26" s="56"/>
      <c r="N26" s="56">
        <v>3350</v>
      </c>
      <c r="O26" s="56"/>
      <c r="P26" s="56">
        <v>3350</v>
      </c>
      <c r="Q26" s="56"/>
      <c r="R26" s="56">
        <v>3350</v>
      </c>
      <c r="S26" s="56"/>
      <c r="T26" s="56">
        <v>0</v>
      </c>
      <c r="U26" s="56"/>
      <c r="V26" s="56">
        <v>3350</v>
      </c>
      <c r="W26" s="56"/>
      <c r="X26" s="56">
        <v>3320.4</v>
      </c>
      <c r="Y26" s="56"/>
      <c r="Z26" s="56">
        <v>3450</v>
      </c>
      <c r="AA26" s="56"/>
      <c r="AB26" s="56"/>
      <c r="AD26" s="56"/>
      <c r="AE26" s="56"/>
      <c r="AF26" s="56">
        <f t="shared" si="6"/>
        <v>3450</v>
      </c>
      <c r="AG26" s="56">
        <v>0</v>
      </c>
      <c r="AH26" s="56">
        <v>0</v>
      </c>
      <c r="AI26" s="56"/>
      <c r="AJ26" s="56">
        <f t="shared" si="7"/>
        <v>3450</v>
      </c>
      <c r="AK26" s="85"/>
      <c r="AL26" s="56">
        <v>0</v>
      </c>
      <c r="AM26" s="56"/>
      <c r="AN26" s="88">
        <f t="shared" si="8"/>
        <v>3450</v>
      </c>
      <c r="AO26" s="88">
        <v>0</v>
      </c>
      <c r="AP26" s="88">
        <v>240</v>
      </c>
      <c r="AQ26" s="56"/>
      <c r="AR26" s="56">
        <v>0</v>
      </c>
      <c r="AT26" s="56">
        <v>0</v>
      </c>
      <c r="AU26" s="56"/>
      <c r="AV26" s="56">
        <f t="shared" si="9"/>
        <v>240</v>
      </c>
      <c r="AW26" s="56"/>
      <c r="AX26" s="56">
        <v>0</v>
      </c>
      <c r="AY26" s="56"/>
      <c r="AZ26" s="88">
        <v>250</v>
      </c>
      <c r="BA26" s="56">
        <v>250</v>
      </c>
      <c r="BB26" s="214"/>
      <c r="BC26" s="56"/>
      <c r="BD26" s="84">
        <f t="shared" si="10"/>
        <v>-3210</v>
      </c>
      <c r="BE26" s="56"/>
      <c r="BF26" s="56"/>
      <c r="BG26" s="56"/>
      <c r="BH26" s="72"/>
    </row>
    <row r="27" spans="1:60" ht="20.100000000000001" customHeight="1" outlineLevel="1">
      <c r="A27" s="77" t="s">
        <v>43</v>
      </c>
      <c r="B27" s="77" t="s">
        <v>883</v>
      </c>
      <c r="C27" s="77" t="s">
        <v>1107</v>
      </c>
      <c r="D27" s="78" t="s">
        <v>46</v>
      </c>
      <c r="E27" s="78" t="str">
        <f t="shared" si="5"/>
        <v>000</v>
      </c>
      <c r="F27" s="3">
        <v>689015</v>
      </c>
      <c r="G27" s="102" t="s">
        <v>550</v>
      </c>
      <c r="H27" s="87"/>
      <c r="I27" s="13">
        <v>0</v>
      </c>
      <c r="J27" s="13">
        <v>0</v>
      </c>
      <c r="L27" s="56">
        <v>0</v>
      </c>
      <c r="M27" s="56"/>
      <c r="N27" s="56">
        <v>0</v>
      </c>
      <c r="O27" s="56"/>
      <c r="P27" s="56">
        <v>0</v>
      </c>
      <c r="Q27" s="56"/>
      <c r="R27" s="56">
        <v>0</v>
      </c>
      <c r="S27" s="56"/>
      <c r="T27" s="56">
        <v>0</v>
      </c>
      <c r="U27" s="56"/>
      <c r="V27" s="56">
        <v>0</v>
      </c>
      <c r="W27" s="56"/>
      <c r="X27" s="56">
        <v>0</v>
      </c>
      <c r="Y27" s="56"/>
      <c r="Z27" s="56">
        <v>0</v>
      </c>
      <c r="AA27" s="56"/>
      <c r="AB27" s="56"/>
      <c r="AD27" s="56"/>
      <c r="AE27" s="56"/>
      <c r="AF27" s="56">
        <f t="shared" si="6"/>
        <v>0</v>
      </c>
      <c r="AG27" s="56">
        <v>0</v>
      </c>
      <c r="AH27" s="56">
        <v>0</v>
      </c>
      <c r="AI27" s="56"/>
      <c r="AJ27" s="56">
        <f t="shared" si="7"/>
        <v>0</v>
      </c>
      <c r="AK27" s="85"/>
      <c r="AL27" s="56">
        <v>0</v>
      </c>
      <c r="AM27" s="56"/>
      <c r="AN27" s="88">
        <f t="shared" si="8"/>
        <v>0</v>
      </c>
      <c r="AO27" s="88">
        <v>0</v>
      </c>
      <c r="AP27" s="88">
        <v>0</v>
      </c>
      <c r="AQ27" s="56"/>
      <c r="AR27" s="56">
        <v>0</v>
      </c>
      <c r="AT27" s="56">
        <v>0</v>
      </c>
      <c r="AU27" s="56"/>
      <c r="AV27" s="56">
        <f t="shared" si="9"/>
        <v>0</v>
      </c>
      <c r="AW27" s="56"/>
      <c r="AX27" s="56">
        <v>0</v>
      </c>
      <c r="AY27" s="56"/>
      <c r="AZ27" s="88">
        <v>0</v>
      </c>
      <c r="BA27" s="56">
        <v>0</v>
      </c>
      <c r="BB27" s="214"/>
      <c r="BC27" s="56"/>
      <c r="BD27" s="84">
        <f t="shared" si="10"/>
        <v>0</v>
      </c>
      <c r="BE27" s="56"/>
      <c r="BF27" s="56"/>
      <c r="BG27" s="56"/>
      <c r="BH27" s="72"/>
    </row>
    <row r="28" spans="1:60" ht="20.100000000000001" customHeight="1" outlineLevel="1">
      <c r="A28" s="77" t="s">
        <v>43</v>
      </c>
      <c r="B28" s="77" t="s">
        <v>883</v>
      </c>
      <c r="C28" s="77" t="s">
        <v>1107</v>
      </c>
      <c r="D28" s="78" t="s">
        <v>46</v>
      </c>
      <c r="E28" s="78" t="str">
        <f t="shared" si="5"/>
        <v>000</v>
      </c>
      <c r="F28" s="3">
        <v>689016</v>
      </c>
      <c r="G28" s="102" t="s">
        <v>931</v>
      </c>
      <c r="H28" s="87"/>
      <c r="I28" s="13">
        <v>840</v>
      </c>
      <c r="J28" s="13">
        <v>840</v>
      </c>
      <c r="L28" s="56">
        <v>840</v>
      </c>
      <c r="M28" s="56"/>
      <c r="N28" s="56">
        <v>840</v>
      </c>
      <c r="O28" s="56"/>
      <c r="P28" s="56">
        <v>840</v>
      </c>
      <c r="Q28" s="56"/>
      <c r="R28" s="56">
        <v>840</v>
      </c>
      <c r="S28" s="56"/>
      <c r="T28" s="56">
        <v>0</v>
      </c>
      <c r="U28" s="56"/>
      <c r="V28" s="56">
        <v>840</v>
      </c>
      <c r="W28" s="56"/>
      <c r="X28" s="56">
        <v>990</v>
      </c>
      <c r="Y28" s="56"/>
      <c r="Z28" s="56">
        <v>990</v>
      </c>
      <c r="AA28" s="56"/>
      <c r="AB28" s="56"/>
      <c r="AD28" s="56"/>
      <c r="AE28" s="56"/>
      <c r="AF28" s="56">
        <f t="shared" si="6"/>
        <v>990</v>
      </c>
      <c r="AG28" s="56">
        <v>0</v>
      </c>
      <c r="AH28" s="56">
        <v>0</v>
      </c>
      <c r="AI28" s="56"/>
      <c r="AJ28" s="56">
        <f t="shared" si="7"/>
        <v>990</v>
      </c>
      <c r="AK28" s="85"/>
      <c r="AL28" s="56">
        <v>0</v>
      </c>
      <c r="AM28" s="56"/>
      <c r="AN28" s="88">
        <f t="shared" si="8"/>
        <v>990</v>
      </c>
      <c r="AO28" s="88">
        <v>0</v>
      </c>
      <c r="AP28" s="88">
        <v>0</v>
      </c>
      <c r="AQ28" s="56"/>
      <c r="AR28" s="56">
        <v>0</v>
      </c>
      <c r="AT28" s="56">
        <v>0</v>
      </c>
      <c r="AU28" s="56"/>
      <c r="AV28" s="56">
        <f t="shared" si="9"/>
        <v>0</v>
      </c>
      <c r="AW28" s="56"/>
      <c r="AX28" s="56">
        <v>0</v>
      </c>
      <c r="AY28" s="56"/>
      <c r="AZ28" s="88">
        <v>0</v>
      </c>
      <c r="BA28" s="56">
        <v>0</v>
      </c>
      <c r="BB28" s="214"/>
      <c r="BC28" s="56"/>
      <c r="BD28" s="84">
        <f t="shared" si="10"/>
        <v>-990</v>
      </c>
      <c r="BE28" s="56"/>
      <c r="BF28" s="56"/>
      <c r="BG28" s="56"/>
      <c r="BH28" s="72"/>
    </row>
    <row r="29" spans="1:60" ht="20.100000000000001" customHeight="1" outlineLevel="1">
      <c r="A29" s="77" t="s">
        <v>43</v>
      </c>
      <c r="B29" s="77" t="s">
        <v>932</v>
      </c>
      <c r="C29" s="77" t="s">
        <v>1107</v>
      </c>
      <c r="D29" s="78" t="s">
        <v>46</v>
      </c>
      <c r="E29" s="78" t="str">
        <f t="shared" si="5"/>
        <v>000</v>
      </c>
      <c r="F29" s="3">
        <v>633914</v>
      </c>
      <c r="G29" s="102" t="s">
        <v>933</v>
      </c>
      <c r="H29" s="87"/>
      <c r="I29" s="13">
        <v>0</v>
      </c>
      <c r="J29" s="13">
        <v>0</v>
      </c>
      <c r="L29" s="56">
        <v>0</v>
      </c>
      <c r="M29" s="56"/>
      <c r="N29" s="56">
        <v>0</v>
      </c>
      <c r="O29" s="56"/>
      <c r="P29" s="56">
        <v>0</v>
      </c>
      <c r="Q29" s="56"/>
      <c r="R29" s="56">
        <v>0</v>
      </c>
      <c r="S29" s="56"/>
      <c r="T29" s="56">
        <v>0</v>
      </c>
      <c r="U29" s="56"/>
      <c r="V29" s="56">
        <v>0</v>
      </c>
      <c r="W29" s="56"/>
      <c r="X29" s="56">
        <v>0</v>
      </c>
      <c r="Y29" s="56"/>
      <c r="Z29" s="56">
        <v>0</v>
      </c>
      <c r="AA29" s="56"/>
      <c r="AB29" s="56"/>
      <c r="AD29" s="56"/>
      <c r="AE29" s="56"/>
      <c r="AF29" s="56">
        <f t="shared" si="6"/>
        <v>0</v>
      </c>
      <c r="AG29" s="56">
        <v>0</v>
      </c>
      <c r="AH29" s="56">
        <v>0</v>
      </c>
      <c r="AI29" s="56"/>
      <c r="AJ29" s="56">
        <f t="shared" si="7"/>
        <v>0</v>
      </c>
      <c r="AK29" s="85"/>
      <c r="AL29" s="56">
        <v>0</v>
      </c>
      <c r="AM29" s="56"/>
      <c r="AN29" s="88">
        <f t="shared" si="8"/>
        <v>0</v>
      </c>
      <c r="AO29" s="88">
        <v>0</v>
      </c>
      <c r="AP29" s="88">
        <v>0</v>
      </c>
      <c r="AQ29" s="56"/>
      <c r="AR29" s="56">
        <v>0</v>
      </c>
      <c r="AT29" s="56">
        <v>0</v>
      </c>
      <c r="AU29" s="56"/>
      <c r="AV29" s="56">
        <f t="shared" si="9"/>
        <v>0</v>
      </c>
      <c r="AW29" s="56"/>
      <c r="AX29" s="56">
        <v>0</v>
      </c>
      <c r="AY29" s="56"/>
      <c r="AZ29" s="88">
        <v>0</v>
      </c>
      <c r="BA29" s="56">
        <v>0</v>
      </c>
      <c r="BB29" s="214"/>
      <c r="BC29" s="56"/>
      <c r="BD29" s="84">
        <f t="shared" si="10"/>
        <v>0</v>
      </c>
      <c r="BE29" s="56"/>
      <c r="BF29" s="56"/>
      <c r="BG29" s="56"/>
      <c r="BH29" s="72"/>
    </row>
    <row r="30" spans="1:60" ht="20.100000000000001" customHeight="1" outlineLevel="1">
      <c r="A30" s="77" t="s">
        <v>43</v>
      </c>
      <c r="B30" s="77" t="s">
        <v>137</v>
      </c>
      <c r="C30" s="77" t="s">
        <v>1107</v>
      </c>
      <c r="D30" s="78" t="s">
        <v>46</v>
      </c>
      <c r="E30" s="78" t="str">
        <f t="shared" si="5"/>
        <v>000</v>
      </c>
      <c r="F30" s="3">
        <v>653011</v>
      </c>
      <c r="G30" s="102" t="s">
        <v>934</v>
      </c>
      <c r="H30" s="87"/>
      <c r="I30" s="13">
        <v>4833</v>
      </c>
      <c r="J30" s="13">
        <v>6741</v>
      </c>
      <c r="L30" s="56">
        <v>4727</v>
      </c>
      <c r="M30" s="56"/>
      <c r="N30" s="56">
        <v>6000</v>
      </c>
      <c r="O30" s="56"/>
      <c r="P30" s="56">
        <v>6000</v>
      </c>
      <c r="Q30" s="56"/>
      <c r="R30" s="56">
        <v>6000</v>
      </c>
      <c r="S30" s="56"/>
      <c r="T30" s="56">
        <v>0</v>
      </c>
      <c r="U30" s="56"/>
      <c r="V30" s="56">
        <v>6000</v>
      </c>
      <c r="W30" s="56"/>
      <c r="X30" s="56">
        <f>1369+837</f>
        <v>2206</v>
      </c>
      <c r="Y30" s="56"/>
      <c r="Z30" s="56">
        <v>6000</v>
      </c>
      <c r="AA30" s="56"/>
      <c r="AB30" s="56"/>
      <c r="AD30" s="56"/>
      <c r="AE30" s="56"/>
      <c r="AF30" s="56">
        <f t="shared" si="6"/>
        <v>6000</v>
      </c>
      <c r="AG30" s="56">
        <v>0</v>
      </c>
      <c r="AH30" s="56">
        <v>0</v>
      </c>
      <c r="AI30" s="56"/>
      <c r="AJ30" s="56">
        <f t="shared" si="7"/>
        <v>6000</v>
      </c>
      <c r="AK30" s="85"/>
      <c r="AL30" s="56">
        <v>0</v>
      </c>
      <c r="AM30" s="56"/>
      <c r="AN30" s="88">
        <f t="shared" si="8"/>
        <v>6000</v>
      </c>
      <c r="AO30" s="88">
        <v>0</v>
      </c>
      <c r="AP30" s="88">
        <v>3246.46</v>
      </c>
      <c r="AQ30" s="56"/>
      <c r="AR30" s="56">
        <v>0</v>
      </c>
      <c r="AT30" s="56">
        <v>0</v>
      </c>
      <c r="AU30" s="56"/>
      <c r="AV30" s="56">
        <f t="shared" si="9"/>
        <v>3246.46</v>
      </c>
      <c r="AW30" s="56"/>
      <c r="AX30" s="56">
        <v>0</v>
      </c>
      <c r="AY30" s="56"/>
      <c r="AZ30" s="88">
        <v>3500</v>
      </c>
      <c r="BA30" s="56">
        <v>3500</v>
      </c>
      <c r="BB30" s="214"/>
      <c r="BC30" s="56"/>
      <c r="BD30" s="84">
        <f t="shared" si="10"/>
        <v>-2753.54</v>
      </c>
      <c r="BE30" s="56"/>
      <c r="BF30" s="56"/>
      <c r="BG30" s="56"/>
      <c r="BH30" s="72"/>
    </row>
    <row r="31" spans="1:60" ht="20.100000000000001" customHeight="1" outlineLevel="1">
      <c r="A31" s="77" t="s">
        <v>43</v>
      </c>
      <c r="B31" s="77" t="s">
        <v>176</v>
      </c>
      <c r="C31" s="77" t="s">
        <v>1107</v>
      </c>
      <c r="D31" s="78" t="s">
        <v>46</v>
      </c>
      <c r="E31" s="78" t="str">
        <f t="shared" si="5"/>
        <v>000</v>
      </c>
      <c r="F31" s="3">
        <v>691011</v>
      </c>
      <c r="G31" s="102" t="s">
        <v>935</v>
      </c>
      <c r="H31" s="87"/>
      <c r="I31" s="13">
        <v>302441</v>
      </c>
      <c r="J31" s="13">
        <v>487629</v>
      </c>
      <c r="L31" s="56">
        <v>404368</v>
      </c>
      <c r="M31" s="56"/>
      <c r="N31" s="56">
        <v>0</v>
      </c>
      <c r="O31" s="56"/>
      <c r="P31" s="56">
        <v>0</v>
      </c>
      <c r="Q31" s="56"/>
      <c r="R31" s="56">
        <v>0</v>
      </c>
      <c r="S31" s="56"/>
      <c r="T31" s="56">
        <v>0</v>
      </c>
      <c r="U31" s="56"/>
      <c r="V31" s="56">
        <v>400000</v>
      </c>
      <c r="W31" s="56"/>
      <c r="X31" s="56">
        <v>400479.89</v>
      </c>
      <c r="Y31" s="56"/>
      <c r="Z31" s="56">
        <v>400000</v>
      </c>
      <c r="AA31" s="56"/>
      <c r="AB31" s="56"/>
      <c r="AD31" s="56"/>
      <c r="AE31" s="56"/>
      <c r="AF31" s="56">
        <f t="shared" si="6"/>
        <v>400000</v>
      </c>
      <c r="AG31" s="89">
        <v>-352909</v>
      </c>
      <c r="AH31" s="89">
        <v>0</v>
      </c>
      <c r="AI31" s="56"/>
      <c r="AJ31" s="56">
        <f t="shared" si="7"/>
        <v>47091</v>
      </c>
      <c r="AK31" s="85"/>
      <c r="AL31" s="89">
        <v>0</v>
      </c>
      <c r="AM31" s="56"/>
      <c r="AN31" s="88">
        <f t="shared" si="8"/>
        <v>47091</v>
      </c>
      <c r="AO31" s="88">
        <v>0</v>
      </c>
      <c r="AP31" s="88">
        <v>0</v>
      </c>
      <c r="AQ31" s="56"/>
      <c r="AR31" s="56">
        <v>0</v>
      </c>
      <c r="AT31" s="56">
        <v>0</v>
      </c>
      <c r="AU31" s="56"/>
      <c r="AV31" s="56">
        <f t="shared" si="9"/>
        <v>0</v>
      </c>
      <c r="AW31" s="56"/>
      <c r="AX31" s="56">
        <v>0</v>
      </c>
      <c r="AY31" s="56"/>
      <c r="AZ31" s="88">
        <v>0</v>
      </c>
      <c r="BA31" s="56">
        <v>0</v>
      </c>
      <c r="BB31" s="214"/>
      <c r="BC31" s="56"/>
      <c r="BD31" s="84">
        <f t="shared" si="10"/>
        <v>-47091</v>
      </c>
      <c r="BE31" s="56"/>
      <c r="BF31" s="56"/>
      <c r="BG31" s="56"/>
      <c r="BH31" s="72"/>
    </row>
    <row r="32" spans="1:60" ht="20.100000000000001" hidden="1" customHeight="1" outlineLevel="1">
      <c r="A32" s="77" t="s">
        <v>43</v>
      </c>
      <c r="B32" s="77" t="s">
        <v>176</v>
      </c>
      <c r="C32" s="77" t="s">
        <v>1107</v>
      </c>
      <c r="D32" s="78" t="s">
        <v>46</v>
      </c>
      <c r="E32" s="78" t="str">
        <f t="shared" si="5"/>
        <v>000</v>
      </c>
      <c r="F32" s="3">
        <v>683012</v>
      </c>
      <c r="G32" s="102" t="s">
        <v>936</v>
      </c>
      <c r="H32" s="87"/>
      <c r="I32" s="13">
        <v>7135</v>
      </c>
      <c r="J32" s="13">
        <v>710</v>
      </c>
      <c r="L32" s="56">
        <v>0</v>
      </c>
      <c r="M32" s="56"/>
      <c r="N32" s="56">
        <v>0</v>
      </c>
      <c r="O32" s="56"/>
      <c r="P32" s="56">
        <v>0</v>
      </c>
      <c r="Q32" s="56"/>
      <c r="R32" s="56">
        <v>400000</v>
      </c>
      <c r="S32" s="56"/>
      <c r="T32" s="56">
        <v>0</v>
      </c>
      <c r="U32" s="56"/>
      <c r="V32" s="56">
        <v>0</v>
      </c>
      <c r="W32" s="56"/>
      <c r="X32" s="56">
        <v>0</v>
      </c>
      <c r="Y32" s="56"/>
      <c r="Z32" s="56">
        <v>0</v>
      </c>
      <c r="AA32" s="56"/>
      <c r="AB32" s="56"/>
      <c r="AD32" s="56"/>
      <c r="AE32" s="56"/>
      <c r="AF32" s="56">
        <f t="shared" si="6"/>
        <v>0</v>
      </c>
      <c r="AG32" s="56">
        <v>0</v>
      </c>
      <c r="AH32" s="56">
        <v>0</v>
      </c>
      <c r="AI32" s="56"/>
      <c r="AJ32" s="56">
        <f t="shared" si="7"/>
        <v>0</v>
      </c>
      <c r="AK32" s="85"/>
      <c r="AL32" s="56">
        <v>0</v>
      </c>
      <c r="AM32" s="56"/>
      <c r="AN32" s="88">
        <f t="shared" si="8"/>
        <v>0</v>
      </c>
      <c r="AO32" s="88">
        <v>0</v>
      </c>
      <c r="AP32" s="88">
        <v>0</v>
      </c>
      <c r="AQ32" s="56"/>
      <c r="AR32" s="56">
        <v>0</v>
      </c>
      <c r="AT32" s="56">
        <v>0</v>
      </c>
      <c r="AU32" s="56"/>
      <c r="AV32" s="56">
        <f t="shared" si="9"/>
        <v>0</v>
      </c>
      <c r="AW32" s="56"/>
      <c r="AX32" s="56">
        <v>0</v>
      </c>
      <c r="AY32" s="56"/>
      <c r="AZ32" s="88">
        <v>0</v>
      </c>
      <c r="BA32" s="56">
        <v>0</v>
      </c>
      <c r="BB32" s="56"/>
      <c r="BC32" s="56"/>
      <c r="BD32" s="84">
        <f t="shared" si="10"/>
        <v>0</v>
      </c>
      <c r="BE32" s="56"/>
      <c r="BF32" s="56"/>
      <c r="BG32" s="56"/>
      <c r="BH32" s="72"/>
    </row>
    <row r="33" spans="2:59" ht="20.100000000000001" customHeight="1" collapsed="1">
      <c r="B33" s="77"/>
      <c r="C33" s="77"/>
      <c r="D33" s="90"/>
      <c r="E33" s="90"/>
      <c r="F33" s="3"/>
      <c r="G33" s="110" t="s">
        <v>937</v>
      </c>
      <c r="H33" s="81"/>
      <c r="I33" s="92">
        <v>1350917</v>
      </c>
      <c r="J33" s="93">
        <v>1605880</v>
      </c>
      <c r="L33" s="125">
        <v>1582984</v>
      </c>
      <c r="M33" s="126"/>
      <c r="N33" s="125">
        <v>1244734</v>
      </c>
      <c r="O33" s="126"/>
      <c r="P33" s="125">
        <v>1295982</v>
      </c>
      <c r="Q33" s="126"/>
      <c r="R33" s="125">
        <v>1747586</v>
      </c>
      <c r="S33" s="95"/>
      <c r="T33" s="94">
        <v>0</v>
      </c>
      <c r="U33" s="126"/>
      <c r="V33" s="125">
        <v>1747586</v>
      </c>
      <c r="W33" s="126"/>
      <c r="X33" s="125">
        <f>SUBTOTAL(9,X11:X32)</f>
        <v>1863230.9399999995</v>
      </c>
      <c r="Y33" s="126"/>
      <c r="Z33" s="125">
        <f>SUBTOTAL(9,Z11:Z32)</f>
        <v>1733835</v>
      </c>
      <c r="AA33" s="126"/>
      <c r="AB33" s="125">
        <f>SUBTOTAL(9,AB11:AB32)</f>
        <v>0</v>
      </c>
      <c r="AD33" s="125">
        <f>SUBTOTAL(9,AD11:AD32)</f>
        <v>0</v>
      </c>
      <c r="AE33" s="126"/>
      <c r="AF33" s="125">
        <f>SUBTOTAL(9,AF11:AF32)</f>
        <v>1733835</v>
      </c>
      <c r="AG33" s="125">
        <f>SUBTOTAL(9,AG11:AG32)</f>
        <v>-352909</v>
      </c>
      <c r="AH33" s="125">
        <f>SUBTOTAL(9,AH11:AH32)</f>
        <v>27500</v>
      </c>
      <c r="AI33" s="126"/>
      <c r="AJ33" s="125">
        <f>SUBTOTAL(9,AJ11:AJ32)</f>
        <v>1408426</v>
      </c>
      <c r="AK33" s="96"/>
      <c r="AL33" s="125">
        <f>SUBTOTAL(9,AL11:AL32)</f>
        <v>50000</v>
      </c>
      <c r="AM33" s="126"/>
      <c r="AN33" s="127">
        <f>SUBTOTAL(9,AN11:AN32)</f>
        <v>1458426</v>
      </c>
      <c r="AO33" s="127">
        <f>SUBTOTAL(9,AO11:AO32)</f>
        <v>0</v>
      </c>
      <c r="AP33" s="127">
        <f>SUBTOTAL(9,AP11:AP32)</f>
        <v>1329994.2200000002</v>
      </c>
      <c r="AQ33" s="126"/>
      <c r="AR33" s="125">
        <f>SUBTOTAL(9,AR11:AR32)</f>
        <v>0</v>
      </c>
      <c r="AT33" s="125">
        <f>SUBTOTAL(9,AT11:AT32)</f>
        <v>0</v>
      </c>
      <c r="AU33" s="126"/>
      <c r="AV33" s="125">
        <f>SUBTOTAL(9,AV11:AV32)</f>
        <v>1329799.2200000002</v>
      </c>
      <c r="AW33" s="126"/>
      <c r="AX33" s="125">
        <f>SUBTOTAL(9,AX11:AX32)</f>
        <v>0</v>
      </c>
      <c r="AY33" s="126"/>
      <c r="AZ33" s="127">
        <f>SUBTOTAL(9,AZ11:AZ32)</f>
        <v>1385141</v>
      </c>
      <c r="BA33" s="125">
        <f>SUBTOTAL(9,BA11:BA32)</f>
        <v>1388350</v>
      </c>
      <c r="BB33" s="125"/>
      <c r="BC33" s="125"/>
      <c r="BD33" s="98">
        <f t="shared" si="10"/>
        <v>-128431.7799999998</v>
      </c>
      <c r="BE33" s="126"/>
      <c r="BF33" s="126"/>
      <c r="BG33" s="126"/>
    </row>
  </sheetData>
  <autoFilter ref="A9:BH33"/>
  <mergeCells count="8">
    <mergeCell ref="A8:E8"/>
    <mergeCell ref="AG2:AH2"/>
    <mergeCell ref="AG3:AH3"/>
    <mergeCell ref="AG4:AH4"/>
    <mergeCell ref="AB4:AD4"/>
    <mergeCell ref="A6:F6"/>
    <mergeCell ref="A7:F7"/>
    <mergeCell ref="AB5:AD5"/>
  </mergeCells>
  <phoneticPr fontId="3" type="noConversion"/>
  <conditionalFormatting sqref="F33:F65536 F1:F31">
    <cfRule type="cellIs" dxfId="9" priority="1" stopIfTrue="1" operator="between">
      <formula>610000</formula>
      <formula>619999</formula>
    </cfRule>
  </conditionalFormatting>
  <pageMargins left="0.54" right="0.25" top="0.24" bottom="0.49" header="0.25" footer="0"/>
  <pageSetup scale="77" fitToHeight="0" orientation="landscape" r:id="rId1"/>
  <headerFooter alignWithMargins="0">
    <oddFooter>&amp;C&amp;8Detail of Expenditures Budget By Department, Page &amp;P of &amp;N</oddFooter>
  </headerFooter>
  <legacyDrawing r:id="rId2"/>
</worksheet>
</file>

<file path=xl/worksheets/sheet29.xml><?xml version="1.0" encoding="utf-8"?>
<worksheet xmlns="http://schemas.openxmlformats.org/spreadsheetml/2006/main" xmlns:r="http://schemas.openxmlformats.org/officeDocument/2006/relationships">
  <sheetPr codeName="Sheet23" enableFormatConditionsCalculation="0">
    <tabColor indexed="17"/>
    <pageSetUpPr fitToPage="1"/>
  </sheetPr>
  <dimension ref="A1:BK53"/>
  <sheetViews>
    <sheetView zoomScale="87" zoomScaleNormal="90" workbookViewId="0">
      <pane xSplit="8" ySplit="9" topLeftCell="O10" activePane="bottomRight" state="frozen"/>
      <selection activeCell="A28" sqref="A28"/>
      <selection pane="topRight" activeCell="A28" sqref="A28"/>
      <selection pane="bottomLeft" activeCell="A28" sqref="A28"/>
      <selection pane="bottomRight"/>
    </sheetView>
  </sheetViews>
  <sheetFormatPr defaultRowHeight="12.75" outlineLevelRow="1" outlineLevelCol="1"/>
  <cols>
    <col min="1" max="1" width="7" style="39" customWidth="1" outlineLevel="1"/>
    <col min="2" max="2" width="6.140625" style="39" customWidth="1" outlineLevel="1"/>
    <col min="3" max="3" width="3.7109375" style="39" customWidth="1" outlineLevel="1"/>
    <col min="4" max="5" width="4.85546875" style="168" customWidth="1" outlineLevel="1"/>
    <col min="6" max="6" width="8.7109375" style="40" customWidth="1" outlineLevel="1"/>
    <col min="7" max="7" width="28.5703125" style="4" customWidth="1"/>
    <col min="8" max="8" width="16.5703125" style="4" hidden="1" customWidth="1"/>
    <col min="9" max="10" width="15.140625" style="4" hidden="1" customWidth="1" collapsed="1"/>
    <col min="11" max="11" width="39.5703125" style="4" hidden="1" customWidth="1"/>
    <col min="12" max="12" width="15.140625" style="7" bestFit="1" customWidth="1" collapsed="1"/>
    <col min="13" max="13" width="31.7109375" style="7" hidden="1" customWidth="1"/>
    <col min="14" max="14" width="35.5703125" style="7" hidden="1" customWidth="1" collapsed="1"/>
    <col min="15" max="15" width="0.140625" style="7" customWidth="1"/>
    <col min="16" max="16" width="25.28515625" style="7" hidden="1" customWidth="1" outlineLevel="1" collapsed="1"/>
    <col min="17" max="17" width="23.42578125" style="7" hidden="1" customWidth="1" outlineLevel="1"/>
    <col min="18" max="18" width="20.5703125" style="7" hidden="1" customWidth="1" outlineLevel="1" collapsed="1"/>
    <col min="19" max="19" width="18" style="7" hidden="1" customWidth="1" outlineLevel="1"/>
    <col min="20" max="20" width="19.5703125" style="7" hidden="1" customWidth="1" outlineLevel="1"/>
    <col min="21" max="21" width="18.42578125" style="7" hidden="1" customWidth="1" outlineLevel="1"/>
    <col min="22" max="22" width="13.140625" style="7" hidden="1" customWidth="1"/>
    <col min="23" max="23" width="14.140625" style="7" hidden="1" customWidth="1"/>
    <col min="24" max="24" width="14.5703125" style="7" customWidth="1" collapsed="1"/>
    <col min="25" max="25" width="0.85546875" style="7" hidden="1" customWidth="1"/>
    <col min="26" max="26" width="16.140625" style="7" hidden="1" customWidth="1"/>
    <col min="27" max="27" width="0.140625" style="7" hidden="1" customWidth="1"/>
    <col min="28" max="28" width="16.140625" style="7" hidden="1" customWidth="1" outlineLevel="1"/>
    <col min="29" max="29" width="0.42578125" style="7" hidden="1" customWidth="1" outlineLevel="1"/>
    <col min="30" max="30" width="17.85546875" style="7" hidden="1" customWidth="1" outlineLevel="1"/>
    <col min="31" max="31" width="0.42578125" style="7" hidden="1" customWidth="1" outlineLevel="1"/>
    <col min="32" max="32" width="16.140625" style="7" hidden="1" customWidth="1" collapsed="1"/>
    <col min="33" max="33" width="16" style="7" hidden="1" customWidth="1" outlineLevel="1"/>
    <col min="34" max="34" width="17" style="7" hidden="1" customWidth="1" outlineLevel="1"/>
    <col min="35" max="35" width="10.5703125" style="7" hidden="1" customWidth="1" outlineLevel="1"/>
    <col min="36" max="36" width="16.140625" style="7" hidden="1" customWidth="1" collapsed="1"/>
    <col min="37" max="37" width="0.7109375" style="7" hidden="1" customWidth="1"/>
    <col min="38" max="38" width="16.140625" style="7" hidden="1" customWidth="1" outlineLevel="1"/>
    <col min="39" max="39" width="4.140625" style="7" hidden="1" customWidth="1" outlineLevel="1"/>
    <col min="40" max="40" width="16.140625" style="17" customWidth="1" collapsed="1"/>
    <col min="41" max="41" width="16.140625" style="17" hidden="1" customWidth="1" collapsed="1"/>
    <col min="42" max="42" width="16.140625" style="17" customWidth="1" collapsed="1"/>
    <col min="43" max="43" width="0.7109375" style="7" hidden="1" customWidth="1" outlineLevel="1"/>
    <col min="44" max="44" width="22.140625" style="7" hidden="1" customWidth="1" outlineLevel="1"/>
    <col min="45" max="45" width="0.42578125" style="7" hidden="1" customWidth="1" outlineLevel="1"/>
    <col min="46" max="46" width="17.85546875" style="7" hidden="1" customWidth="1" outlineLevel="1"/>
    <col min="47" max="47" width="0.42578125" style="7" hidden="1" customWidth="1" outlineLevel="1"/>
    <col min="48" max="48" width="18" style="7" hidden="1" customWidth="1" collapsed="1"/>
    <col min="49" max="49" width="0.5703125" style="7" hidden="1" customWidth="1"/>
    <col min="50" max="50" width="18" style="7" hidden="1" customWidth="1"/>
    <col min="51" max="51" width="0.5703125" style="7" customWidth="1"/>
    <col min="52" max="52" width="15.140625" style="7" customWidth="1"/>
    <col min="53" max="53" width="15.7109375" style="7" bestFit="1" customWidth="1"/>
    <col min="54" max="54" width="15.140625" style="7" customWidth="1"/>
    <col min="55" max="55" width="23.140625" style="7" customWidth="1"/>
    <col min="56" max="56" width="19.85546875" style="7" bestFit="1" customWidth="1"/>
    <col min="57" max="59" width="12.42578125" style="7" customWidth="1"/>
    <col min="60" max="60" width="3.85546875" style="76" customWidth="1"/>
    <col min="61" max="61" width="14.5703125" style="12" bestFit="1" customWidth="1"/>
  </cols>
  <sheetData>
    <row r="1" spans="1:62" ht="15">
      <c r="A1" s="1" t="s">
        <v>0</v>
      </c>
      <c r="B1" s="2"/>
      <c r="C1" s="2"/>
      <c r="D1" s="1"/>
      <c r="E1" s="1"/>
      <c r="F1" s="3"/>
      <c r="H1" s="5"/>
      <c r="I1" s="6"/>
      <c r="T1" s="8"/>
      <c r="Z1" s="9"/>
      <c r="AB1" s="9"/>
      <c r="AD1" s="9"/>
      <c r="AF1" s="9"/>
      <c r="AH1" s="10" t="e">
        <f>+#REF!</f>
        <v>#REF!</v>
      </c>
      <c r="AJ1" s="9"/>
      <c r="AK1" s="9"/>
      <c r="AN1" s="9"/>
      <c r="AO1" s="9"/>
      <c r="AP1" s="9"/>
      <c r="AR1" s="9"/>
      <c r="AT1" s="9"/>
      <c r="AV1" s="9"/>
      <c r="AW1" s="9"/>
      <c r="AX1" s="9"/>
      <c r="AY1" s="9"/>
      <c r="AZ1" s="9"/>
      <c r="BA1" s="9"/>
      <c r="BB1" s="9"/>
      <c r="BC1" s="9"/>
      <c r="BD1" s="9"/>
      <c r="BE1" s="9"/>
      <c r="BF1" s="9"/>
      <c r="BG1" s="9"/>
      <c r="BH1" s="11"/>
    </row>
    <row r="2" spans="1:62" ht="15">
      <c r="A2" s="1" t="s">
        <v>1053</v>
      </c>
      <c r="B2" s="2"/>
      <c r="C2" s="2"/>
      <c r="D2" s="1"/>
      <c r="E2" s="1"/>
      <c r="F2" s="3"/>
      <c r="H2" s="5"/>
      <c r="I2" s="13"/>
      <c r="J2" s="14"/>
      <c r="K2" s="14"/>
      <c r="L2" s="15"/>
      <c r="M2" s="15"/>
      <c r="N2" s="15"/>
      <c r="O2" s="15"/>
      <c r="P2" s="15"/>
      <c r="R2" s="15"/>
      <c r="T2" s="8"/>
      <c r="V2" s="15"/>
      <c r="X2" s="15"/>
      <c r="Z2" s="15"/>
      <c r="AB2" s="15"/>
      <c r="AD2" s="15"/>
      <c r="AF2" s="15"/>
      <c r="AG2" s="238" t="s">
        <v>1</v>
      </c>
      <c r="AH2" s="238"/>
      <c r="AI2" s="17"/>
      <c r="AJ2" s="18"/>
      <c r="AK2" s="15"/>
      <c r="AL2" s="10" t="e">
        <f>+#REF!</f>
        <v>#REF!</v>
      </c>
      <c r="AN2" s="18"/>
      <c r="AO2" s="18"/>
      <c r="AP2" s="18"/>
      <c r="AR2" s="15"/>
      <c r="AT2" s="15"/>
      <c r="AV2" s="15"/>
      <c r="AW2" s="15"/>
      <c r="AX2" s="15"/>
      <c r="AY2" s="15"/>
      <c r="AZ2" s="15"/>
      <c r="BA2" s="15"/>
      <c r="BB2" s="15"/>
      <c r="BC2" s="15"/>
      <c r="BD2" s="15"/>
      <c r="BE2" s="15"/>
      <c r="BF2" s="15"/>
      <c r="BG2" s="15"/>
      <c r="BH2" s="19"/>
    </row>
    <row r="3" spans="1:62">
      <c r="A3" s="20" t="str">
        <f>IF(G7=1,"DETAIL OF EXPENDITURES BUDGET BY DEPARTMENT WITH COMPARATIVE AMOUNTS", "SUMMARY OF EXPENDITURES BUDGET BY DEPARTMENT WITH COMPARATIVE AMOUNTS")</f>
        <v>DETAIL OF EXPENDITURES BUDGET BY DEPARTMENT WITH COMPARATIVE AMOUNTS</v>
      </c>
      <c r="B3" s="21"/>
      <c r="C3" s="21"/>
      <c r="D3" s="22"/>
      <c r="E3" s="22"/>
      <c r="F3" s="3"/>
      <c r="H3" s="5"/>
      <c r="I3" s="23"/>
      <c r="J3" s="15"/>
      <c r="L3" s="15"/>
      <c r="M3" s="10"/>
      <c r="N3" s="10"/>
      <c r="O3" s="10"/>
      <c r="P3" s="24"/>
      <c r="R3" s="24"/>
      <c r="V3" s="24"/>
      <c r="W3" s="24"/>
      <c r="X3" s="15"/>
      <c r="Y3" s="24"/>
      <c r="AA3" s="24"/>
      <c r="AB3" s="24" t="e">
        <f>+#REF!</f>
        <v>#REF!</v>
      </c>
      <c r="AC3" s="24"/>
      <c r="AD3" s="24" t="e">
        <f>+#REF!</f>
        <v>#REF!</v>
      </c>
      <c r="AE3" s="24"/>
      <c r="AF3" s="10" t="e">
        <f>+#REF!</f>
        <v>#REF!</v>
      </c>
      <c r="AG3" s="239" t="s">
        <v>2</v>
      </c>
      <c r="AH3" s="239"/>
      <c r="AI3" s="25"/>
      <c r="AJ3" s="25" t="e">
        <f>+#REF!</f>
        <v>#REF!</v>
      </c>
      <c r="AK3" s="24"/>
      <c r="AL3" s="16" t="s">
        <v>1</v>
      </c>
      <c r="AM3" s="25"/>
      <c r="AN3" s="25"/>
      <c r="AO3" s="25"/>
      <c r="AP3" s="25"/>
      <c r="AQ3" s="24"/>
      <c r="AR3" s="24" t="e">
        <f>+#REF!</f>
        <v>#REF!</v>
      </c>
      <c r="AS3" s="24"/>
      <c r="AT3" s="24" t="e">
        <f>+#REF!</f>
        <v>#REF!</v>
      </c>
      <c r="AU3" s="24"/>
      <c r="AV3" s="24" t="e">
        <f>+#REF!</f>
        <v>#REF!</v>
      </c>
      <c r="AW3" s="24"/>
      <c r="AX3" s="24" t="e">
        <f>+#REF!</f>
        <v>#REF!</v>
      </c>
      <c r="AY3" s="24"/>
      <c r="AZ3" s="24"/>
      <c r="BA3" s="24"/>
      <c r="BB3" s="24"/>
      <c r="BC3" s="24"/>
      <c r="BD3" s="26"/>
      <c r="BE3" s="26"/>
      <c r="BF3" s="26"/>
      <c r="BG3" s="26"/>
      <c r="BH3" s="27"/>
    </row>
    <row r="4" spans="1:62" ht="15">
      <c r="A4" s="28" t="s">
        <v>1070</v>
      </c>
      <c r="B4" s="29"/>
      <c r="C4" s="29"/>
      <c r="D4" s="28"/>
      <c r="E4" s="28"/>
      <c r="F4" s="3"/>
      <c r="H4" s="30"/>
      <c r="I4" s="31" t="e">
        <f>+#REF!</f>
        <v>#REF!</v>
      </c>
      <c r="J4" s="31" t="e">
        <f>+#REF!</f>
        <v>#REF!</v>
      </c>
      <c r="L4" s="31"/>
      <c r="M4" s="32"/>
      <c r="N4" s="33"/>
      <c r="O4" s="32"/>
      <c r="P4" s="33"/>
      <c r="R4" s="33"/>
      <c r="T4" s="33"/>
      <c r="X4" s="31"/>
      <c r="Z4" s="10"/>
      <c r="AB4" s="241"/>
      <c r="AC4" s="241"/>
      <c r="AD4" s="241"/>
      <c r="AE4" s="35"/>
      <c r="AF4" s="34"/>
      <c r="AG4" s="240"/>
      <c r="AH4" s="240"/>
      <c r="AI4" s="17"/>
      <c r="AJ4" s="16"/>
      <c r="AK4" s="24"/>
      <c r="AL4" s="16"/>
      <c r="AM4" s="17"/>
      <c r="AN4" s="31"/>
      <c r="AO4" s="31"/>
      <c r="AP4" s="31"/>
      <c r="AR4" s="34" t="s">
        <v>5</v>
      </c>
      <c r="AU4" s="35"/>
      <c r="AV4" s="34"/>
      <c r="AW4" s="34"/>
      <c r="AX4" s="34" t="s">
        <v>5</v>
      </c>
      <c r="AY4" s="34"/>
      <c r="AZ4" s="34"/>
      <c r="BA4" s="34"/>
      <c r="BB4" s="34"/>
      <c r="BC4" s="34"/>
      <c r="BD4" s="37"/>
      <c r="BE4" s="37"/>
      <c r="BF4" s="37"/>
      <c r="BG4" s="37"/>
      <c r="BH4" s="38"/>
    </row>
    <row r="5" spans="1:62" ht="15">
      <c r="B5" s="29"/>
      <c r="C5" s="29"/>
      <c r="D5" s="28"/>
      <c r="E5" s="28"/>
      <c r="G5" s="28"/>
      <c r="H5" s="5"/>
      <c r="I5" s="41" t="s">
        <v>6</v>
      </c>
      <c r="J5" s="42" t="s">
        <v>7</v>
      </c>
      <c r="L5" s="16" t="s">
        <v>8</v>
      </c>
      <c r="M5" s="16"/>
      <c r="N5" s="16" t="s">
        <v>9</v>
      </c>
      <c r="O5" s="16"/>
      <c r="P5" s="16" t="s">
        <v>9</v>
      </c>
      <c r="Q5" s="17"/>
      <c r="R5" s="43"/>
      <c r="S5" s="17"/>
      <c r="T5" s="16"/>
      <c r="U5" s="17"/>
      <c r="V5" s="16" t="s">
        <v>9</v>
      </c>
      <c r="X5" s="16" t="s">
        <v>9</v>
      </c>
      <c r="Z5" s="34" t="s">
        <v>1</v>
      </c>
      <c r="AB5" s="243" t="s">
        <v>10</v>
      </c>
      <c r="AC5" s="243"/>
      <c r="AD5" s="243"/>
      <c r="AE5" s="35"/>
      <c r="AF5" s="34" t="s">
        <v>1</v>
      </c>
      <c r="AG5" s="17"/>
      <c r="AH5" s="16" t="s">
        <v>11</v>
      </c>
      <c r="AI5" s="17"/>
      <c r="AJ5" s="16" t="s">
        <v>1</v>
      </c>
      <c r="AK5" s="24"/>
      <c r="AL5" s="43" t="s">
        <v>12</v>
      </c>
      <c r="AM5" s="17"/>
      <c r="AN5" s="16" t="s">
        <v>1</v>
      </c>
      <c r="AO5" s="45" t="s">
        <v>1</v>
      </c>
      <c r="AP5" s="46" t="s">
        <v>5</v>
      </c>
      <c r="AQ5" s="47"/>
      <c r="AR5" s="48" t="s">
        <v>10</v>
      </c>
      <c r="AS5" s="47"/>
      <c r="AT5" s="47"/>
      <c r="AU5" s="47"/>
      <c r="AV5" s="46" t="s">
        <v>5</v>
      </c>
      <c r="AW5" s="34"/>
      <c r="AX5" s="49" t="s">
        <v>3</v>
      </c>
      <c r="AY5" s="34"/>
      <c r="AZ5" s="16" t="s">
        <v>1054</v>
      </c>
      <c r="BA5" s="16" t="str">
        <f>+AZ5</f>
        <v>2010-2011</v>
      </c>
      <c r="BB5" s="34" t="s">
        <v>1069</v>
      </c>
      <c r="BC5" s="34"/>
      <c r="BD5" s="50" t="s">
        <v>13</v>
      </c>
      <c r="BE5" s="37"/>
      <c r="BF5" s="37"/>
      <c r="BG5" s="37"/>
      <c r="BH5" s="51"/>
    </row>
    <row r="6" spans="1:62">
      <c r="A6" s="242"/>
      <c r="B6" s="242"/>
      <c r="C6" s="242"/>
      <c r="D6" s="242"/>
      <c r="E6" s="242"/>
      <c r="F6" s="242"/>
      <c r="G6" s="22"/>
      <c r="H6" s="5"/>
      <c r="I6" s="52" t="s">
        <v>14</v>
      </c>
      <c r="J6" s="52" t="s">
        <v>14</v>
      </c>
      <c r="L6" s="43" t="s">
        <v>14</v>
      </c>
      <c r="M6" s="43"/>
      <c r="N6" s="43" t="s">
        <v>15</v>
      </c>
      <c r="O6" s="43"/>
      <c r="P6" s="43" t="s">
        <v>4</v>
      </c>
      <c r="Q6" s="17"/>
      <c r="R6" s="43" t="s">
        <v>4</v>
      </c>
      <c r="S6" s="43"/>
      <c r="T6" s="43" t="s">
        <v>16</v>
      </c>
      <c r="U6" s="43"/>
      <c r="V6" s="43" t="s">
        <v>4</v>
      </c>
      <c r="W6" s="43"/>
      <c r="X6" s="43" t="s">
        <v>14</v>
      </c>
      <c r="Y6" s="43"/>
      <c r="Z6" s="34" t="s">
        <v>17</v>
      </c>
      <c r="AA6" s="43"/>
      <c r="AB6" s="53" t="s">
        <v>16</v>
      </c>
      <c r="AC6" s="53"/>
      <c r="AD6" s="34"/>
      <c r="AE6" s="53"/>
      <c r="AF6" s="34" t="s">
        <v>17</v>
      </c>
      <c r="AG6" s="43" t="s">
        <v>16</v>
      </c>
      <c r="AH6" s="16" t="s">
        <v>18</v>
      </c>
      <c r="AI6" s="43"/>
      <c r="AJ6" s="16" t="s">
        <v>19</v>
      </c>
      <c r="AK6" s="24"/>
      <c r="AL6" s="43" t="s">
        <v>16</v>
      </c>
      <c r="AM6" s="43"/>
      <c r="AN6" s="43" t="s">
        <v>14</v>
      </c>
      <c r="AO6" s="45" t="s">
        <v>20</v>
      </c>
      <c r="AP6" s="43" t="s">
        <v>14</v>
      </c>
      <c r="AQ6" s="54"/>
      <c r="AR6" s="54" t="s">
        <v>16</v>
      </c>
      <c r="AS6" s="54"/>
      <c r="AT6" s="46"/>
      <c r="AU6" s="54"/>
      <c r="AV6" s="46" t="s">
        <v>19</v>
      </c>
      <c r="AW6" s="34"/>
      <c r="AX6" s="55" t="s">
        <v>16</v>
      </c>
      <c r="AY6" s="34"/>
      <c r="AZ6" s="16" t="s">
        <v>17</v>
      </c>
      <c r="BA6" s="16" t="s">
        <v>17</v>
      </c>
      <c r="BB6" s="34" t="s">
        <v>19</v>
      </c>
      <c r="BC6" s="56"/>
      <c r="BD6" s="50" t="s">
        <v>21</v>
      </c>
      <c r="BE6" s="37"/>
      <c r="BF6" s="37"/>
      <c r="BG6" s="37"/>
      <c r="BH6" s="57"/>
    </row>
    <row r="7" spans="1:62" ht="15">
      <c r="A7" s="237"/>
      <c r="B7" s="237"/>
      <c r="C7" s="237"/>
      <c r="D7" s="237"/>
      <c r="E7" s="237"/>
      <c r="F7" s="237"/>
      <c r="G7" s="59">
        <v>1</v>
      </c>
      <c r="H7" s="60"/>
      <c r="I7" s="52" t="s">
        <v>22</v>
      </c>
      <c r="J7" s="52" t="s">
        <v>22</v>
      </c>
      <c r="L7" s="43" t="s">
        <v>22</v>
      </c>
      <c r="M7" s="43"/>
      <c r="N7" s="43" t="s">
        <v>23</v>
      </c>
      <c r="O7" s="43"/>
      <c r="P7" s="43" t="s">
        <v>24</v>
      </c>
      <c r="Q7" s="43"/>
      <c r="R7" s="43" t="s">
        <v>24</v>
      </c>
      <c r="S7" s="43"/>
      <c r="T7" s="43" t="s">
        <v>25</v>
      </c>
      <c r="U7" s="43"/>
      <c r="V7" s="43" t="s">
        <v>24</v>
      </c>
      <c r="W7" s="43"/>
      <c r="X7" s="43" t="s">
        <v>22</v>
      </c>
      <c r="Y7" s="43"/>
      <c r="Z7" s="53" t="s">
        <v>15</v>
      </c>
      <c r="AA7" s="43"/>
      <c r="AB7" s="53" t="s">
        <v>26</v>
      </c>
      <c r="AC7" s="53"/>
      <c r="AD7" s="53"/>
      <c r="AE7" s="53"/>
      <c r="AF7" s="53" t="s">
        <v>4</v>
      </c>
      <c r="AG7" s="43" t="s">
        <v>26</v>
      </c>
      <c r="AH7" s="43" t="s">
        <v>27</v>
      </c>
      <c r="AI7" s="43"/>
      <c r="AJ7" s="43" t="s">
        <v>4</v>
      </c>
      <c r="AK7" s="24"/>
      <c r="AL7" s="43" t="s">
        <v>26</v>
      </c>
      <c r="AM7" s="43"/>
      <c r="AN7" s="43" t="s">
        <v>22</v>
      </c>
      <c r="AO7" s="61" t="s">
        <v>22</v>
      </c>
      <c r="AP7" s="43" t="s">
        <v>22</v>
      </c>
      <c r="AQ7" s="54"/>
      <c r="AR7" s="54" t="s">
        <v>26</v>
      </c>
      <c r="AS7" s="54"/>
      <c r="AT7" s="54"/>
      <c r="AU7" s="54"/>
      <c r="AV7" s="54" t="s">
        <v>4</v>
      </c>
      <c r="AW7" s="53"/>
      <c r="AX7" s="55" t="s">
        <v>26</v>
      </c>
      <c r="AY7" s="53"/>
      <c r="AZ7" s="16" t="s">
        <v>15</v>
      </c>
      <c r="BA7" s="43" t="s">
        <v>4</v>
      </c>
      <c r="BB7" s="34" t="s">
        <v>15</v>
      </c>
      <c r="BC7" s="56"/>
      <c r="BD7" s="50" t="s">
        <v>28</v>
      </c>
      <c r="BE7" s="62"/>
      <c r="BF7" s="62"/>
      <c r="BG7" s="62"/>
      <c r="BH7" s="57"/>
      <c r="BI7" s="63"/>
    </row>
    <row r="8" spans="1:62" ht="15">
      <c r="A8" s="237" t="s">
        <v>29</v>
      </c>
      <c r="B8" s="237"/>
      <c r="C8" s="237"/>
      <c r="D8" s="237"/>
      <c r="E8" s="237"/>
      <c r="F8" s="64" t="s">
        <v>30</v>
      </c>
      <c r="G8" s="64" t="s">
        <v>31</v>
      </c>
      <c r="H8" s="60"/>
      <c r="I8" s="65" t="s">
        <v>32</v>
      </c>
      <c r="J8" s="65" t="s">
        <v>32</v>
      </c>
      <c r="L8" s="66" t="s">
        <v>32</v>
      </c>
      <c r="M8" s="36"/>
      <c r="N8" s="36" t="s">
        <v>2</v>
      </c>
      <c r="O8" s="36"/>
      <c r="P8" s="36" t="s">
        <v>33</v>
      </c>
      <c r="Q8" s="36"/>
      <c r="R8" s="36" t="s">
        <v>34</v>
      </c>
      <c r="S8" s="36"/>
      <c r="T8" s="36" t="s">
        <v>35</v>
      </c>
      <c r="U8" s="36"/>
      <c r="V8" s="36" t="s">
        <v>36</v>
      </c>
      <c r="W8" s="36"/>
      <c r="X8" s="66" t="s">
        <v>32</v>
      </c>
      <c r="Y8" s="36"/>
      <c r="Z8" s="44" t="s">
        <v>24</v>
      </c>
      <c r="AA8" s="36"/>
      <c r="AB8" s="44" t="s">
        <v>35</v>
      </c>
      <c r="AC8" s="44"/>
      <c r="AD8" s="44" t="s">
        <v>37</v>
      </c>
      <c r="AE8" s="44"/>
      <c r="AF8" s="44" t="s">
        <v>38</v>
      </c>
      <c r="AG8" s="36" t="s">
        <v>35</v>
      </c>
      <c r="AH8" s="36" t="s">
        <v>39</v>
      </c>
      <c r="AI8" s="36"/>
      <c r="AJ8" s="36" t="s">
        <v>40</v>
      </c>
      <c r="AK8" s="24"/>
      <c r="AL8" s="36" t="s">
        <v>35</v>
      </c>
      <c r="AM8" s="36"/>
      <c r="AN8" s="36" t="s">
        <v>32</v>
      </c>
      <c r="AO8" s="67" t="s">
        <v>32</v>
      </c>
      <c r="AP8" s="36" t="s">
        <v>32</v>
      </c>
      <c r="AQ8" s="48"/>
      <c r="AR8" s="48" t="s">
        <v>35</v>
      </c>
      <c r="AS8" s="48"/>
      <c r="AT8" s="48" t="s">
        <v>37</v>
      </c>
      <c r="AU8" s="48"/>
      <c r="AV8" s="48" t="s">
        <v>38</v>
      </c>
      <c r="AW8" s="44"/>
      <c r="AX8" s="49" t="s">
        <v>35</v>
      </c>
      <c r="AY8" s="44"/>
      <c r="AZ8" s="36" t="s">
        <v>2</v>
      </c>
      <c r="BA8" s="36" t="s">
        <v>40</v>
      </c>
      <c r="BB8" s="44" t="s">
        <v>2</v>
      </c>
      <c r="BC8" s="56"/>
      <c r="BD8" s="50" t="s">
        <v>41</v>
      </c>
      <c r="BE8" s="68"/>
      <c r="BF8" s="68"/>
      <c r="BG8" s="68"/>
      <c r="BH8" s="69"/>
    </row>
    <row r="9" spans="1:62" ht="15">
      <c r="A9" s="58"/>
      <c r="B9" s="58"/>
      <c r="C9" s="58"/>
      <c r="D9" s="64"/>
      <c r="E9" s="64"/>
      <c r="F9" s="64"/>
      <c r="G9" s="70"/>
      <c r="H9" s="60"/>
      <c r="J9" s="71"/>
      <c r="AK9" s="24"/>
      <c r="AZ9" s="34"/>
      <c r="BB9" s="34"/>
      <c r="BC9" s="56"/>
      <c r="BH9" s="72">
        <v>2</v>
      </c>
    </row>
    <row r="10" spans="1:62" ht="20.100000000000001" customHeight="1" outlineLevel="1">
      <c r="A10" s="75" t="s">
        <v>731</v>
      </c>
      <c r="B10" s="77"/>
      <c r="C10" s="77"/>
      <c r="D10" s="90"/>
      <c r="E10" s="90"/>
      <c r="F10" s="3"/>
      <c r="H10" s="87"/>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5"/>
      <c r="AL10" s="83"/>
      <c r="AM10" s="83"/>
      <c r="AN10" s="100"/>
      <c r="AO10" s="100"/>
      <c r="AP10" s="100"/>
      <c r="AQ10" s="83"/>
      <c r="AR10" s="83"/>
      <c r="AS10" s="83"/>
      <c r="AT10" s="83"/>
      <c r="AU10" s="83"/>
      <c r="AV10" s="83"/>
      <c r="AW10" s="83"/>
      <c r="AX10" s="83"/>
      <c r="AY10" s="83"/>
      <c r="AZ10" s="83"/>
      <c r="BA10" s="83"/>
      <c r="BB10" s="83"/>
      <c r="BC10" s="56"/>
      <c r="BD10" s="83"/>
      <c r="BE10" s="83"/>
      <c r="BF10" s="83"/>
      <c r="BG10" s="83"/>
      <c r="BH10" s="19"/>
    </row>
    <row r="11" spans="1:62" ht="20.100000000000001" customHeight="1" outlineLevel="1">
      <c r="A11" s="77" t="s">
        <v>43</v>
      </c>
      <c r="B11" s="77" t="s">
        <v>203</v>
      </c>
      <c r="C11" s="77" t="s">
        <v>1108</v>
      </c>
      <c r="D11" s="78" t="s">
        <v>46</v>
      </c>
      <c r="E11" s="78" t="str">
        <f t="shared" ref="E11:E31" si="0">+D11</f>
        <v>000</v>
      </c>
      <c r="F11" s="3">
        <v>664211</v>
      </c>
      <c r="G11" s="154" t="s">
        <v>732</v>
      </c>
      <c r="H11" s="87"/>
      <c r="I11" s="105">
        <v>0</v>
      </c>
      <c r="J11" s="105">
        <v>0</v>
      </c>
      <c r="L11" s="83">
        <v>1060785</v>
      </c>
      <c r="M11" s="83"/>
      <c r="N11" s="83">
        <v>2802868</v>
      </c>
      <c r="O11" s="83"/>
      <c r="P11" s="83">
        <v>2804454</v>
      </c>
      <c r="Q11" s="83"/>
      <c r="R11" s="83">
        <v>2804454</v>
      </c>
      <c r="S11" s="83"/>
      <c r="T11" s="83">
        <v>0</v>
      </c>
      <c r="U11" s="83"/>
      <c r="V11" s="83">
        <v>2804454</v>
      </c>
      <c r="W11" s="83"/>
      <c r="X11" s="83">
        <v>2787414.99</v>
      </c>
      <c r="Y11" s="83"/>
      <c r="Z11" s="83">
        <v>3389250</v>
      </c>
      <c r="AA11" s="83"/>
      <c r="AB11" s="83"/>
      <c r="AC11" s="83"/>
      <c r="AD11" s="83">
        <v>16190</v>
      </c>
      <c r="AE11" s="83"/>
      <c r="AF11" s="84">
        <f t="shared" ref="AF11:AF22" si="1">SUM(Z11:AE11)</f>
        <v>3405440</v>
      </c>
      <c r="AG11" s="83">
        <v>0</v>
      </c>
      <c r="AH11" s="83">
        <v>0</v>
      </c>
      <c r="AI11" s="83"/>
      <c r="AJ11" s="84">
        <f t="shared" ref="AJ11:AJ22" si="2">SUM(AE11:AI11)</f>
        <v>3405440</v>
      </c>
      <c r="AK11" s="85"/>
      <c r="AL11" s="83">
        <v>0</v>
      </c>
      <c r="AM11" s="83"/>
      <c r="AN11" s="86">
        <f t="shared" ref="AN11:AN22" si="3">SUM(AI11:AM11)</f>
        <v>3405440</v>
      </c>
      <c r="AO11" s="86">
        <v>0</v>
      </c>
      <c r="AP11" s="86">
        <v>1360658.23</v>
      </c>
      <c r="AQ11" s="83"/>
      <c r="AR11" s="83">
        <v>0</v>
      </c>
      <c r="AS11" s="83"/>
      <c r="AT11" s="83">
        <v>0</v>
      </c>
      <c r="AU11" s="83"/>
      <c r="AV11" s="84">
        <f t="shared" ref="AV11:AV22" si="4">SUM(AP11:AU11)</f>
        <v>1360658.23</v>
      </c>
      <c r="AW11" s="84"/>
      <c r="AX11" s="84">
        <v>0</v>
      </c>
      <c r="AY11" s="84"/>
      <c r="AZ11" s="86">
        <v>1459666</v>
      </c>
      <c r="BA11" s="84">
        <v>1459666</v>
      </c>
      <c r="BB11" s="214"/>
      <c r="BC11" s="56"/>
      <c r="BD11" s="84">
        <f t="shared" ref="BD11:BD22" si="5">+AP11-AN11</f>
        <v>-2044781.77</v>
      </c>
      <c r="BE11" s="84"/>
      <c r="BF11" s="84"/>
      <c r="BG11" s="84"/>
      <c r="BH11" s="72"/>
    </row>
    <row r="12" spans="1:62" ht="20.100000000000001" customHeight="1" outlineLevel="1">
      <c r="A12" s="77" t="s">
        <v>43</v>
      </c>
      <c r="B12" s="77" t="s">
        <v>203</v>
      </c>
      <c r="C12" s="77" t="s">
        <v>1108</v>
      </c>
      <c r="D12" s="78" t="s">
        <v>46</v>
      </c>
      <c r="E12" s="78" t="str">
        <f t="shared" si="0"/>
        <v>000</v>
      </c>
      <c r="F12" s="3">
        <v>664213</v>
      </c>
      <c r="G12" s="154" t="s">
        <v>563</v>
      </c>
      <c r="H12" s="87"/>
      <c r="I12" s="13">
        <v>0</v>
      </c>
      <c r="J12" s="13">
        <v>0</v>
      </c>
      <c r="L12" s="56">
        <v>73682</v>
      </c>
      <c r="M12" s="83"/>
      <c r="N12" s="56">
        <v>76871</v>
      </c>
      <c r="O12" s="83"/>
      <c r="P12" s="56">
        <v>76871</v>
      </c>
      <c r="Q12" s="83"/>
      <c r="R12" s="56">
        <v>76871</v>
      </c>
      <c r="S12" s="56"/>
      <c r="T12" s="56">
        <v>0</v>
      </c>
      <c r="U12" s="83"/>
      <c r="V12" s="56">
        <v>76871</v>
      </c>
      <c r="W12" s="83"/>
      <c r="X12" s="56">
        <v>76007.42</v>
      </c>
      <c r="Y12" s="83"/>
      <c r="Z12" s="56">
        <v>76871</v>
      </c>
      <c r="AA12" s="83"/>
      <c r="AB12" s="56"/>
      <c r="AC12" s="83"/>
      <c r="AD12" s="56"/>
      <c r="AE12" s="83"/>
      <c r="AF12" s="56">
        <f t="shared" si="1"/>
        <v>76871</v>
      </c>
      <c r="AG12" s="56">
        <v>0</v>
      </c>
      <c r="AH12" s="56">
        <v>0</v>
      </c>
      <c r="AI12" s="83"/>
      <c r="AJ12" s="56">
        <f t="shared" si="2"/>
        <v>76871</v>
      </c>
      <c r="AK12" s="85"/>
      <c r="AL12" s="56">
        <v>0</v>
      </c>
      <c r="AM12" s="83"/>
      <c r="AN12" s="88">
        <f t="shared" si="3"/>
        <v>76871</v>
      </c>
      <c r="AO12" s="88">
        <v>0</v>
      </c>
      <c r="AP12" s="88">
        <v>80582.61</v>
      </c>
      <c r="AQ12" s="83"/>
      <c r="AR12" s="56">
        <v>0</v>
      </c>
      <c r="AS12" s="83"/>
      <c r="AT12" s="56">
        <v>0</v>
      </c>
      <c r="AU12" s="83"/>
      <c r="AV12" s="56">
        <f t="shared" si="4"/>
        <v>80582.61</v>
      </c>
      <c r="AW12" s="56"/>
      <c r="AX12" s="56">
        <v>0</v>
      </c>
      <c r="AY12" s="56"/>
      <c r="AZ12" s="88">
        <v>76088</v>
      </c>
      <c r="BA12" s="56">
        <v>76088</v>
      </c>
      <c r="BB12" s="216"/>
      <c r="BC12" s="56"/>
      <c r="BD12" s="84">
        <f t="shared" si="5"/>
        <v>3711.6100000000006</v>
      </c>
      <c r="BE12" s="56"/>
      <c r="BF12" s="56"/>
      <c r="BG12" s="56"/>
      <c r="BH12" s="72"/>
    </row>
    <row r="13" spans="1:62" ht="20.100000000000001" customHeight="1" outlineLevel="1">
      <c r="A13" s="77" t="s">
        <v>43</v>
      </c>
      <c r="B13" s="77" t="s">
        <v>592</v>
      </c>
      <c r="C13" s="77" t="s">
        <v>1108</v>
      </c>
      <c r="D13" s="78" t="s">
        <v>46</v>
      </c>
      <c r="E13" s="78" t="str">
        <f t="shared" si="0"/>
        <v>000</v>
      </c>
      <c r="F13" s="3">
        <v>664211</v>
      </c>
      <c r="G13" s="154" t="s">
        <v>733</v>
      </c>
      <c r="H13" s="87"/>
      <c r="I13" s="13">
        <v>0</v>
      </c>
      <c r="J13" s="13">
        <v>0</v>
      </c>
      <c r="L13" s="56">
        <v>30000</v>
      </c>
      <c r="M13" s="83"/>
      <c r="N13" s="56">
        <v>0</v>
      </c>
      <c r="O13" s="83"/>
      <c r="P13" s="56">
        <v>0</v>
      </c>
      <c r="Q13" s="83"/>
      <c r="R13" s="56">
        <v>0</v>
      </c>
      <c r="S13" s="56"/>
      <c r="T13" s="56">
        <v>0</v>
      </c>
      <c r="U13" s="83"/>
      <c r="V13" s="56">
        <v>0</v>
      </c>
      <c r="W13" s="83"/>
      <c r="X13" s="56">
        <v>0</v>
      </c>
      <c r="Y13" s="83"/>
      <c r="Z13" s="56">
        <v>0</v>
      </c>
      <c r="AA13" s="83"/>
      <c r="AB13" s="56"/>
      <c r="AC13" s="83"/>
      <c r="AD13" s="56"/>
      <c r="AE13" s="83"/>
      <c r="AF13" s="56">
        <f t="shared" si="1"/>
        <v>0</v>
      </c>
      <c r="AG13" s="56">
        <v>0</v>
      </c>
      <c r="AH13" s="56">
        <v>0</v>
      </c>
      <c r="AI13" s="83"/>
      <c r="AJ13" s="56">
        <f t="shared" si="2"/>
        <v>0</v>
      </c>
      <c r="AK13" s="85"/>
      <c r="AL13" s="56">
        <v>0</v>
      </c>
      <c r="AM13" s="83"/>
      <c r="AN13" s="88">
        <f t="shared" si="3"/>
        <v>0</v>
      </c>
      <c r="AO13" s="88">
        <v>0</v>
      </c>
      <c r="AP13" s="88">
        <v>0</v>
      </c>
      <c r="AQ13" s="83"/>
      <c r="AR13" s="56">
        <v>0</v>
      </c>
      <c r="AS13" s="83"/>
      <c r="AT13" s="56">
        <v>0</v>
      </c>
      <c r="AU13" s="83"/>
      <c r="AV13" s="56">
        <f t="shared" si="4"/>
        <v>0</v>
      </c>
      <c r="AW13" s="56"/>
      <c r="AX13" s="56">
        <v>0</v>
      </c>
      <c r="AY13" s="56"/>
      <c r="AZ13" s="88">
        <v>0</v>
      </c>
      <c r="BA13" s="56">
        <v>0</v>
      </c>
      <c r="BB13" s="214"/>
      <c r="BC13" s="56"/>
      <c r="BD13" s="84">
        <f t="shared" si="5"/>
        <v>0</v>
      </c>
      <c r="BE13" s="56"/>
      <c r="BF13" s="56"/>
      <c r="BG13" s="56"/>
      <c r="BH13" s="72"/>
    </row>
    <row r="14" spans="1:62" ht="20.100000000000001" customHeight="1" outlineLevel="1">
      <c r="A14" s="77" t="s">
        <v>43</v>
      </c>
      <c r="B14" s="77" t="s">
        <v>637</v>
      </c>
      <c r="C14" s="77" t="s">
        <v>1108</v>
      </c>
      <c r="D14" s="78" t="s">
        <v>734</v>
      </c>
      <c r="E14" s="78" t="str">
        <f t="shared" si="0"/>
        <v>'000</v>
      </c>
      <c r="F14" s="3">
        <v>664211</v>
      </c>
      <c r="G14" s="154" t="s">
        <v>735</v>
      </c>
      <c r="H14" s="87"/>
      <c r="I14" s="13">
        <v>0</v>
      </c>
      <c r="J14" s="13">
        <v>0</v>
      </c>
      <c r="L14" s="56">
        <v>4000</v>
      </c>
      <c r="M14" s="83"/>
      <c r="N14" s="56">
        <v>0</v>
      </c>
      <c r="O14" s="83"/>
      <c r="P14" s="56">
        <v>0</v>
      </c>
      <c r="Q14" s="83"/>
      <c r="R14" s="56">
        <v>0</v>
      </c>
      <c r="S14" s="56"/>
      <c r="T14" s="56">
        <v>0</v>
      </c>
      <c r="U14" s="83"/>
      <c r="V14" s="56">
        <v>0</v>
      </c>
      <c r="W14" s="83"/>
      <c r="X14" s="56">
        <v>0</v>
      </c>
      <c r="Y14" s="83"/>
      <c r="Z14" s="56">
        <v>0</v>
      </c>
      <c r="AA14" s="83"/>
      <c r="AB14" s="56"/>
      <c r="AC14" s="83"/>
      <c r="AD14" s="56"/>
      <c r="AE14" s="83"/>
      <c r="AF14" s="56">
        <f t="shared" si="1"/>
        <v>0</v>
      </c>
      <c r="AG14" s="56">
        <v>0</v>
      </c>
      <c r="AH14" s="56">
        <v>0</v>
      </c>
      <c r="AI14" s="83"/>
      <c r="AJ14" s="56">
        <f t="shared" si="2"/>
        <v>0</v>
      </c>
      <c r="AK14" s="85"/>
      <c r="AL14" s="56">
        <v>0</v>
      </c>
      <c r="AM14" s="83"/>
      <c r="AN14" s="88">
        <f t="shared" si="3"/>
        <v>0</v>
      </c>
      <c r="AO14" s="88">
        <v>0</v>
      </c>
      <c r="AP14" s="88">
        <v>0</v>
      </c>
      <c r="AQ14" s="83"/>
      <c r="AR14" s="56">
        <v>0</v>
      </c>
      <c r="AS14" s="83"/>
      <c r="AT14" s="56">
        <v>0</v>
      </c>
      <c r="AU14" s="83"/>
      <c r="AV14" s="56">
        <f t="shared" si="4"/>
        <v>0</v>
      </c>
      <c r="AW14" s="56"/>
      <c r="AX14" s="56">
        <v>0</v>
      </c>
      <c r="AY14" s="56"/>
      <c r="AZ14" s="88">
        <v>0</v>
      </c>
      <c r="BA14" s="56">
        <v>0</v>
      </c>
      <c r="BB14" s="216"/>
      <c r="BC14" s="56"/>
      <c r="BD14" s="84">
        <f t="shared" si="5"/>
        <v>0</v>
      </c>
      <c r="BE14" s="56"/>
      <c r="BF14" s="56"/>
      <c r="BG14" s="56"/>
      <c r="BH14" s="72"/>
    </row>
    <row r="15" spans="1:62" ht="20.100000000000001" customHeight="1" outlineLevel="1">
      <c r="A15" s="77" t="s">
        <v>43</v>
      </c>
      <c r="B15" s="77" t="s">
        <v>61</v>
      </c>
      <c r="C15" s="77" t="s">
        <v>1108</v>
      </c>
      <c r="D15" s="78" t="s">
        <v>46</v>
      </c>
      <c r="E15" s="78" t="str">
        <f t="shared" si="0"/>
        <v>000</v>
      </c>
      <c r="F15" s="79">
        <v>611116</v>
      </c>
      <c r="G15" s="102" t="s">
        <v>736</v>
      </c>
      <c r="H15" s="87"/>
      <c r="I15" s="82">
        <v>68729</v>
      </c>
      <c r="J15" s="13">
        <v>59838</v>
      </c>
      <c r="L15" s="56">
        <v>74434</v>
      </c>
      <c r="M15" s="83"/>
      <c r="N15" s="56">
        <v>82412</v>
      </c>
      <c r="O15" s="83"/>
      <c r="P15" s="56">
        <v>82412</v>
      </c>
      <c r="Q15" s="83"/>
      <c r="R15" s="56">
        <v>84112</v>
      </c>
      <c r="S15" s="56"/>
      <c r="T15" s="56">
        <v>0</v>
      </c>
      <c r="U15" s="83"/>
      <c r="V15" s="56">
        <v>84112</v>
      </c>
      <c r="W15" s="83"/>
      <c r="X15" s="56">
        <v>84112</v>
      </c>
      <c r="Y15" s="83"/>
      <c r="Z15" s="56">
        <v>83976</v>
      </c>
      <c r="AA15" s="83"/>
      <c r="AB15" s="56"/>
      <c r="AC15" s="83"/>
      <c r="AD15" s="56"/>
      <c r="AE15" s="83"/>
      <c r="AF15" s="56">
        <f t="shared" si="1"/>
        <v>83976</v>
      </c>
      <c r="AG15" s="56">
        <v>0</v>
      </c>
      <c r="AH15" s="56">
        <v>1250</v>
      </c>
      <c r="AI15" s="83"/>
      <c r="AJ15" s="56">
        <f t="shared" si="2"/>
        <v>85226</v>
      </c>
      <c r="AK15" s="85"/>
      <c r="AL15" s="56">
        <v>0</v>
      </c>
      <c r="AM15" s="83"/>
      <c r="AN15" s="88">
        <f t="shared" si="3"/>
        <v>85226</v>
      </c>
      <c r="AO15" s="88">
        <v>0</v>
      </c>
      <c r="AP15" s="88">
        <v>83975.96</v>
      </c>
      <c r="AQ15" s="83"/>
      <c r="AR15" s="56">
        <v>0</v>
      </c>
      <c r="AS15" s="83"/>
      <c r="AT15" s="56">
        <v>0</v>
      </c>
      <c r="AU15" s="83"/>
      <c r="AV15" s="56">
        <f t="shared" si="4"/>
        <v>83975.96</v>
      </c>
      <c r="AW15" s="56"/>
      <c r="AX15" s="56">
        <v>0</v>
      </c>
      <c r="AY15" s="56"/>
      <c r="AZ15" s="88">
        <v>83976</v>
      </c>
      <c r="BA15" s="56">
        <v>83976</v>
      </c>
      <c r="BB15" s="216"/>
      <c r="BC15" s="56"/>
      <c r="BD15" s="84">
        <f t="shared" si="5"/>
        <v>-1250.0399999999936</v>
      </c>
      <c r="BE15" s="56"/>
      <c r="BF15" s="56"/>
      <c r="BG15" s="56"/>
      <c r="BH15" s="72">
        <v>1</v>
      </c>
      <c r="BJ15">
        <v>1</v>
      </c>
    </row>
    <row r="16" spans="1:62" ht="20.100000000000001" customHeight="1" outlineLevel="1">
      <c r="A16" s="77" t="s">
        <v>43</v>
      </c>
      <c r="B16" s="77" t="s">
        <v>61</v>
      </c>
      <c r="C16" s="77" t="s">
        <v>1108</v>
      </c>
      <c r="D16" s="78" t="s">
        <v>46</v>
      </c>
      <c r="E16" s="78" t="str">
        <f t="shared" si="0"/>
        <v>000</v>
      </c>
      <c r="F16" s="3">
        <v>611411</v>
      </c>
      <c r="G16" s="102" t="s">
        <v>80</v>
      </c>
      <c r="H16" s="87"/>
      <c r="I16" s="13">
        <v>73855</v>
      </c>
      <c r="J16" s="13">
        <v>71721</v>
      </c>
      <c r="L16" s="56">
        <v>91454</v>
      </c>
      <c r="M16" s="56"/>
      <c r="N16" s="56">
        <v>76553</v>
      </c>
      <c r="O16" s="56"/>
      <c r="P16" s="56">
        <v>76553</v>
      </c>
      <c r="Q16" s="56"/>
      <c r="R16" s="56">
        <v>68400</v>
      </c>
      <c r="S16" s="56"/>
      <c r="T16" s="56">
        <v>0</v>
      </c>
      <c r="U16" s="56"/>
      <c r="V16" s="56">
        <v>68400</v>
      </c>
      <c r="W16" s="56"/>
      <c r="X16" s="56">
        <v>62441.81</v>
      </c>
      <c r="Y16" s="56"/>
      <c r="Z16" s="56">
        <v>54315</v>
      </c>
      <c r="AA16" s="56"/>
      <c r="AB16" s="56"/>
      <c r="AC16" s="56"/>
      <c r="AD16" s="56"/>
      <c r="AE16" s="56"/>
      <c r="AF16" s="56">
        <f t="shared" si="1"/>
        <v>54315</v>
      </c>
      <c r="AG16" s="104">
        <v>3600</v>
      </c>
      <c r="AH16" s="56">
        <f>2.5*2250</f>
        <v>5625</v>
      </c>
      <c r="AI16" s="56"/>
      <c r="AJ16" s="56">
        <f t="shared" si="2"/>
        <v>63540</v>
      </c>
      <c r="AK16" s="85"/>
      <c r="AL16" s="56">
        <v>0</v>
      </c>
      <c r="AM16" s="56"/>
      <c r="AN16" s="88">
        <f t="shared" si="3"/>
        <v>63540</v>
      </c>
      <c r="AO16" s="88">
        <v>0</v>
      </c>
      <c r="AP16" s="88">
        <v>46957.440000000002</v>
      </c>
      <c r="AQ16" s="56"/>
      <c r="AR16" s="56">
        <v>0</v>
      </c>
      <c r="AS16" s="56"/>
      <c r="AT16" s="56">
        <v>0</v>
      </c>
      <c r="AU16" s="56"/>
      <c r="AV16" s="56">
        <f t="shared" si="4"/>
        <v>46957.440000000002</v>
      </c>
      <c r="AW16" s="56"/>
      <c r="AX16" s="56">
        <v>0</v>
      </c>
      <c r="AY16" s="56"/>
      <c r="AZ16" s="88">
        <v>49000</v>
      </c>
      <c r="BA16" s="56">
        <v>49000</v>
      </c>
      <c r="BB16" s="216"/>
      <c r="BC16" s="56"/>
      <c r="BD16" s="84">
        <f t="shared" si="5"/>
        <v>-16582.559999999998</v>
      </c>
      <c r="BE16" s="56"/>
      <c r="BF16" s="56"/>
      <c r="BG16" s="56"/>
      <c r="BH16" s="72">
        <v>1</v>
      </c>
      <c r="BJ16">
        <v>1</v>
      </c>
    </row>
    <row r="17" spans="1:62" ht="20.100000000000001" customHeight="1" outlineLevel="1">
      <c r="A17" s="77" t="s">
        <v>43</v>
      </c>
      <c r="B17" s="77" t="s">
        <v>61</v>
      </c>
      <c r="C17" s="77" t="s">
        <v>1108</v>
      </c>
      <c r="D17" s="78" t="s">
        <v>46</v>
      </c>
      <c r="E17" s="78" t="str">
        <f t="shared" si="0"/>
        <v>000</v>
      </c>
      <c r="F17" s="3">
        <v>611641</v>
      </c>
      <c r="G17" s="102" t="s">
        <v>1067</v>
      </c>
      <c r="H17" s="87"/>
      <c r="I17" s="13">
        <v>165568</v>
      </c>
      <c r="J17" s="13">
        <v>173420</v>
      </c>
      <c r="L17" s="56">
        <v>210570</v>
      </c>
      <c r="M17" s="56"/>
      <c r="N17" s="56">
        <v>187010</v>
      </c>
      <c r="O17" s="56"/>
      <c r="P17" s="56">
        <v>187010</v>
      </c>
      <c r="Q17" s="56"/>
      <c r="R17" s="56">
        <v>239464</v>
      </c>
      <c r="S17" s="56"/>
      <c r="T17" s="56">
        <v>0</v>
      </c>
      <c r="U17" s="56"/>
      <c r="V17" s="56">
        <v>239464</v>
      </c>
      <c r="W17" s="56"/>
      <c r="X17" s="56">
        <v>240856.52</v>
      </c>
      <c r="Y17" s="56"/>
      <c r="Z17" s="56">
        <v>192786</v>
      </c>
      <c r="AA17" s="56"/>
      <c r="AB17" s="56"/>
      <c r="AC17" s="56"/>
      <c r="AD17" s="56"/>
      <c r="AE17" s="56"/>
      <c r="AF17" s="56">
        <f t="shared" si="1"/>
        <v>192786</v>
      </c>
      <c r="AG17" s="104">
        <v>35000</v>
      </c>
      <c r="AH17" s="56">
        <v>13500</v>
      </c>
      <c r="AI17" s="56"/>
      <c r="AJ17" s="56">
        <f t="shared" si="2"/>
        <v>241286</v>
      </c>
      <c r="AK17" s="85"/>
      <c r="AL17" s="56">
        <v>0</v>
      </c>
      <c r="AM17" s="56"/>
      <c r="AN17" s="88">
        <f t="shared" si="3"/>
        <v>241286</v>
      </c>
      <c r="AO17" s="88">
        <v>0</v>
      </c>
      <c r="AP17" s="88">
        <v>220105.52</v>
      </c>
      <c r="AQ17" s="56"/>
      <c r="AR17" s="56">
        <v>0</v>
      </c>
      <c r="AS17" s="56"/>
      <c r="AT17" s="56">
        <v>0</v>
      </c>
      <c r="AU17" s="56"/>
      <c r="AV17" s="56">
        <f t="shared" si="4"/>
        <v>220105.52</v>
      </c>
      <c r="AW17" s="56"/>
      <c r="AX17" s="56">
        <v>0</v>
      </c>
      <c r="AY17" s="56"/>
      <c r="AZ17" s="88">
        <v>222915</v>
      </c>
      <c r="BA17" s="56">
        <v>222915</v>
      </c>
      <c r="BB17" s="216"/>
      <c r="BC17" s="56"/>
      <c r="BD17" s="84">
        <f t="shared" si="5"/>
        <v>-21180.48000000001</v>
      </c>
      <c r="BE17" s="56"/>
      <c r="BF17" s="56"/>
      <c r="BG17" s="56"/>
      <c r="BH17" s="72">
        <v>2</v>
      </c>
      <c r="BJ17">
        <v>2</v>
      </c>
    </row>
    <row r="18" spans="1:62" ht="20.100000000000001" customHeight="1" outlineLevel="1">
      <c r="A18" s="77" t="s">
        <v>43</v>
      </c>
      <c r="B18" s="77" t="s">
        <v>61</v>
      </c>
      <c r="C18" s="77" t="s">
        <v>1108</v>
      </c>
      <c r="D18" s="78" t="s">
        <v>46</v>
      </c>
      <c r="E18" s="78" t="str">
        <f t="shared" si="0"/>
        <v>000</v>
      </c>
      <c r="F18" s="3">
        <v>611932</v>
      </c>
      <c r="G18" s="154" t="s">
        <v>1066</v>
      </c>
      <c r="H18" s="87"/>
      <c r="I18" s="13">
        <v>0</v>
      </c>
      <c r="J18" s="13">
        <v>0</v>
      </c>
      <c r="L18" s="56">
        <v>31717</v>
      </c>
      <c r="M18" s="56"/>
      <c r="N18" s="56">
        <v>0</v>
      </c>
      <c r="O18" s="56"/>
      <c r="P18" s="56">
        <v>32459</v>
      </c>
      <c r="Q18" s="56"/>
      <c r="R18" s="56">
        <v>34159</v>
      </c>
      <c r="S18" s="56"/>
      <c r="T18" s="56">
        <v>0</v>
      </c>
      <c r="U18" s="56"/>
      <c r="V18" s="56">
        <v>34159</v>
      </c>
      <c r="W18" s="56"/>
      <c r="X18" s="56">
        <v>48243.94</v>
      </c>
      <c r="Y18" s="56"/>
      <c r="Z18" s="56">
        <v>57603</v>
      </c>
      <c r="AA18" s="56"/>
      <c r="AB18" s="56"/>
      <c r="AC18" s="56"/>
      <c r="AD18" s="56"/>
      <c r="AE18" s="56"/>
      <c r="AF18" s="56">
        <f t="shared" si="1"/>
        <v>57603</v>
      </c>
      <c r="AG18" s="104">
        <v>300</v>
      </c>
      <c r="AH18" s="56">
        <v>4500</v>
      </c>
      <c r="AI18" s="56"/>
      <c r="AJ18" s="56">
        <f t="shared" si="2"/>
        <v>62403</v>
      </c>
      <c r="AK18" s="85"/>
      <c r="AL18" s="56">
        <v>0</v>
      </c>
      <c r="AM18" s="56"/>
      <c r="AN18" s="88">
        <f t="shared" si="3"/>
        <v>62403</v>
      </c>
      <c r="AO18" s="88">
        <v>0</v>
      </c>
      <c r="AP18" s="88">
        <v>59095</v>
      </c>
      <c r="AQ18" s="56"/>
      <c r="AR18" s="56">
        <v>0</v>
      </c>
      <c r="AS18" s="56"/>
      <c r="AT18" s="56">
        <v>0</v>
      </c>
      <c r="AU18" s="56"/>
      <c r="AV18" s="56">
        <f t="shared" si="4"/>
        <v>59095</v>
      </c>
      <c r="AW18" s="56"/>
      <c r="AX18" s="56">
        <v>0</v>
      </c>
      <c r="AY18" s="56"/>
      <c r="AZ18" s="88">
        <v>0</v>
      </c>
      <c r="BA18" s="56">
        <v>31765</v>
      </c>
      <c r="BB18" s="216"/>
      <c r="BC18" s="56"/>
      <c r="BD18" s="84">
        <f t="shared" si="5"/>
        <v>-3308</v>
      </c>
      <c r="BE18" s="56"/>
      <c r="BF18" s="56"/>
      <c r="BG18" s="56"/>
      <c r="BH18" s="72">
        <v>1</v>
      </c>
      <c r="BJ18">
        <v>1</v>
      </c>
    </row>
    <row r="19" spans="1:62" ht="20.100000000000001" customHeight="1" outlineLevel="1">
      <c r="A19" s="77" t="s">
        <v>43</v>
      </c>
      <c r="B19" s="77" t="s">
        <v>61</v>
      </c>
      <c r="C19" s="77" t="s">
        <v>1108</v>
      </c>
      <c r="D19" s="78" t="s">
        <v>46</v>
      </c>
      <c r="E19" s="78" t="str">
        <f t="shared" si="0"/>
        <v>000</v>
      </c>
      <c r="F19" s="3">
        <v>633945</v>
      </c>
      <c r="G19" s="102" t="s">
        <v>737</v>
      </c>
      <c r="H19" s="87"/>
      <c r="I19" s="13">
        <v>1829</v>
      </c>
      <c r="J19" s="13">
        <v>538</v>
      </c>
      <c r="L19" s="56">
        <v>6810</v>
      </c>
      <c r="M19" s="56"/>
      <c r="N19" s="56">
        <v>23600</v>
      </c>
      <c r="O19" s="56"/>
      <c r="P19" s="56">
        <v>23600</v>
      </c>
      <c r="Q19" s="56"/>
      <c r="R19" s="56">
        <v>23600</v>
      </c>
      <c r="S19" s="56"/>
      <c r="T19" s="56">
        <v>0</v>
      </c>
      <c r="U19" s="56"/>
      <c r="V19" s="56">
        <v>23600</v>
      </c>
      <c r="W19" s="56"/>
      <c r="X19" s="56">
        <v>1574.4</v>
      </c>
      <c r="Y19" s="56"/>
      <c r="Z19" s="56">
        <v>23600</v>
      </c>
      <c r="AA19" s="56"/>
      <c r="AB19" s="56"/>
      <c r="AC19" s="56"/>
      <c r="AD19" s="56"/>
      <c r="AE19" s="56"/>
      <c r="AF19" s="56">
        <f t="shared" si="1"/>
        <v>23600</v>
      </c>
      <c r="AG19" s="56">
        <v>0</v>
      </c>
      <c r="AH19" s="56">
        <v>0</v>
      </c>
      <c r="AI19" s="56"/>
      <c r="AJ19" s="56">
        <f t="shared" si="2"/>
        <v>23600</v>
      </c>
      <c r="AK19" s="85"/>
      <c r="AL19" s="56">
        <v>0</v>
      </c>
      <c r="AM19" s="56"/>
      <c r="AN19" s="88">
        <f t="shared" si="3"/>
        <v>23600</v>
      </c>
      <c r="AO19" s="88">
        <v>0</v>
      </c>
      <c r="AP19" s="88">
        <v>0</v>
      </c>
      <c r="AQ19" s="56"/>
      <c r="AR19" s="56">
        <v>0</v>
      </c>
      <c r="AS19" s="56"/>
      <c r="AT19" s="56">
        <v>0</v>
      </c>
      <c r="AU19" s="56"/>
      <c r="AV19" s="56">
        <f t="shared" si="4"/>
        <v>0</v>
      </c>
      <c r="AW19" s="56"/>
      <c r="AX19" s="56">
        <v>0</v>
      </c>
      <c r="AY19" s="56"/>
      <c r="AZ19" s="88">
        <v>23600</v>
      </c>
      <c r="BA19" s="56">
        <v>23600</v>
      </c>
      <c r="BB19" s="216"/>
      <c r="BC19" s="56"/>
      <c r="BD19" s="84">
        <f t="shared" si="5"/>
        <v>-23600</v>
      </c>
      <c r="BE19" s="56"/>
      <c r="BF19" s="56"/>
      <c r="BG19" s="56"/>
      <c r="BH19" s="72"/>
    </row>
    <row r="20" spans="1:62" ht="20.100000000000001" customHeight="1" outlineLevel="1">
      <c r="A20" s="77" t="s">
        <v>43</v>
      </c>
      <c r="B20" s="77" t="s">
        <v>61</v>
      </c>
      <c r="C20" s="77" t="s">
        <v>1108</v>
      </c>
      <c r="D20" s="78" t="s">
        <v>46</v>
      </c>
      <c r="E20" s="78" t="str">
        <f t="shared" si="0"/>
        <v>000</v>
      </c>
      <c r="F20" s="3">
        <v>643011</v>
      </c>
      <c r="G20" s="102" t="s">
        <v>258</v>
      </c>
      <c r="H20" s="87"/>
      <c r="I20" s="13">
        <v>2078</v>
      </c>
      <c r="J20" s="13">
        <v>956</v>
      </c>
      <c r="L20" s="56">
        <v>9024</v>
      </c>
      <c r="M20" s="56"/>
      <c r="N20" s="56">
        <v>2000</v>
      </c>
      <c r="O20" s="56"/>
      <c r="P20" s="56">
        <v>2000</v>
      </c>
      <c r="Q20" s="56"/>
      <c r="R20" s="56">
        <v>2000</v>
      </c>
      <c r="S20" s="56"/>
      <c r="T20" s="56">
        <v>0</v>
      </c>
      <c r="U20" s="56"/>
      <c r="V20" s="56">
        <v>2000</v>
      </c>
      <c r="W20" s="56"/>
      <c r="X20" s="56">
        <v>1750.38</v>
      </c>
      <c r="Y20" s="56"/>
      <c r="Z20" s="56">
        <v>4000</v>
      </c>
      <c r="AA20" s="56"/>
      <c r="AB20" s="56"/>
      <c r="AC20" s="56"/>
      <c r="AD20" s="56"/>
      <c r="AE20" s="56"/>
      <c r="AF20" s="56">
        <f t="shared" si="1"/>
        <v>4000</v>
      </c>
      <c r="AG20" s="56">
        <v>0</v>
      </c>
      <c r="AH20" s="56">
        <v>0</v>
      </c>
      <c r="AI20" s="56"/>
      <c r="AJ20" s="56">
        <f t="shared" si="2"/>
        <v>4000</v>
      </c>
      <c r="AK20" s="85"/>
      <c r="AL20" s="56">
        <v>0</v>
      </c>
      <c r="AM20" s="56"/>
      <c r="AN20" s="88">
        <f t="shared" si="3"/>
        <v>4000</v>
      </c>
      <c r="AO20" s="88">
        <v>0</v>
      </c>
      <c r="AP20" s="88">
        <v>1394.44</v>
      </c>
      <c r="AQ20" s="56"/>
      <c r="AR20" s="56">
        <v>0</v>
      </c>
      <c r="AS20" s="56"/>
      <c r="AT20" s="56">
        <v>0</v>
      </c>
      <c r="AU20" s="56"/>
      <c r="AV20" s="56">
        <f t="shared" si="4"/>
        <v>1394.44</v>
      </c>
      <c r="AW20" s="56"/>
      <c r="AX20" s="56">
        <v>0</v>
      </c>
      <c r="AY20" s="56"/>
      <c r="AZ20" s="88">
        <v>3500</v>
      </c>
      <c r="BA20" s="56">
        <v>3500</v>
      </c>
      <c r="BB20" s="216"/>
      <c r="BC20" s="56"/>
      <c r="BD20" s="84">
        <f t="shared" si="5"/>
        <v>-2605.56</v>
      </c>
      <c r="BE20" s="56"/>
      <c r="BF20" s="56"/>
      <c r="BG20" s="56"/>
      <c r="BH20" s="72"/>
    </row>
    <row r="21" spans="1:62" ht="20.100000000000001" customHeight="1" outlineLevel="1">
      <c r="A21" s="77" t="s">
        <v>43</v>
      </c>
      <c r="B21" s="77" t="s">
        <v>61</v>
      </c>
      <c r="C21" s="77" t="s">
        <v>1108</v>
      </c>
      <c r="D21" s="78" t="s">
        <v>46</v>
      </c>
      <c r="E21" s="78" t="str">
        <f t="shared" si="0"/>
        <v>000</v>
      </c>
      <c r="F21" s="3">
        <v>653051</v>
      </c>
      <c r="G21" s="102" t="s">
        <v>738</v>
      </c>
      <c r="H21" s="87"/>
      <c r="I21" s="13">
        <v>2970</v>
      </c>
      <c r="J21" s="13">
        <v>50</v>
      </c>
      <c r="L21" s="56">
        <v>3439</v>
      </c>
      <c r="M21" s="56"/>
      <c r="N21" s="56">
        <v>4000</v>
      </c>
      <c r="O21" s="56"/>
      <c r="P21" s="56">
        <v>4000</v>
      </c>
      <c r="Q21" s="56"/>
      <c r="R21" s="56">
        <v>4000</v>
      </c>
      <c r="S21" s="56"/>
      <c r="T21" s="56">
        <v>0</v>
      </c>
      <c r="U21" s="56"/>
      <c r="V21" s="56">
        <v>4000</v>
      </c>
      <c r="W21" s="56"/>
      <c r="X21" s="56">
        <v>0</v>
      </c>
      <c r="Y21" s="56"/>
      <c r="Z21" s="56">
        <v>4000</v>
      </c>
      <c r="AA21" s="56"/>
      <c r="AB21" s="56"/>
      <c r="AC21" s="56"/>
      <c r="AD21" s="56"/>
      <c r="AE21" s="56"/>
      <c r="AF21" s="56">
        <f t="shared" si="1"/>
        <v>4000</v>
      </c>
      <c r="AG21" s="56">
        <v>0</v>
      </c>
      <c r="AH21" s="56">
        <v>0</v>
      </c>
      <c r="AI21" s="56"/>
      <c r="AJ21" s="56">
        <f t="shared" si="2"/>
        <v>4000</v>
      </c>
      <c r="AK21" s="85"/>
      <c r="AL21" s="56">
        <v>0</v>
      </c>
      <c r="AM21" s="56"/>
      <c r="AN21" s="88">
        <f t="shared" si="3"/>
        <v>4000</v>
      </c>
      <c r="AO21" s="88">
        <v>0</v>
      </c>
      <c r="AP21" s="88">
        <v>2874.05</v>
      </c>
      <c r="AQ21" s="56"/>
      <c r="AR21" s="56">
        <v>0</v>
      </c>
      <c r="AS21" s="56"/>
      <c r="AT21" s="56">
        <v>0</v>
      </c>
      <c r="AU21" s="56"/>
      <c r="AV21" s="56">
        <f t="shared" si="4"/>
        <v>2874.05</v>
      </c>
      <c r="AW21" s="56"/>
      <c r="AX21" s="56">
        <v>0</v>
      </c>
      <c r="AY21" s="56"/>
      <c r="AZ21" s="88">
        <v>4000</v>
      </c>
      <c r="BA21" s="56">
        <v>4000</v>
      </c>
      <c r="BB21" s="216"/>
      <c r="BC21" s="56"/>
      <c r="BD21" s="84">
        <f t="shared" si="5"/>
        <v>-1125.9499999999998</v>
      </c>
      <c r="BE21" s="56"/>
      <c r="BF21" s="56"/>
      <c r="BG21" s="56"/>
      <c r="BH21" s="72"/>
    </row>
    <row r="22" spans="1:62" ht="20.100000000000001" customHeight="1" outlineLevel="1">
      <c r="A22" s="77" t="s">
        <v>43</v>
      </c>
      <c r="B22" s="77" t="s">
        <v>61</v>
      </c>
      <c r="C22" s="77" t="s">
        <v>1108</v>
      </c>
      <c r="D22" s="78" t="s">
        <v>46</v>
      </c>
      <c r="E22" s="78" t="str">
        <f t="shared" si="0"/>
        <v>000</v>
      </c>
      <c r="F22" s="3">
        <v>658211</v>
      </c>
      <c r="G22" s="102" t="s">
        <v>72</v>
      </c>
      <c r="H22" s="87"/>
      <c r="I22" s="13">
        <v>0</v>
      </c>
      <c r="J22" s="13">
        <v>0</v>
      </c>
      <c r="L22" s="56">
        <v>630</v>
      </c>
      <c r="M22" s="56"/>
      <c r="N22" s="56">
        <v>2000</v>
      </c>
      <c r="O22" s="56"/>
      <c r="P22" s="56">
        <v>2000</v>
      </c>
      <c r="Q22" s="56"/>
      <c r="R22" s="56">
        <v>2000</v>
      </c>
      <c r="S22" s="56"/>
      <c r="T22" s="56">
        <v>0</v>
      </c>
      <c r="U22" s="56"/>
      <c r="V22" s="56">
        <v>2000</v>
      </c>
      <c r="W22" s="56"/>
      <c r="X22" s="56">
        <v>1666.21</v>
      </c>
      <c r="Y22" s="56"/>
      <c r="Z22" s="56">
        <v>2000</v>
      </c>
      <c r="AA22" s="56"/>
      <c r="AB22" s="56"/>
      <c r="AC22" s="56"/>
      <c r="AD22" s="56"/>
      <c r="AE22" s="56"/>
      <c r="AF22" s="56">
        <f t="shared" si="1"/>
        <v>2000</v>
      </c>
      <c r="AG22" s="56">
        <v>0</v>
      </c>
      <c r="AH22" s="56">
        <v>0</v>
      </c>
      <c r="AI22" s="56"/>
      <c r="AJ22" s="56">
        <f t="shared" si="2"/>
        <v>2000</v>
      </c>
      <c r="AK22" s="85"/>
      <c r="AL22" s="56">
        <v>0</v>
      </c>
      <c r="AM22" s="56"/>
      <c r="AN22" s="88">
        <f t="shared" si="3"/>
        <v>2000</v>
      </c>
      <c r="AO22" s="88">
        <v>0</v>
      </c>
      <c r="AP22" s="88">
        <v>1224.0999999999999</v>
      </c>
      <c r="AQ22" s="56"/>
      <c r="AR22" s="56">
        <v>0</v>
      </c>
      <c r="AS22" s="56"/>
      <c r="AT22" s="56">
        <v>0</v>
      </c>
      <c r="AU22" s="56"/>
      <c r="AV22" s="56">
        <f t="shared" si="4"/>
        <v>1224.0999999999999</v>
      </c>
      <c r="AW22" s="56"/>
      <c r="AX22" s="56">
        <v>0</v>
      </c>
      <c r="AY22" s="56"/>
      <c r="AZ22" s="88">
        <v>1500</v>
      </c>
      <c r="BA22" s="56">
        <v>1500</v>
      </c>
      <c r="BB22" s="216"/>
      <c r="BC22" s="56"/>
      <c r="BD22" s="84">
        <f t="shared" si="5"/>
        <v>-775.90000000000009</v>
      </c>
      <c r="BE22" s="56"/>
      <c r="BF22" s="56"/>
      <c r="BG22" s="56"/>
      <c r="BH22" s="72"/>
    </row>
    <row r="23" spans="1:62" ht="20.100000000000001" customHeight="1" outlineLevel="1">
      <c r="A23" s="77" t="s">
        <v>43</v>
      </c>
      <c r="B23" s="77" t="s">
        <v>61</v>
      </c>
      <c r="C23" s="77" t="s">
        <v>1108</v>
      </c>
      <c r="D23" s="78" t="s">
        <v>46</v>
      </c>
      <c r="E23" s="78" t="str">
        <f t="shared" si="0"/>
        <v>000</v>
      </c>
      <c r="F23" s="3">
        <v>659011</v>
      </c>
      <c r="G23" s="102" t="s">
        <v>739</v>
      </c>
      <c r="H23" s="87"/>
      <c r="I23" s="13"/>
      <c r="J23" s="13"/>
      <c r="L23" s="56"/>
      <c r="M23" s="56"/>
      <c r="N23" s="56"/>
      <c r="O23" s="56"/>
      <c r="P23" s="56"/>
      <c r="Q23" s="56"/>
      <c r="R23" s="56"/>
      <c r="S23" s="56"/>
      <c r="T23" s="56"/>
      <c r="U23" s="56"/>
      <c r="V23" s="56"/>
      <c r="W23" s="56"/>
      <c r="X23" s="56">
        <v>0</v>
      </c>
      <c r="Y23" s="56"/>
      <c r="Z23" s="56"/>
      <c r="AA23" s="56"/>
      <c r="AB23" s="56"/>
      <c r="AC23" s="56"/>
      <c r="AD23" s="56"/>
      <c r="AE23" s="56"/>
      <c r="AF23" s="56"/>
      <c r="AG23" s="56"/>
      <c r="AH23" s="56"/>
      <c r="AI23" s="56"/>
      <c r="AJ23" s="56"/>
      <c r="AK23" s="85"/>
      <c r="AL23" s="56"/>
      <c r="AM23" s="56"/>
      <c r="AN23" s="88">
        <v>0</v>
      </c>
      <c r="AO23" s="88"/>
      <c r="AP23" s="88">
        <v>5380</v>
      </c>
      <c r="AQ23" s="56"/>
      <c r="AR23" s="56">
        <v>0</v>
      </c>
      <c r="AS23" s="56"/>
      <c r="AT23" s="56">
        <v>0</v>
      </c>
      <c r="AU23" s="56"/>
      <c r="AV23" s="56">
        <v>0</v>
      </c>
      <c r="AW23" s="56"/>
      <c r="AX23" s="89">
        <v>5380</v>
      </c>
      <c r="AY23" s="56"/>
      <c r="AZ23" s="88">
        <v>0</v>
      </c>
      <c r="BA23" s="56">
        <v>0</v>
      </c>
      <c r="BB23" s="216"/>
      <c r="BC23" s="56"/>
      <c r="BD23" s="84"/>
      <c r="BE23" s="56"/>
      <c r="BF23" s="56"/>
      <c r="BG23" s="56"/>
      <c r="BH23" s="72"/>
    </row>
    <row r="24" spans="1:62" ht="20.100000000000001" customHeight="1" outlineLevel="1">
      <c r="A24" s="77" t="s">
        <v>43</v>
      </c>
      <c r="B24" s="77" t="s">
        <v>61</v>
      </c>
      <c r="C24" s="77" t="s">
        <v>1108</v>
      </c>
      <c r="D24" s="78" t="s">
        <v>46</v>
      </c>
      <c r="E24" s="78" t="str">
        <f t="shared" si="0"/>
        <v>000</v>
      </c>
      <c r="F24" s="3">
        <v>661001</v>
      </c>
      <c r="G24" s="102" t="s">
        <v>552</v>
      </c>
      <c r="H24" s="87"/>
      <c r="I24" s="13">
        <v>2954</v>
      </c>
      <c r="J24" s="13">
        <v>5647</v>
      </c>
      <c r="L24" s="56">
        <v>8654</v>
      </c>
      <c r="M24" s="56"/>
      <c r="N24" s="56">
        <v>1760</v>
      </c>
      <c r="O24" s="56"/>
      <c r="P24" s="56">
        <v>1760</v>
      </c>
      <c r="Q24" s="56"/>
      <c r="R24" s="56">
        <v>1760</v>
      </c>
      <c r="S24" s="56"/>
      <c r="T24" s="56">
        <v>500</v>
      </c>
      <c r="U24" s="56"/>
      <c r="V24" s="56">
        <v>2260</v>
      </c>
      <c r="W24" s="56"/>
      <c r="X24" s="56">
        <v>6489.27</v>
      </c>
      <c r="Y24" s="56"/>
      <c r="Z24" s="56">
        <v>4000</v>
      </c>
      <c r="AA24" s="56"/>
      <c r="AB24" s="56"/>
      <c r="AC24" s="56"/>
      <c r="AD24" s="56">
        <v>1392</v>
      </c>
      <c r="AE24" s="56"/>
      <c r="AF24" s="56">
        <f t="shared" ref="AF24:AF31" si="6">SUM(Z24:AE24)</f>
        <v>5392</v>
      </c>
      <c r="AG24" s="89">
        <v>8000</v>
      </c>
      <c r="AH24" s="89">
        <v>0</v>
      </c>
      <c r="AI24" s="56"/>
      <c r="AJ24" s="56">
        <f t="shared" ref="AJ24:AJ31" si="7">SUM(AE24:AI24)</f>
        <v>13392</v>
      </c>
      <c r="AK24" s="85"/>
      <c r="AL24" s="89">
        <v>0</v>
      </c>
      <c r="AM24" s="56"/>
      <c r="AN24" s="88">
        <f t="shared" ref="AN24:AN31" si="8">SUM(AI24:AM24)</f>
        <v>13392</v>
      </c>
      <c r="AO24" s="88">
        <v>0</v>
      </c>
      <c r="AP24" s="88">
        <v>9771.06</v>
      </c>
      <c r="AQ24" s="56"/>
      <c r="AR24" s="56">
        <v>0</v>
      </c>
      <c r="AS24" s="56"/>
      <c r="AT24" s="56">
        <v>0</v>
      </c>
      <c r="AU24" s="56"/>
      <c r="AV24" s="56">
        <f t="shared" ref="AV24:AV31" si="9">SUM(AP24:AU24)</f>
        <v>9771.06</v>
      </c>
      <c r="AW24" s="56"/>
      <c r="AX24" s="56">
        <v>3000</v>
      </c>
      <c r="AY24" s="56"/>
      <c r="AZ24" s="88">
        <v>6000</v>
      </c>
      <c r="BA24" s="56">
        <v>6000</v>
      </c>
      <c r="BB24" s="216"/>
      <c r="BC24" s="56"/>
      <c r="BD24" s="84">
        <f t="shared" ref="BD24:BD32" si="10">+AP24-AN24</f>
        <v>-3620.9400000000005</v>
      </c>
      <c r="BE24" s="56"/>
      <c r="BF24" s="56"/>
      <c r="BG24" s="56"/>
      <c r="BH24" s="72"/>
    </row>
    <row r="25" spans="1:62" ht="20.100000000000001" customHeight="1" outlineLevel="1">
      <c r="A25" s="77" t="s">
        <v>43</v>
      </c>
      <c r="B25" s="77" t="s">
        <v>61</v>
      </c>
      <c r="C25" s="77" t="s">
        <v>1108</v>
      </c>
      <c r="D25" s="78" t="s">
        <v>46</v>
      </c>
      <c r="E25" s="78" t="str">
        <f t="shared" si="0"/>
        <v>000</v>
      </c>
      <c r="F25" s="3">
        <v>661024</v>
      </c>
      <c r="G25" s="102" t="s">
        <v>740</v>
      </c>
      <c r="H25" s="87"/>
      <c r="I25" s="13">
        <v>2277</v>
      </c>
      <c r="J25" s="13">
        <v>897</v>
      </c>
      <c r="L25" s="56">
        <v>1845</v>
      </c>
      <c r="M25" s="56"/>
      <c r="N25" s="56">
        <v>3300</v>
      </c>
      <c r="O25" s="56"/>
      <c r="P25" s="56">
        <v>3300</v>
      </c>
      <c r="Q25" s="56"/>
      <c r="R25" s="56">
        <v>3300</v>
      </c>
      <c r="S25" s="56"/>
      <c r="T25" s="56">
        <v>0</v>
      </c>
      <c r="U25" s="56"/>
      <c r="V25" s="56">
        <v>3300</v>
      </c>
      <c r="W25" s="56"/>
      <c r="X25" s="56">
        <v>8466.24</v>
      </c>
      <c r="Y25" s="56"/>
      <c r="Z25" s="56">
        <v>3000</v>
      </c>
      <c r="AA25" s="56"/>
      <c r="AB25" s="56"/>
      <c r="AC25" s="56"/>
      <c r="AD25" s="56"/>
      <c r="AE25" s="56"/>
      <c r="AF25" s="56">
        <f t="shared" si="6"/>
        <v>3000</v>
      </c>
      <c r="AG25" s="56">
        <v>0</v>
      </c>
      <c r="AH25" s="56">
        <v>0</v>
      </c>
      <c r="AI25" s="56"/>
      <c r="AJ25" s="56">
        <f t="shared" si="7"/>
        <v>3000</v>
      </c>
      <c r="AK25" s="85"/>
      <c r="AL25" s="56">
        <v>0</v>
      </c>
      <c r="AM25" s="56"/>
      <c r="AN25" s="88">
        <f t="shared" si="8"/>
        <v>3000</v>
      </c>
      <c r="AO25" s="88">
        <v>0</v>
      </c>
      <c r="AP25" s="88">
        <v>177.36</v>
      </c>
      <c r="AQ25" s="56"/>
      <c r="AR25" s="56">
        <v>0</v>
      </c>
      <c r="AS25" s="56"/>
      <c r="AT25" s="56">
        <v>0</v>
      </c>
      <c r="AU25" s="56"/>
      <c r="AV25" s="56">
        <f t="shared" si="9"/>
        <v>177.36</v>
      </c>
      <c r="AW25" s="56"/>
      <c r="AX25" s="56">
        <v>0</v>
      </c>
      <c r="AY25" s="56"/>
      <c r="AZ25" s="88">
        <v>3000</v>
      </c>
      <c r="BA25" s="56">
        <v>3000</v>
      </c>
      <c r="BB25" s="216"/>
      <c r="BC25" s="56"/>
      <c r="BD25" s="84">
        <f t="shared" si="10"/>
        <v>-2822.64</v>
      </c>
      <c r="BE25" s="56"/>
      <c r="BF25" s="56"/>
      <c r="BG25" s="56"/>
      <c r="BH25" s="72"/>
    </row>
    <row r="26" spans="1:62" ht="20.100000000000001" customHeight="1" outlineLevel="1">
      <c r="A26" s="77" t="s">
        <v>43</v>
      </c>
      <c r="B26" s="77" t="s">
        <v>61</v>
      </c>
      <c r="C26" s="77" t="s">
        <v>1108</v>
      </c>
      <c r="D26" s="78" t="s">
        <v>46</v>
      </c>
      <c r="E26" s="78" t="str">
        <f t="shared" si="0"/>
        <v>000</v>
      </c>
      <c r="F26" s="3">
        <v>661077</v>
      </c>
      <c r="G26" s="102" t="s">
        <v>741</v>
      </c>
      <c r="H26" s="87"/>
      <c r="I26" s="13">
        <v>0</v>
      </c>
      <c r="J26" s="13">
        <v>0</v>
      </c>
      <c r="L26" s="56">
        <v>1759</v>
      </c>
      <c r="M26" s="56"/>
      <c r="N26" s="56">
        <v>1000</v>
      </c>
      <c r="O26" s="56"/>
      <c r="P26" s="56">
        <v>1000</v>
      </c>
      <c r="Q26" s="56"/>
      <c r="R26" s="56">
        <v>1000</v>
      </c>
      <c r="S26" s="56"/>
      <c r="T26" s="56">
        <v>0</v>
      </c>
      <c r="U26" s="56"/>
      <c r="V26" s="56">
        <v>1000</v>
      </c>
      <c r="W26" s="56"/>
      <c r="X26" s="56">
        <v>1919.91</v>
      </c>
      <c r="Y26" s="56"/>
      <c r="Z26" s="56">
        <v>1000</v>
      </c>
      <c r="AA26" s="56"/>
      <c r="AB26" s="56"/>
      <c r="AC26" s="56"/>
      <c r="AD26" s="56"/>
      <c r="AE26" s="56"/>
      <c r="AF26" s="56">
        <f t="shared" si="6"/>
        <v>1000</v>
      </c>
      <c r="AG26" s="56">
        <v>0</v>
      </c>
      <c r="AH26" s="56">
        <v>0</v>
      </c>
      <c r="AI26" s="56"/>
      <c r="AJ26" s="56">
        <f t="shared" si="7"/>
        <v>1000</v>
      </c>
      <c r="AK26" s="85"/>
      <c r="AL26" s="56">
        <v>0</v>
      </c>
      <c r="AM26" s="56"/>
      <c r="AN26" s="88">
        <f t="shared" si="8"/>
        <v>1000</v>
      </c>
      <c r="AO26" s="88">
        <v>0</v>
      </c>
      <c r="AP26" s="88">
        <v>0</v>
      </c>
      <c r="AQ26" s="56"/>
      <c r="AR26" s="56">
        <v>0</v>
      </c>
      <c r="AS26" s="56"/>
      <c r="AT26" s="56">
        <v>0</v>
      </c>
      <c r="AU26" s="56"/>
      <c r="AV26" s="56">
        <f t="shared" si="9"/>
        <v>0</v>
      </c>
      <c r="AW26" s="56"/>
      <c r="AX26" s="56">
        <v>0</v>
      </c>
      <c r="AY26" s="56"/>
      <c r="AZ26" s="88">
        <v>1000</v>
      </c>
      <c r="BA26" s="56">
        <v>1000</v>
      </c>
      <c r="BB26" s="216"/>
      <c r="BC26" s="56"/>
      <c r="BD26" s="84">
        <f t="shared" si="10"/>
        <v>-1000</v>
      </c>
      <c r="BE26" s="56"/>
      <c r="BF26" s="56"/>
      <c r="BG26" s="56"/>
      <c r="BH26" s="72"/>
    </row>
    <row r="27" spans="1:62" ht="20.100000000000001" customHeight="1" outlineLevel="1">
      <c r="A27" s="77" t="s">
        <v>43</v>
      </c>
      <c r="B27" s="77" t="s">
        <v>61</v>
      </c>
      <c r="C27" s="77" t="s">
        <v>1108</v>
      </c>
      <c r="D27" s="78" t="s">
        <v>46</v>
      </c>
      <c r="E27" s="78" t="str">
        <f t="shared" si="0"/>
        <v>000</v>
      </c>
      <c r="F27" s="3">
        <v>661102</v>
      </c>
      <c r="G27" s="102" t="s">
        <v>128</v>
      </c>
      <c r="H27" s="87"/>
      <c r="I27" s="13">
        <v>0</v>
      </c>
      <c r="J27" s="13">
        <v>76098</v>
      </c>
      <c r="L27" s="56">
        <v>12392</v>
      </c>
      <c r="M27" s="56"/>
      <c r="N27" s="56">
        <v>0</v>
      </c>
      <c r="O27" s="56"/>
      <c r="P27" s="56">
        <v>0</v>
      </c>
      <c r="Q27" s="56"/>
      <c r="R27" s="56">
        <v>0</v>
      </c>
      <c r="S27" s="56"/>
      <c r="T27" s="56">
        <v>0</v>
      </c>
      <c r="U27" s="56"/>
      <c r="V27" s="56">
        <v>0</v>
      </c>
      <c r="W27" s="56"/>
      <c r="X27" s="56">
        <v>24148.98</v>
      </c>
      <c r="Y27" s="56"/>
      <c r="Z27" s="56">
        <v>0</v>
      </c>
      <c r="AA27" s="56"/>
      <c r="AB27" s="56"/>
      <c r="AC27" s="56"/>
      <c r="AD27" s="56"/>
      <c r="AE27" s="56"/>
      <c r="AF27" s="56">
        <f t="shared" si="6"/>
        <v>0</v>
      </c>
      <c r="AG27" s="56">
        <v>0</v>
      </c>
      <c r="AH27" s="56">
        <v>0</v>
      </c>
      <c r="AI27" s="56"/>
      <c r="AJ27" s="56">
        <f t="shared" si="7"/>
        <v>0</v>
      </c>
      <c r="AK27" s="85"/>
      <c r="AL27" s="56">
        <v>0</v>
      </c>
      <c r="AM27" s="56"/>
      <c r="AN27" s="88">
        <f t="shared" si="8"/>
        <v>0</v>
      </c>
      <c r="AO27" s="88">
        <v>0</v>
      </c>
      <c r="AP27" s="88">
        <v>7644.67</v>
      </c>
      <c r="AQ27" s="56"/>
      <c r="AR27" s="56">
        <v>0</v>
      </c>
      <c r="AS27" s="56"/>
      <c r="AT27" s="56">
        <v>0</v>
      </c>
      <c r="AU27" s="56"/>
      <c r="AV27" s="56">
        <f t="shared" si="9"/>
        <v>7644.67</v>
      </c>
      <c r="AW27" s="56"/>
      <c r="AX27" s="56">
        <v>0</v>
      </c>
      <c r="AY27" s="56"/>
      <c r="AZ27" s="88">
        <v>0</v>
      </c>
      <c r="BA27" s="56">
        <v>0</v>
      </c>
      <c r="BB27" s="216"/>
      <c r="BC27" s="56"/>
      <c r="BD27" s="84">
        <f t="shared" si="10"/>
        <v>7644.67</v>
      </c>
      <c r="BE27" s="56"/>
      <c r="BF27" s="56"/>
      <c r="BG27" s="56"/>
      <c r="BH27" s="72"/>
    </row>
    <row r="28" spans="1:62" ht="20.100000000000001" customHeight="1" outlineLevel="1">
      <c r="A28" s="77" t="s">
        <v>43</v>
      </c>
      <c r="B28" s="77" t="s">
        <v>61</v>
      </c>
      <c r="C28" s="77" t="s">
        <v>1108</v>
      </c>
      <c r="D28" s="78" t="s">
        <v>46</v>
      </c>
      <c r="E28" s="78" t="str">
        <f t="shared" si="0"/>
        <v>000</v>
      </c>
      <c r="F28" s="3">
        <v>662611</v>
      </c>
      <c r="G28" s="102" t="s">
        <v>742</v>
      </c>
      <c r="H28" s="87"/>
      <c r="I28" s="13">
        <v>0</v>
      </c>
      <c r="J28" s="13">
        <v>0</v>
      </c>
      <c r="L28" s="56">
        <v>0</v>
      </c>
      <c r="M28" s="56"/>
      <c r="N28" s="56">
        <v>0</v>
      </c>
      <c r="O28" s="56"/>
      <c r="P28" s="56">
        <v>0</v>
      </c>
      <c r="Q28" s="56"/>
      <c r="R28" s="56">
        <v>18000</v>
      </c>
      <c r="S28" s="56"/>
      <c r="T28" s="56">
        <v>0</v>
      </c>
      <c r="U28" s="56"/>
      <c r="V28" s="56">
        <v>18000</v>
      </c>
      <c r="W28" s="56"/>
      <c r="X28" s="56">
        <v>17978.48</v>
      </c>
      <c r="Y28" s="56"/>
      <c r="Z28" s="56">
        <v>18000</v>
      </c>
      <c r="AA28" s="56"/>
      <c r="AB28" s="56"/>
      <c r="AC28" s="56"/>
      <c r="AD28" s="56"/>
      <c r="AE28" s="56"/>
      <c r="AF28" s="56">
        <f t="shared" si="6"/>
        <v>18000</v>
      </c>
      <c r="AG28" s="56">
        <v>0</v>
      </c>
      <c r="AH28" s="56">
        <v>0</v>
      </c>
      <c r="AI28" s="56"/>
      <c r="AJ28" s="56">
        <f t="shared" si="7"/>
        <v>18000</v>
      </c>
      <c r="AK28" s="85"/>
      <c r="AL28" s="56">
        <v>0</v>
      </c>
      <c r="AM28" s="56"/>
      <c r="AN28" s="88">
        <f t="shared" si="8"/>
        <v>18000</v>
      </c>
      <c r="AO28" s="88">
        <v>0</v>
      </c>
      <c r="AP28" s="88">
        <f>10826.95+5308.3</f>
        <v>16135.25</v>
      </c>
      <c r="AQ28" s="56"/>
      <c r="AR28" s="56">
        <v>0</v>
      </c>
      <c r="AS28" s="56"/>
      <c r="AT28" s="56">
        <v>0</v>
      </c>
      <c r="AU28" s="56"/>
      <c r="AV28" s="56">
        <f t="shared" si="9"/>
        <v>16135.25</v>
      </c>
      <c r="AW28" s="56"/>
      <c r="AX28" s="56">
        <v>0</v>
      </c>
      <c r="AY28" s="56"/>
      <c r="AZ28" s="88">
        <v>18000</v>
      </c>
      <c r="BA28" s="56">
        <v>18000</v>
      </c>
      <c r="BB28" s="216"/>
      <c r="BC28" s="56"/>
      <c r="BD28" s="84">
        <f t="shared" si="10"/>
        <v>-1864.75</v>
      </c>
      <c r="BE28" s="56"/>
      <c r="BF28" s="56"/>
      <c r="BG28" s="56"/>
      <c r="BH28" s="72"/>
    </row>
    <row r="29" spans="1:62" ht="20.100000000000001" customHeight="1" outlineLevel="1">
      <c r="A29" s="77" t="s">
        <v>43</v>
      </c>
      <c r="B29" s="77" t="s">
        <v>61</v>
      </c>
      <c r="C29" s="77" t="s">
        <v>1108</v>
      </c>
      <c r="D29" s="78" t="s">
        <v>46</v>
      </c>
      <c r="E29" s="78" t="str">
        <f t="shared" si="0"/>
        <v>000</v>
      </c>
      <c r="F29" s="3">
        <v>673001</v>
      </c>
      <c r="G29" s="102" t="s">
        <v>57</v>
      </c>
      <c r="H29" s="87"/>
      <c r="I29" s="13">
        <v>1200</v>
      </c>
      <c r="J29" s="13">
        <v>0</v>
      </c>
      <c r="L29" s="56">
        <v>10991</v>
      </c>
      <c r="M29" s="56"/>
      <c r="N29" s="56">
        <v>2500</v>
      </c>
      <c r="O29" s="56"/>
      <c r="P29" s="56">
        <v>3922</v>
      </c>
      <c r="Q29" s="56"/>
      <c r="R29" s="56">
        <v>3922</v>
      </c>
      <c r="S29" s="56"/>
      <c r="T29" s="56">
        <v>-500</v>
      </c>
      <c r="U29" s="56"/>
      <c r="V29" s="56">
        <v>3422</v>
      </c>
      <c r="W29" s="56"/>
      <c r="X29" s="56">
        <v>2895.42</v>
      </c>
      <c r="Y29" s="56"/>
      <c r="Z29" s="56">
        <v>3000</v>
      </c>
      <c r="AA29" s="56"/>
      <c r="AB29" s="56"/>
      <c r="AC29" s="56"/>
      <c r="AD29" s="56"/>
      <c r="AE29" s="56"/>
      <c r="AF29" s="56">
        <f t="shared" si="6"/>
        <v>3000</v>
      </c>
      <c r="AG29" s="56">
        <v>0</v>
      </c>
      <c r="AH29" s="56">
        <v>0</v>
      </c>
      <c r="AI29" s="56"/>
      <c r="AJ29" s="56">
        <f t="shared" si="7"/>
        <v>3000</v>
      </c>
      <c r="AK29" s="85"/>
      <c r="AL29" s="56">
        <v>0</v>
      </c>
      <c r="AM29" s="56"/>
      <c r="AN29" s="88">
        <f t="shared" si="8"/>
        <v>3000</v>
      </c>
      <c r="AO29" s="88">
        <v>0</v>
      </c>
      <c r="AP29" s="88">
        <v>0</v>
      </c>
      <c r="AQ29" s="56"/>
      <c r="AR29" s="56">
        <v>0</v>
      </c>
      <c r="AS29" s="56"/>
      <c r="AT29" s="56">
        <v>0</v>
      </c>
      <c r="AU29" s="56"/>
      <c r="AV29" s="56">
        <f t="shared" si="9"/>
        <v>0</v>
      </c>
      <c r="AW29" s="56"/>
      <c r="AX29" s="56">
        <v>-3000</v>
      </c>
      <c r="AY29" s="56"/>
      <c r="AZ29" s="88">
        <v>0</v>
      </c>
      <c r="BA29" s="56">
        <v>0</v>
      </c>
      <c r="BB29" s="216"/>
      <c r="BC29" s="56"/>
      <c r="BD29" s="84">
        <f t="shared" si="10"/>
        <v>-3000</v>
      </c>
      <c r="BE29" s="56"/>
      <c r="BF29" s="56"/>
      <c r="BG29" s="56"/>
      <c r="BH29" s="72"/>
    </row>
    <row r="30" spans="1:62" ht="20.100000000000001" customHeight="1" outlineLevel="1">
      <c r="A30" s="77" t="s">
        <v>43</v>
      </c>
      <c r="B30" s="77" t="s">
        <v>61</v>
      </c>
      <c r="C30" s="77" t="s">
        <v>1108</v>
      </c>
      <c r="D30" s="78" t="s">
        <v>46</v>
      </c>
      <c r="E30" s="78" t="str">
        <f t="shared" si="0"/>
        <v>000</v>
      </c>
      <c r="F30" s="3">
        <v>673024</v>
      </c>
      <c r="G30" s="102" t="s">
        <v>743</v>
      </c>
      <c r="H30" s="87"/>
      <c r="I30" s="13">
        <v>0</v>
      </c>
      <c r="J30" s="13">
        <v>0</v>
      </c>
      <c r="L30" s="56">
        <v>6155</v>
      </c>
      <c r="M30" s="56"/>
      <c r="N30" s="56">
        <v>0</v>
      </c>
      <c r="O30" s="56"/>
      <c r="P30" s="56">
        <v>0</v>
      </c>
      <c r="Q30" s="56"/>
      <c r="R30" s="56">
        <v>0</v>
      </c>
      <c r="S30" s="56"/>
      <c r="T30" s="56">
        <v>0</v>
      </c>
      <c r="U30" s="56"/>
      <c r="V30" s="56">
        <v>0</v>
      </c>
      <c r="W30" s="56"/>
      <c r="X30" s="56">
        <v>10711.3</v>
      </c>
      <c r="Y30" s="56"/>
      <c r="Z30" s="56">
        <v>0</v>
      </c>
      <c r="AA30" s="56"/>
      <c r="AB30" s="56"/>
      <c r="AC30" s="56"/>
      <c r="AD30" s="56"/>
      <c r="AE30" s="56"/>
      <c r="AF30" s="56">
        <f t="shared" si="6"/>
        <v>0</v>
      </c>
      <c r="AG30" s="56">
        <v>0</v>
      </c>
      <c r="AH30" s="56">
        <v>0</v>
      </c>
      <c r="AI30" s="56"/>
      <c r="AJ30" s="56">
        <f t="shared" si="7"/>
        <v>0</v>
      </c>
      <c r="AK30" s="85"/>
      <c r="AL30" s="56">
        <v>0</v>
      </c>
      <c r="AM30" s="56"/>
      <c r="AN30" s="88">
        <f t="shared" si="8"/>
        <v>0</v>
      </c>
      <c r="AO30" s="88">
        <v>0</v>
      </c>
      <c r="AP30" s="88">
        <v>0</v>
      </c>
      <c r="AQ30" s="56"/>
      <c r="AR30" s="56">
        <v>0</v>
      </c>
      <c r="AS30" s="56"/>
      <c r="AT30" s="56">
        <v>0</v>
      </c>
      <c r="AU30" s="56"/>
      <c r="AV30" s="56">
        <f t="shared" si="9"/>
        <v>0</v>
      </c>
      <c r="AW30" s="56"/>
      <c r="AX30" s="56">
        <v>0</v>
      </c>
      <c r="AY30" s="56"/>
      <c r="AZ30" s="88">
        <v>0</v>
      </c>
      <c r="BA30" s="56">
        <v>0</v>
      </c>
      <c r="BB30" s="216"/>
      <c r="BC30" s="56"/>
      <c r="BD30" s="84">
        <f t="shared" si="10"/>
        <v>0</v>
      </c>
      <c r="BE30" s="56"/>
      <c r="BF30" s="56"/>
      <c r="BG30" s="56"/>
      <c r="BH30" s="72"/>
    </row>
    <row r="31" spans="1:62" ht="20.100000000000001" customHeight="1" outlineLevel="1">
      <c r="A31" s="77" t="s">
        <v>43</v>
      </c>
      <c r="B31" s="77" t="s">
        <v>61</v>
      </c>
      <c r="C31" s="77" t="s">
        <v>1108</v>
      </c>
      <c r="D31" s="78" t="s">
        <v>46</v>
      </c>
      <c r="E31" s="78" t="str">
        <f t="shared" si="0"/>
        <v>000</v>
      </c>
      <c r="F31" s="3">
        <v>673211</v>
      </c>
      <c r="G31" s="102" t="s">
        <v>744</v>
      </c>
      <c r="H31" s="87"/>
      <c r="I31" s="13">
        <v>0</v>
      </c>
      <c r="J31" s="13">
        <v>0</v>
      </c>
      <c r="L31" s="56">
        <v>76210</v>
      </c>
      <c r="M31" s="56"/>
      <c r="N31" s="56">
        <v>0</v>
      </c>
      <c r="O31" s="56"/>
      <c r="P31" s="56">
        <v>0</v>
      </c>
      <c r="Q31" s="56"/>
      <c r="R31" s="56">
        <v>0</v>
      </c>
      <c r="S31" s="56"/>
      <c r="T31" s="56">
        <v>0</v>
      </c>
      <c r="U31" s="56"/>
      <c r="V31" s="56">
        <v>0</v>
      </c>
      <c r="W31" s="56"/>
      <c r="X31" s="56">
        <v>0</v>
      </c>
      <c r="Y31" s="56"/>
      <c r="Z31" s="56">
        <v>65000</v>
      </c>
      <c r="AA31" s="56"/>
      <c r="AB31" s="56"/>
      <c r="AC31" s="56"/>
      <c r="AD31" s="56"/>
      <c r="AE31" s="56"/>
      <c r="AF31" s="56">
        <f t="shared" si="6"/>
        <v>65000</v>
      </c>
      <c r="AG31" s="56">
        <v>0</v>
      </c>
      <c r="AH31" s="56">
        <v>0</v>
      </c>
      <c r="AI31" s="56"/>
      <c r="AJ31" s="56">
        <f t="shared" si="7"/>
        <v>65000</v>
      </c>
      <c r="AK31" s="85"/>
      <c r="AL31" s="56">
        <v>0</v>
      </c>
      <c r="AM31" s="56"/>
      <c r="AN31" s="88">
        <f t="shared" si="8"/>
        <v>65000</v>
      </c>
      <c r="AO31" s="88">
        <v>0</v>
      </c>
      <c r="AP31" s="88">
        <v>0</v>
      </c>
      <c r="AQ31" s="56"/>
      <c r="AR31" s="56">
        <v>0</v>
      </c>
      <c r="AS31" s="56"/>
      <c r="AT31" s="56">
        <v>0</v>
      </c>
      <c r="AU31" s="56"/>
      <c r="AV31" s="56">
        <f t="shared" si="9"/>
        <v>0</v>
      </c>
      <c r="AW31" s="56"/>
      <c r="AX31" s="56">
        <v>0</v>
      </c>
      <c r="AY31" s="56"/>
      <c r="AZ31" s="88">
        <v>0</v>
      </c>
      <c r="BA31" s="56">
        <v>0</v>
      </c>
      <c r="BB31" s="216"/>
      <c r="BC31" s="56"/>
      <c r="BD31" s="84">
        <f t="shared" si="10"/>
        <v>-65000</v>
      </c>
      <c r="BE31" s="56"/>
      <c r="BF31" s="56"/>
      <c r="BG31" s="56"/>
      <c r="BH31" s="72"/>
    </row>
    <row r="32" spans="1:62" ht="20.100000000000001" customHeight="1">
      <c r="B32" s="77"/>
      <c r="C32" s="77"/>
      <c r="D32" s="90"/>
      <c r="E32" s="90"/>
      <c r="F32" s="3"/>
      <c r="G32" s="110" t="s">
        <v>745</v>
      </c>
      <c r="H32" s="81"/>
      <c r="I32" s="92">
        <v>321460</v>
      </c>
      <c r="J32" s="93">
        <v>389165</v>
      </c>
      <c r="L32" s="125">
        <v>1714551</v>
      </c>
      <c r="M32" s="126"/>
      <c r="N32" s="125">
        <v>3265874</v>
      </c>
      <c r="O32" s="126"/>
      <c r="P32" s="125">
        <v>3301341</v>
      </c>
      <c r="Q32" s="126"/>
      <c r="R32" s="125">
        <v>3367042</v>
      </c>
      <c r="S32" s="95"/>
      <c r="T32" s="94">
        <v>0</v>
      </c>
      <c r="U32" s="126"/>
      <c r="V32" s="125">
        <v>3367042</v>
      </c>
      <c r="W32" s="126"/>
      <c r="X32" s="125">
        <f>SUBTOTAL(9,X11:X31)</f>
        <v>3376677.27</v>
      </c>
      <c r="Y32" s="126"/>
      <c r="Z32" s="125">
        <f>SUBTOTAL(9,Z11:Z31)</f>
        <v>3982401</v>
      </c>
      <c r="AA32" s="126"/>
      <c r="AB32" s="125">
        <f>SUBTOTAL(9,AB11:AB31)</f>
        <v>0</v>
      </c>
      <c r="AC32" s="126"/>
      <c r="AD32" s="125">
        <f>SUBTOTAL(9,AD11:AD31)</f>
        <v>17582</v>
      </c>
      <c r="AE32" s="126"/>
      <c r="AF32" s="125">
        <f>SUBTOTAL(9,AF11:AF31)</f>
        <v>3999983</v>
      </c>
      <c r="AG32" s="125">
        <f>SUBTOTAL(9,AG11:AG31)</f>
        <v>46900</v>
      </c>
      <c r="AH32" s="125">
        <f>SUBTOTAL(9,AH11:AH31)</f>
        <v>24875</v>
      </c>
      <c r="AI32" s="126"/>
      <c r="AJ32" s="125">
        <f>SUBTOTAL(9,AJ11:AJ31)</f>
        <v>4071758</v>
      </c>
      <c r="AK32" s="96"/>
      <c r="AL32" s="125">
        <f>SUBTOTAL(9,AL11:AL31)</f>
        <v>0</v>
      </c>
      <c r="AM32" s="126"/>
      <c r="AN32" s="127">
        <f>SUBTOTAL(9,AN11:AN31)</f>
        <v>4071758</v>
      </c>
      <c r="AO32" s="127">
        <f>SUBTOTAL(9,AO11:AO31)</f>
        <v>0</v>
      </c>
      <c r="AP32" s="127">
        <f>SUBTOTAL(9,AP11:AP31)</f>
        <v>1895975.6900000002</v>
      </c>
      <c r="AQ32" s="126"/>
      <c r="AR32" s="125">
        <f>SUBTOTAL(9,AR11:AR31)</f>
        <v>0</v>
      </c>
      <c r="AS32" s="126"/>
      <c r="AT32" s="125">
        <f>SUBTOTAL(9,AT11:AT31)</f>
        <v>0</v>
      </c>
      <c r="AU32" s="126"/>
      <c r="AV32" s="125">
        <f>SUBTOTAL(9,AV11:AV31)</f>
        <v>1890595.6900000002</v>
      </c>
      <c r="AW32" s="126"/>
      <c r="AX32" s="125">
        <f>SUBTOTAL(9,AX11:AX31)</f>
        <v>5380</v>
      </c>
      <c r="AY32" s="126"/>
      <c r="AZ32" s="127">
        <f>SUBTOTAL(9,AZ11:AZ31)</f>
        <v>1952245</v>
      </c>
      <c r="BA32" s="125">
        <f>SUBTOTAL(9,BA11:BA31)</f>
        <v>1984010</v>
      </c>
      <c r="BB32" s="216"/>
      <c r="BC32" s="56"/>
      <c r="BD32" s="98">
        <f t="shared" si="10"/>
        <v>-2175782.3099999996</v>
      </c>
      <c r="BE32" s="126"/>
      <c r="BF32" s="126"/>
      <c r="BG32" s="126"/>
    </row>
    <row r="52" spans="18:63">
      <c r="R52" s="7">
        <v>420044982</v>
      </c>
      <c r="BI52" s="211"/>
      <c r="BJ52" s="7"/>
      <c r="BK52" s="7"/>
    </row>
    <row r="53" spans="18:63">
      <c r="BI53" s="211"/>
      <c r="BJ53" s="7"/>
    </row>
  </sheetData>
  <autoFilter ref="A9:BH32"/>
  <mergeCells count="8">
    <mergeCell ref="A6:F6"/>
    <mergeCell ref="A7:F7"/>
    <mergeCell ref="AB5:AD5"/>
    <mergeCell ref="A8:E8"/>
    <mergeCell ref="AG2:AH2"/>
    <mergeCell ref="AG3:AH3"/>
    <mergeCell ref="AG4:AH4"/>
    <mergeCell ref="AB4:AD4"/>
  </mergeCells>
  <phoneticPr fontId="3" type="noConversion"/>
  <conditionalFormatting sqref="F1:F1048576">
    <cfRule type="cellIs" dxfId="8" priority="1" stopIfTrue="1" operator="between">
      <formula>610000</formula>
      <formula>619999</formula>
    </cfRule>
  </conditionalFormatting>
  <pageMargins left="0.54" right="0.25" top="0.24" bottom="0.49" header="0.25" footer="0"/>
  <pageSetup scale="77" fitToHeight="0" orientation="landscape" r:id="rId1"/>
  <headerFooter alignWithMargins="0">
    <oddFooter>&amp;C&amp;8Detail of Expenditures Budget By Department, Page &amp;P of &amp;N</oddFooter>
  </headerFooter>
  <legacyDrawing r:id="rId2"/>
</worksheet>
</file>

<file path=xl/worksheets/sheet30.xml><?xml version="1.0" encoding="utf-8"?>
<worksheet xmlns="http://schemas.openxmlformats.org/spreadsheetml/2006/main" xmlns:r="http://schemas.openxmlformats.org/officeDocument/2006/relationships">
  <sheetPr codeName="Sheet24" enableFormatConditionsCalculation="0">
    <tabColor indexed="17"/>
    <pageSetUpPr fitToPage="1"/>
  </sheetPr>
  <dimension ref="A1:BJ103"/>
  <sheetViews>
    <sheetView zoomScale="87" zoomScaleNormal="87" workbookViewId="0">
      <pane xSplit="8" ySplit="9" topLeftCell="O10" activePane="bottomRight" state="frozen"/>
      <selection activeCell="A28" sqref="A28"/>
      <selection pane="topRight" activeCell="A28" sqref="A28"/>
      <selection pane="bottomLeft" activeCell="A28" sqref="A28"/>
      <selection pane="bottomRight"/>
    </sheetView>
  </sheetViews>
  <sheetFormatPr defaultRowHeight="12.75" outlineLevelRow="1" outlineLevelCol="1"/>
  <cols>
    <col min="1" max="1" width="7" style="39" customWidth="1" outlineLevel="1"/>
    <col min="2" max="2" width="6.140625" style="39" customWidth="1" outlineLevel="1"/>
    <col min="3" max="3" width="3.7109375" style="39" customWidth="1" outlineLevel="1"/>
    <col min="4" max="5" width="4.85546875" style="168" customWidth="1" outlineLevel="1"/>
    <col min="6" max="6" width="8.7109375" style="40" customWidth="1" outlineLevel="1"/>
    <col min="7" max="7" width="28.5703125" style="4" customWidth="1"/>
    <col min="8" max="8" width="16.5703125" style="4" hidden="1" customWidth="1"/>
    <col min="9" max="10" width="15.140625" style="4" hidden="1" customWidth="1" collapsed="1"/>
    <col min="11" max="11" width="39.5703125" style="4" hidden="1" customWidth="1"/>
    <col min="12" max="12" width="15.140625" style="7" bestFit="1" customWidth="1" collapsed="1"/>
    <col min="13" max="13" width="31.7109375" style="7" hidden="1" customWidth="1"/>
    <col min="14" max="14" width="35.5703125" style="7" hidden="1" customWidth="1" collapsed="1"/>
    <col min="15" max="15" width="0.140625" style="7" customWidth="1"/>
    <col min="16" max="16" width="25.28515625" style="7" hidden="1" customWidth="1" outlineLevel="1" collapsed="1"/>
    <col min="17" max="17" width="23.42578125" style="7" hidden="1" customWidth="1" outlineLevel="1"/>
    <col min="18" max="18" width="20.5703125" style="7" hidden="1" customWidth="1" outlineLevel="1" collapsed="1"/>
    <col min="19" max="19" width="18" style="7" hidden="1" customWidth="1" outlineLevel="1"/>
    <col min="20" max="20" width="19.5703125" style="7" hidden="1" customWidth="1" outlineLevel="1"/>
    <col min="21" max="21" width="18.42578125" style="7" hidden="1" customWidth="1" outlineLevel="1"/>
    <col min="22" max="22" width="13.140625" style="7" hidden="1" customWidth="1"/>
    <col min="23" max="23" width="14.140625" style="7" hidden="1" customWidth="1"/>
    <col min="24" max="24" width="14.5703125" style="7" customWidth="1" collapsed="1"/>
    <col min="25" max="25" width="0.85546875" style="7" hidden="1" customWidth="1"/>
    <col min="26" max="26" width="16.140625" style="7" hidden="1" customWidth="1"/>
    <col min="27" max="27" width="0.140625" style="7" hidden="1" customWidth="1"/>
    <col min="28" max="28" width="16.140625" style="7" hidden="1" customWidth="1" outlineLevel="1"/>
    <col min="29" max="29" width="0.42578125" style="7" hidden="1" customWidth="1" outlineLevel="1"/>
    <col min="30" max="30" width="17.85546875" style="7" hidden="1" customWidth="1" outlineLevel="1"/>
    <col min="31" max="31" width="0.42578125" style="7" hidden="1" customWidth="1" outlineLevel="1"/>
    <col min="32" max="32" width="16.140625" style="7" hidden="1" customWidth="1" collapsed="1"/>
    <col min="33" max="33" width="16" style="7" hidden="1" customWidth="1" outlineLevel="1"/>
    <col min="34" max="34" width="17" style="7" hidden="1" customWidth="1" outlineLevel="1"/>
    <col min="35" max="35" width="10.5703125" style="7" hidden="1" customWidth="1" outlineLevel="1"/>
    <col min="36" max="36" width="16.140625" style="7" hidden="1" customWidth="1" collapsed="1"/>
    <col min="37" max="37" width="0.7109375" style="7" hidden="1" customWidth="1"/>
    <col min="38" max="38" width="16.140625" style="7" hidden="1" customWidth="1" outlineLevel="1"/>
    <col min="39" max="39" width="4.140625" style="7" hidden="1" customWidth="1" outlineLevel="1"/>
    <col min="40" max="40" width="16.140625" style="17" customWidth="1" collapsed="1"/>
    <col min="41" max="41" width="16.140625" style="17" hidden="1" customWidth="1" collapsed="1"/>
    <col min="42" max="42" width="16.140625" style="17" customWidth="1" collapsed="1"/>
    <col min="43" max="43" width="0.7109375" style="7" hidden="1" customWidth="1" outlineLevel="1"/>
    <col min="44" max="44" width="22.140625" style="7" hidden="1" customWidth="1" outlineLevel="1"/>
    <col min="45" max="45" width="0.42578125" style="7" hidden="1" customWidth="1" outlineLevel="1"/>
    <col min="46" max="46" width="17.85546875" style="7" hidden="1" customWidth="1" outlineLevel="1"/>
    <col min="47" max="47" width="0.42578125" style="7" hidden="1" customWidth="1" outlineLevel="1"/>
    <col min="48" max="48" width="18" style="7" hidden="1" customWidth="1" collapsed="1"/>
    <col min="49" max="49" width="0.5703125" style="7" hidden="1" customWidth="1"/>
    <col min="50" max="50" width="18" style="7" hidden="1" customWidth="1"/>
    <col min="51" max="51" width="0.5703125" style="7" customWidth="1"/>
    <col min="52" max="52" width="15.140625" style="7" customWidth="1"/>
    <col min="53" max="53" width="15.7109375" style="7" bestFit="1" customWidth="1"/>
    <col min="54" max="54" width="15.140625" style="7" customWidth="1"/>
    <col min="55" max="55" width="23.140625" style="7" customWidth="1"/>
    <col min="56" max="56" width="19.85546875" style="7" bestFit="1" customWidth="1"/>
    <col min="57" max="59" width="12.42578125" style="7" customWidth="1"/>
    <col min="60" max="60" width="3.85546875" style="76" customWidth="1"/>
    <col min="61" max="61" width="14.5703125" style="12" bestFit="1" customWidth="1"/>
  </cols>
  <sheetData>
    <row r="1" spans="1:61" ht="15">
      <c r="A1" s="1" t="s">
        <v>0</v>
      </c>
      <c r="B1" s="2"/>
      <c r="C1" s="2"/>
      <c r="D1" s="1"/>
      <c r="E1" s="1"/>
      <c r="F1" s="3"/>
      <c r="H1" s="5"/>
      <c r="I1" s="6"/>
      <c r="T1" s="8"/>
      <c r="Z1" s="9"/>
      <c r="AB1" s="9"/>
      <c r="AD1" s="9"/>
      <c r="AF1" s="9"/>
      <c r="AH1" s="10" t="e">
        <f>+#REF!</f>
        <v>#REF!</v>
      </c>
      <c r="AJ1" s="9"/>
      <c r="AK1" s="9"/>
      <c r="AN1" s="9"/>
      <c r="AO1" s="9"/>
      <c r="AP1" s="9"/>
      <c r="AR1" s="9"/>
      <c r="AT1" s="9"/>
      <c r="AV1" s="9"/>
      <c r="AW1" s="9"/>
      <c r="AX1" s="9"/>
      <c r="AY1" s="9"/>
      <c r="AZ1" s="9"/>
      <c r="BA1" s="9"/>
      <c r="BB1" s="9"/>
      <c r="BC1" s="9"/>
      <c r="BD1" s="9"/>
      <c r="BE1" s="9"/>
      <c r="BF1" s="9"/>
      <c r="BG1" s="9"/>
      <c r="BH1" s="11"/>
    </row>
    <row r="2" spans="1:61" ht="15">
      <c r="A2" s="1" t="s">
        <v>1053</v>
      </c>
      <c r="B2" s="2"/>
      <c r="C2" s="2"/>
      <c r="D2" s="1"/>
      <c r="E2" s="1"/>
      <c r="F2" s="3"/>
      <c r="H2" s="5"/>
      <c r="I2" s="13"/>
      <c r="J2" s="14"/>
      <c r="K2" s="14"/>
      <c r="L2" s="15"/>
      <c r="M2" s="15"/>
      <c r="N2" s="15"/>
      <c r="O2" s="15"/>
      <c r="P2" s="15"/>
      <c r="R2" s="15"/>
      <c r="T2" s="8"/>
      <c r="V2" s="15"/>
      <c r="X2" s="15"/>
      <c r="Z2" s="15"/>
      <c r="AB2" s="15"/>
      <c r="AD2" s="15"/>
      <c r="AF2" s="15"/>
      <c r="AG2" s="238" t="s">
        <v>1</v>
      </c>
      <c r="AH2" s="238"/>
      <c r="AI2" s="17"/>
      <c r="AJ2" s="18"/>
      <c r="AK2" s="15"/>
      <c r="AL2" s="10" t="e">
        <f>+#REF!</f>
        <v>#REF!</v>
      </c>
      <c r="AN2" s="18"/>
      <c r="AO2" s="18"/>
      <c r="AP2" s="18"/>
      <c r="AR2" s="15"/>
      <c r="AT2" s="15"/>
      <c r="AV2" s="15"/>
      <c r="AW2" s="15"/>
      <c r="AX2" s="15"/>
      <c r="AY2" s="15"/>
      <c r="AZ2" s="15"/>
      <c r="BA2" s="15"/>
      <c r="BB2" s="15"/>
      <c r="BC2" s="15"/>
      <c r="BD2" s="15"/>
      <c r="BE2" s="15"/>
      <c r="BF2" s="15"/>
      <c r="BG2" s="15"/>
      <c r="BH2" s="19"/>
    </row>
    <row r="3" spans="1:61">
      <c r="A3" s="20" t="str">
        <f>IF(G7=1,"DETAIL OF EXPENDITURES BUDGET BY DEPARTMENT WITH COMPARATIVE AMOUNTS", "SUMMARY OF EXPENDITURES BUDGET BY DEPARTMENT WITH COMPARATIVE AMOUNTS")</f>
        <v>DETAIL OF EXPENDITURES BUDGET BY DEPARTMENT WITH COMPARATIVE AMOUNTS</v>
      </c>
      <c r="B3" s="21"/>
      <c r="C3" s="21"/>
      <c r="D3" s="22"/>
      <c r="E3" s="22"/>
      <c r="F3" s="3"/>
      <c r="H3" s="5"/>
      <c r="I3" s="23"/>
      <c r="J3" s="15"/>
      <c r="L3" s="15"/>
      <c r="M3" s="10"/>
      <c r="N3" s="10"/>
      <c r="O3" s="10"/>
      <c r="P3" s="24"/>
      <c r="R3" s="24"/>
      <c r="V3" s="24"/>
      <c r="W3" s="24"/>
      <c r="X3" s="15"/>
      <c r="Y3" s="24"/>
      <c r="AA3" s="24"/>
      <c r="AB3" s="24" t="e">
        <f>+#REF!</f>
        <v>#REF!</v>
      </c>
      <c r="AC3" s="24"/>
      <c r="AD3" s="24" t="e">
        <f>+#REF!</f>
        <v>#REF!</v>
      </c>
      <c r="AE3" s="24"/>
      <c r="AF3" s="10" t="e">
        <f>+#REF!</f>
        <v>#REF!</v>
      </c>
      <c r="AG3" s="239" t="s">
        <v>2</v>
      </c>
      <c r="AH3" s="239"/>
      <c r="AI3" s="25"/>
      <c r="AJ3" s="25" t="e">
        <f>+#REF!</f>
        <v>#REF!</v>
      </c>
      <c r="AK3" s="24"/>
      <c r="AL3" s="16" t="s">
        <v>1</v>
      </c>
      <c r="AM3" s="25"/>
      <c r="AN3" s="25"/>
      <c r="AO3" s="25"/>
      <c r="AP3" s="25"/>
      <c r="AQ3" s="24"/>
      <c r="AR3" s="24" t="e">
        <f>+#REF!</f>
        <v>#REF!</v>
      </c>
      <c r="AS3" s="24"/>
      <c r="AT3" s="24" t="e">
        <f>+#REF!</f>
        <v>#REF!</v>
      </c>
      <c r="AU3" s="24"/>
      <c r="AV3" s="24" t="e">
        <f>+#REF!</f>
        <v>#REF!</v>
      </c>
      <c r="AW3" s="24"/>
      <c r="AX3" s="24" t="e">
        <f>+#REF!</f>
        <v>#REF!</v>
      </c>
      <c r="AY3" s="24"/>
      <c r="AZ3" s="24"/>
      <c r="BA3" s="24"/>
      <c r="BB3" s="24"/>
      <c r="BC3" s="24"/>
      <c r="BD3" s="26"/>
      <c r="BE3" s="26"/>
      <c r="BF3" s="26"/>
      <c r="BG3" s="26"/>
      <c r="BH3" s="27"/>
    </row>
    <row r="4" spans="1:61" ht="15">
      <c r="A4" s="28" t="s">
        <v>1070</v>
      </c>
      <c r="B4" s="29"/>
      <c r="C4" s="29"/>
      <c r="D4" s="28"/>
      <c r="E4" s="28"/>
      <c r="F4" s="3"/>
      <c r="H4" s="30"/>
      <c r="I4" s="31"/>
      <c r="J4" s="31"/>
      <c r="L4" s="31"/>
      <c r="M4" s="32"/>
      <c r="N4" s="33"/>
      <c r="O4" s="32"/>
      <c r="P4" s="33"/>
      <c r="R4" s="33"/>
      <c r="T4" s="33"/>
      <c r="X4" s="31"/>
      <c r="Z4" s="10"/>
      <c r="AB4" s="241"/>
      <c r="AC4" s="241"/>
      <c r="AD4" s="241"/>
      <c r="AE4" s="35"/>
      <c r="AF4" s="34"/>
      <c r="AG4" s="240"/>
      <c r="AH4" s="240"/>
      <c r="AI4" s="17"/>
      <c r="AJ4" s="16"/>
      <c r="AK4" s="24"/>
      <c r="AL4" s="16"/>
      <c r="AM4" s="17"/>
      <c r="AN4" s="31"/>
      <c r="AO4" s="31"/>
      <c r="AP4" s="31"/>
      <c r="AR4" s="34" t="s">
        <v>5</v>
      </c>
      <c r="AU4" s="35"/>
      <c r="AV4" s="34"/>
      <c r="AW4" s="34"/>
      <c r="AX4" s="34" t="s">
        <v>5</v>
      </c>
      <c r="AY4" s="34"/>
      <c r="AZ4" s="34"/>
      <c r="BA4" s="34"/>
      <c r="BB4" s="34"/>
      <c r="BC4" s="34"/>
      <c r="BD4" s="37"/>
      <c r="BE4" s="37"/>
      <c r="BF4" s="37"/>
      <c r="BG4" s="37"/>
      <c r="BH4" s="38"/>
    </row>
    <row r="5" spans="1:61" ht="15">
      <c r="B5" s="29"/>
      <c r="C5" s="29"/>
      <c r="D5" s="28"/>
      <c r="E5" s="28"/>
      <c r="G5" s="28"/>
      <c r="H5" s="5"/>
      <c r="I5" s="41" t="s">
        <v>6</v>
      </c>
      <c r="J5" s="42" t="s">
        <v>7</v>
      </c>
      <c r="L5" s="16" t="s">
        <v>8</v>
      </c>
      <c r="M5" s="16"/>
      <c r="N5" s="16" t="s">
        <v>9</v>
      </c>
      <c r="O5" s="16"/>
      <c r="P5" s="16" t="s">
        <v>9</v>
      </c>
      <c r="Q5" s="17"/>
      <c r="R5" s="43"/>
      <c r="S5" s="17"/>
      <c r="T5" s="16"/>
      <c r="U5" s="17"/>
      <c r="V5" s="16" t="s">
        <v>9</v>
      </c>
      <c r="X5" s="16" t="s">
        <v>9</v>
      </c>
      <c r="Z5" s="34" t="s">
        <v>1</v>
      </c>
      <c r="AB5" s="243" t="s">
        <v>10</v>
      </c>
      <c r="AC5" s="243"/>
      <c r="AD5" s="243"/>
      <c r="AE5" s="35"/>
      <c r="AF5" s="34" t="s">
        <v>1</v>
      </c>
      <c r="AG5" s="17"/>
      <c r="AH5" s="16" t="s">
        <v>11</v>
      </c>
      <c r="AI5" s="17"/>
      <c r="AJ5" s="16" t="s">
        <v>1</v>
      </c>
      <c r="AK5" s="24"/>
      <c r="AL5" s="43" t="s">
        <v>12</v>
      </c>
      <c r="AM5" s="17"/>
      <c r="AN5" s="16" t="s">
        <v>1</v>
      </c>
      <c r="AO5" s="45" t="s">
        <v>1</v>
      </c>
      <c r="AP5" s="46" t="s">
        <v>5</v>
      </c>
      <c r="AQ5" s="47"/>
      <c r="AR5" s="48" t="s">
        <v>10</v>
      </c>
      <c r="AS5" s="47"/>
      <c r="AT5" s="47"/>
      <c r="AU5" s="47"/>
      <c r="AV5" s="46" t="s">
        <v>5</v>
      </c>
      <c r="AW5" s="34"/>
      <c r="AX5" s="49" t="s">
        <v>3</v>
      </c>
      <c r="AY5" s="34"/>
      <c r="AZ5" s="16" t="s">
        <v>1054</v>
      </c>
      <c r="BA5" s="16" t="s">
        <v>1054</v>
      </c>
      <c r="BB5" s="34" t="s">
        <v>1069</v>
      </c>
      <c r="BC5" s="34"/>
      <c r="BD5" s="50" t="s">
        <v>13</v>
      </c>
      <c r="BE5" s="37"/>
      <c r="BF5" s="37"/>
      <c r="BG5" s="37"/>
      <c r="BH5" s="51"/>
    </row>
    <row r="6" spans="1:61">
      <c r="A6" s="242"/>
      <c r="B6" s="242"/>
      <c r="C6" s="242"/>
      <c r="D6" s="242"/>
      <c r="E6" s="242"/>
      <c r="F6" s="242"/>
      <c r="G6" s="22"/>
      <c r="H6" s="5"/>
      <c r="I6" s="52" t="s">
        <v>14</v>
      </c>
      <c r="J6" s="52" t="s">
        <v>14</v>
      </c>
      <c r="L6" s="43" t="s">
        <v>14</v>
      </c>
      <c r="M6" s="43"/>
      <c r="N6" s="43" t="s">
        <v>15</v>
      </c>
      <c r="O6" s="43"/>
      <c r="P6" s="43" t="s">
        <v>4</v>
      </c>
      <c r="Q6" s="17"/>
      <c r="R6" s="43" t="s">
        <v>4</v>
      </c>
      <c r="S6" s="43"/>
      <c r="T6" s="43" t="s">
        <v>16</v>
      </c>
      <c r="U6" s="43"/>
      <c r="V6" s="43" t="s">
        <v>4</v>
      </c>
      <c r="W6" s="43"/>
      <c r="X6" s="43" t="s">
        <v>14</v>
      </c>
      <c r="Y6" s="43"/>
      <c r="Z6" s="34" t="s">
        <v>17</v>
      </c>
      <c r="AA6" s="43"/>
      <c r="AB6" s="53" t="s">
        <v>16</v>
      </c>
      <c r="AC6" s="53"/>
      <c r="AD6" s="34"/>
      <c r="AE6" s="53"/>
      <c r="AF6" s="34" t="s">
        <v>17</v>
      </c>
      <c r="AG6" s="43" t="s">
        <v>16</v>
      </c>
      <c r="AH6" s="16" t="s">
        <v>18</v>
      </c>
      <c r="AI6" s="43"/>
      <c r="AJ6" s="16" t="s">
        <v>19</v>
      </c>
      <c r="AK6" s="24"/>
      <c r="AL6" s="43" t="s">
        <v>16</v>
      </c>
      <c r="AM6" s="43"/>
      <c r="AN6" s="43" t="s">
        <v>14</v>
      </c>
      <c r="AO6" s="45" t="s">
        <v>20</v>
      </c>
      <c r="AP6" s="43" t="s">
        <v>14</v>
      </c>
      <c r="AQ6" s="54"/>
      <c r="AR6" s="54" t="s">
        <v>16</v>
      </c>
      <c r="AS6" s="54"/>
      <c r="AT6" s="46"/>
      <c r="AU6" s="54"/>
      <c r="AV6" s="46" t="s">
        <v>19</v>
      </c>
      <c r="AW6" s="34"/>
      <c r="AX6" s="55" t="s">
        <v>16</v>
      </c>
      <c r="AY6" s="34"/>
      <c r="AZ6" s="16" t="s">
        <v>19</v>
      </c>
      <c r="BA6" s="16" t="s">
        <v>19</v>
      </c>
      <c r="BB6" s="34" t="s">
        <v>19</v>
      </c>
      <c r="BC6" s="56"/>
      <c r="BD6" s="50" t="s">
        <v>21</v>
      </c>
      <c r="BE6" s="37"/>
      <c r="BF6" s="37"/>
      <c r="BG6" s="37"/>
      <c r="BH6" s="57"/>
    </row>
    <row r="7" spans="1:61" ht="15">
      <c r="A7" s="237"/>
      <c r="B7" s="237"/>
      <c r="C7" s="237"/>
      <c r="D7" s="237"/>
      <c r="E7" s="237"/>
      <c r="F7" s="237"/>
      <c r="G7" s="59">
        <v>1</v>
      </c>
      <c r="H7" s="60"/>
      <c r="I7" s="52" t="s">
        <v>22</v>
      </c>
      <c r="J7" s="52" t="s">
        <v>22</v>
      </c>
      <c r="L7" s="43" t="s">
        <v>22</v>
      </c>
      <c r="M7" s="43"/>
      <c r="N7" s="43" t="s">
        <v>23</v>
      </c>
      <c r="O7" s="43"/>
      <c r="P7" s="43" t="s">
        <v>24</v>
      </c>
      <c r="Q7" s="43"/>
      <c r="R7" s="43" t="s">
        <v>24</v>
      </c>
      <c r="S7" s="43"/>
      <c r="T7" s="43" t="s">
        <v>25</v>
      </c>
      <c r="U7" s="43"/>
      <c r="V7" s="43" t="s">
        <v>24</v>
      </c>
      <c r="W7" s="43"/>
      <c r="X7" s="43" t="s">
        <v>22</v>
      </c>
      <c r="Y7" s="43"/>
      <c r="Z7" s="53" t="s">
        <v>15</v>
      </c>
      <c r="AA7" s="43"/>
      <c r="AB7" s="53" t="s">
        <v>26</v>
      </c>
      <c r="AC7" s="53"/>
      <c r="AD7" s="53"/>
      <c r="AE7" s="53"/>
      <c r="AF7" s="53" t="s">
        <v>4</v>
      </c>
      <c r="AG7" s="43" t="s">
        <v>26</v>
      </c>
      <c r="AH7" s="43" t="s">
        <v>27</v>
      </c>
      <c r="AI7" s="43"/>
      <c r="AJ7" s="43" t="s">
        <v>4</v>
      </c>
      <c r="AK7" s="24"/>
      <c r="AL7" s="43" t="s">
        <v>26</v>
      </c>
      <c r="AM7" s="43"/>
      <c r="AN7" s="43" t="s">
        <v>22</v>
      </c>
      <c r="AO7" s="61" t="s">
        <v>22</v>
      </c>
      <c r="AP7" s="43" t="s">
        <v>22</v>
      </c>
      <c r="AQ7" s="54"/>
      <c r="AR7" s="54" t="s">
        <v>26</v>
      </c>
      <c r="AS7" s="54"/>
      <c r="AT7" s="54"/>
      <c r="AU7" s="54"/>
      <c r="AV7" s="54" t="s">
        <v>4</v>
      </c>
      <c r="AW7" s="53"/>
      <c r="AX7" s="55" t="s">
        <v>26</v>
      </c>
      <c r="AY7" s="53"/>
      <c r="AZ7" s="16" t="s">
        <v>15</v>
      </c>
      <c r="BA7" s="43" t="s">
        <v>4</v>
      </c>
      <c r="BB7" s="34" t="s">
        <v>15</v>
      </c>
      <c r="BC7" s="56"/>
      <c r="BD7" s="50" t="s">
        <v>28</v>
      </c>
      <c r="BE7" s="62"/>
      <c r="BF7" s="62"/>
      <c r="BG7" s="62"/>
      <c r="BH7" s="57"/>
      <c r="BI7" s="63"/>
    </row>
    <row r="8" spans="1:61" ht="15">
      <c r="A8" s="237" t="s">
        <v>29</v>
      </c>
      <c r="B8" s="237"/>
      <c r="C8" s="237"/>
      <c r="D8" s="237"/>
      <c r="E8" s="237"/>
      <c r="F8" s="64" t="s">
        <v>30</v>
      </c>
      <c r="G8" s="64" t="s">
        <v>31</v>
      </c>
      <c r="H8" s="60"/>
      <c r="I8" s="65" t="s">
        <v>32</v>
      </c>
      <c r="J8" s="65" t="s">
        <v>32</v>
      </c>
      <c r="L8" s="66" t="s">
        <v>32</v>
      </c>
      <c r="M8" s="36"/>
      <c r="N8" s="36" t="s">
        <v>2</v>
      </c>
      <c r="O8" s="36"/>
      <c r="P8" s="36" t="s">
        <v>33</v>
      </c>
      <c r="Q8" s="36"/>
      <c r="R8" s="36" t="s">
        <v>34</v>
      </c>
      <c r="S8" s="36"/>
      <c r="T8" s="36" t="s">
        <v>35</v>
      </c>
      <c r="U8" s="36"/>
      <c r="V8" s="36" t="s">
        <v>36</v>
      </c>
      <c r="W8" s="36"/>
      <c r="X8" s="66" t="s">
        <v>32</v>
      </c>
      <c r="Y8" s="36"/>
      <c r="Z8" s="44" t="s">
        <v>24</v>
      </c>
      <c r="AA8" s="36"/>
      <c r="AB8" s="44" t="s">
        <v>35</v>
      </c>
      <c r="AC8" s="44"/>
      <c r="AD8" s="44" t="s">
        <v>37</v>
      </c>
      <c r="AE8" s="44"/>
      <c r="AF8" s="44" t="s">
        <v>38</v>
      </c>
      <c r="AG8" s="36" t="s">
        <v>35</v>
      </c>
      <c r="AH8" s="36" t="s">
        <v>39</v>
      </c>
      <c r="AI8" s="36"/>
      <c r="AJ8" s="36" t="s">
        <v>40</v>
      </c>
      <c r="AK8" s="24"/>
      <c r="AL8" s="36" t="s">
        <v>35</v>
      </c>
      <c r="AM8" s="36"/>
      <c r="AN8" s="36" t="s">
        <v>32</v>
      </c>
      <c r="AO8" s="67" t="s">
        <v>32</v>
      </c>
      <c r="AP8" s="36" t="s">
        <v>32</v>
      </c>
      <c r="AQ8" s="48"/>
      <c r="AR8" s="48" t="s">
        <v>35</v>
      </c>
      <c r="AS8" s="48"/>
      <c r="AT8" s="48" t="s">
        <v>37</v>
      </c>
      <c r="AU8" s="48"/>
      <c r="AV8" s="48" t="s">
        <v>38</v>
      </c>
      <c r="AW8" s="44"/>
      <c r="AX8" s="49" t="s">
        <v>35</v>
      </c>
      <c r="AY8" s="44"/>
      <c r="AZ8" s="36" t="s">
        <v>2</v>
      </c>
      <c r="BA8" s="36" t="s">
        <v>40</v>
      </c>
      <c r="BB8" s="44" t="s">
        <v>2</v>
      </c>
      <c r="BC8" s="56"/>
      <c r="BD8" s="50" t="s">
        <v>41</v>
      </c>
      <c r="BE8" s="68"/>
      <c r="BF8" s="68"/>
      <c r="BG8" s="68"/>
      <c r="BH8" s="69"/>
    </row>
    <row r="9" spans="1:61" ht="15">
      <c r="A9" s="58"/>
      <c r="B9" s="58"/>
      <c r="C9" s="58"/>
      <c r="D9" s="64"/>
      <c r="E9" s="64"/>
      <c r="F9" s="64"/>
      <c r="G9" s="70"/>
      <c r="H9" s="60"/>
      <c r="J9" s="71"/>
      <c r="AK9" s="24"/>
      <c r="AZ9" s="34"/>
      <c r="BB9" s="34"/>
      <c r="BC9" s="56"/>
      <c r="BH9" s="72">
        <v>2</v>
      </c>
    </row>
    <row r="10" spans="1:61" ht="20.100000000000001" customHeight="1" outlineLevel="1">
      <c r="A10" s="75" t="s">
        <v>746</v>
      </c>
      <c r="B10" s="77"/>
      <c r="C10" s="77"/>
      <c r="D10" s="90"/>
      <c r="E10" s="90"/>
      <c r="F10" s="3"/>
      <c r="H10" s="87"/>
      <c r="L10" s="44"/>
      <c r="M10" s="168"/>
      <c r="N10" s="168"/>
      <c r="O10" s="168"/>
      <c r="P10" s="168"/>
      <c r="Q10" s="168"/>
      <c r="R10" s="168"/>
      <c r="S10" s="168"/>
      <c r="T10" s="168"/>
      <c r="U10" s="168"/>
      <c r="V10" s="168"/>
      <c r="W10" s="168"/>
      <c r="X10" s="168"/>
      <c r="Y10" s="168"/>
      <c r="Z10" s="168"/>
      <c r="AA10" s="168"/>
      <c r="AB10" s="168"/>
      <c r="AC10" s="168"/>
      <c r="AD10" s="168"/>
      <c r="AE10" s="168"/>
      <c r="AF10" s="168"/>
      <c r="AG10" s="168"/>
      <c r="AH10" s="168"/>
      <c r="AI10" s="168"/>
      <c r="AJ10" s="168"/>
      <c r="AK10" s="85"/>
      <c r="AL10" s="168"/>
      <c r="AM10" s="168"/>
      <c r="AN10" s="39"/>
      <c r="AO10" s="39"/>
      <c r="AP10" s="39"/>
      <c r="AQ10" s="168"/>
      <c r="AR10" s="168"/>
      <c r="AS10" s="168"/>
      <c r="AT10" s="168"/>
      <c r="AU10" s="168"/>
      <c r="AV10" s="168"/>
      <c r="AW10" s="168"/>
      <c r="AX10" s="168"/>
      <c r="AY10" s="168"/>
      <c r="AZ10" s="83"/>
      <c r="BA10" s="168"/>
      <c r="BB10" s="83"/>
      <c r="BC10" s="56"/>
      <c r="BD10" s="168"/>
      <c r="BE10" s="168"/>
      <c r="BF10" s="168"/>
      <c r="BG10" s="168"/>
    </row>
    <row r="11" spans="1:61" ht="20.100000000000001" customHeight="1" outlineLevel="1">
      <c r="A11" s="77" t="s">
        <v>43</v>
      </c>
      <c r="B11" s="77" t="s">
        <v>137</v>
      </c>
      <c r="C11" s="77" t="s">
        <v>1109</v>
      </c>
      <c r="D11" s="78" t="s">
        <v>46</v>
      </c>
      <c r="E11" s="78" t="str">
        <f t="shared" ref="E11:E25" si="0">+D11</f>
        <v>000</v>
      </c>
      <c r="F11" s="3">
        <v>653021</v>
      </c>
      <c r="G11" s="80" t="s">
        <v>747</v>
      </c>
      <c r="H11" s="87"/>
      <c r="I11" s="105">
        <v>0</v>
      </c>
      <c r="J11" s="105">
        <v>0</v>
      </c>
      <c r="L11" s="83">
        <v>0</v>
      </c>
      <c r="M11" s="83"/>
      <c r="N11" s="83">
        <v>2000</v>
      </c>
      <c r="O11" s="83"/>
      <c r="P11" s="83">
        <v>2000</v>
      </c>
      <c r="Q11" s="83"/>
      <c r="R11" s="83">
        <v>2000</v>
      </c>
      <c r="S11" s="83"/>
      <c r="T11" s="83">
        <v>0</v>
      </c>
      <c r="U11" s="83"/>
      <c r="V11" s="83">
        <v>2000</v>
      </c>
      <c r="W11" s="83"/>
      <c r="X11" s="83">
        <v>0</v>
      </c>
      <c r="Y11" s="83"/>
      <c r="Z11" s="83">
        <v>2000</v>
      </c>
      <c r="AA11" s="83"/>
      <c r="AB11" s="83">
        <v>0</v>
      </c>
      <c r="AC11" s="83"/>
      <c r="AD11" s="83">
        <v>0</v>
      </c>
      <c r="AE11" s="83"/>
      <c r="AF11" s="84">
        <f t="shared" ref="AF11:AF44" si="1">SUM(Z11:AE11)</f>
        <v>2000</v>
      </c>
      <c r="AG11" s="83">
        <v>0</v>
      </c>
      <c r="AH11" s="83">
        <v>0</v>
      </c>
      <c r="AI11" s="83"/>
      <c r="AJ11" s="84">
        <f t="shared" ref="AJ11:AJ44" si="2">SUM(AE11:AI11)</f>
        <v>2000</v>
      </c>
      <c r="AK11" s="85"/>
      <c r="AL11" s="83">
        <v>0</v>
      </c>
      <c r="AM11" s="83"/>
      <c r="AN11" s="86">
        <v>0</v>
      </c>
      <c r="AO11" s="86">
        <v>0</v>
      </c>
      <c r="AP11" s="86">
        <v>54.6</v>
      </c>
      <c r="AQ11" s="83"/>
      <c r="AR11" s="83">
        <v>0</v>
      </c>
      <c r="AS11" s="83"/>
      <c r="AT11" s="83">
        <v>0</v>
      </c>
      <c r="AU11" s="83"/>
      <c r="AV11" s="84">
        <f t="shared" ref="AV11:AV44" si="3">SUM(AP11:AU11)</f>
        <v>54.6</v>
      </c>
      <c r="AW11" s="84"/>
      <c r="AX11" s="84">
        <v>0</v>
      </c>
      <c r="AY11" s="84"/>
      <c r="AZ11" s="86">
        <v>0</v>
      </c>
      <c r="BA11" s="84">
        <v>0</v>
      </c>
      <c r="BB11" s="214"/>
      <c r="BC11" s="56"/>
      <c r="BD11" s="84">
        <f t="shared" ref="BD11:BD44" si="4">+AP11-AN11</f>
        <v>54.6</v>
      </c>
      <c r="BE11" s="84"/>
      <c r="BF11" s="84"/>
      <c r="BG11" s="84"/>
      <c r="BH11" s="72"/>
    </row>
    <row r="12" spans="1:61" ht="20.100000000000001" customHeight="1" outlineLevel="1">
      <c r="A12" s="77" t="s">
        <v>43</v>
      </c>
      <c r="B12" s="77" t="s">
        <v>158</v>
      </c>
      <c r="C12" s="77" t="s">
        <v>1109</v>
      </c>
      <c r="D12" s="78" t="s">
        <v>46</v>
      </c>
      <c r="E12" s="78" t="str">
        <f t="shared" si="0"/>
        <v>000</v>
      </c>
      <c r="F12" s="3">
        <v>643012</v>
      </c>
      <c r="G12" s="80" t="s">
        <v>1132</v>
      </c>
      <c r="H12" s="87"/>
      <c r="I12" s="105"/>
      <c r="J12" s="105"/>
      <c r="L12" s="56">
        <v>0</v>
      </c>
      <c r="M12" s="56"/>
      <c r="N12" s="56"/>
      <c r="O12" s="83"/>
      <c r="P12" s="56"/>
      <c r="Q12" s="83"/>
      <c r="R12" s="56"/>
      <c r="S12" s="83"/>
      <c r="T12" s="56"/>
      <c r="U12" s="83"/>
      <c r="V12" s="56"/>
      <c r="W12" s="83"/>
      <c r="X12" s="56">
        <v>0</v>
      </c>
      <c r="Y12" s="83"/>
      <c r="Z12" s="56"/>
      <c r="AA12" s="83"/>
      <c r="AB12" s="56"/>
      <c r="AC12" s="83"/>
      <c r="AD12" s="56"/>
      <c r="AE12" s="83"/>
      <c r="AF12" s="56"/>
      <c r="AG12" s="56"/>
      <c r="AH12" s="56"/>
      <c r="AI12" s="83"/>
      <c r="AJ12" s="56"/>
      <c r="AK12" s="85"/>
      <c r="AL12" s="56"/>
      <c r="AM12" s="83"/>
      <c r="AN12" s="88">
        <v>0</v>
      </c>
      <c r="AO12" s="88"/>
      <c r="AP12" s="88">
        <v>618.75</v>
      </c>
      <c r="AQ12" s="83"/>
      <c r="AR12" s="56"/>
      <c r="AS12" s="83"/>
      <c r="AT12" s="56"/>
      <c r="AU12" s="83"/>
      <c r="AV12" s="56"/>
      <c r="AW12" s="56"/>
      <c r="AX12" s="56"/>
      <c r="AY12" s="56"/>
      <c r="AZ12" s="88">
        <v>0</v>
      </c>
      <c r="BA12" s="56">
        <v>0</v>
      </c>
      <c r="BB12" s="214"/>
      <c r="BC12" s="56"/>
      <c r="BD12" s="84"/>
      <c r="BE12" s="84"/>
      <c r="BF12" s="84"/>
      <c r="BG12" s="84"/>
      <c r="BH12" s="72"/>
    </row>
    <row r="13" spans="1:61" ht="20.100000000000001" customHeight="1" outlineLevel="1">
      <c r="A13" s="77" t="s">
        <v>43</v>
      </c>
      <c r="B13" s="77" t="s">
        <v>158</v>
      </c>
      <c r="C13" s="77" t="s">
        <v>1109</v>
      </c>
      <c r="D13" s="78" t="s">
        <v>46</v>
      </c>
      <c r="E13" s="78" t="str">
        <f t="shared" si="0"/>
        <v>000</v>
      </c>
      <c r="F13" s="3">
        <v>661077</v>
      </c>
      <c r="G13" s="80" t="s">
        <v>748</v>
      </c>
      <c r="H13" s="87"/>
      <c r="I13" s="105">
        <v>0</v>
      </c>
      <c r="J13" s="105">
        <v>0</v>
      </c>
      <c r="L13" s="56">
        <v>19244</v>
      </c>
      <c r="M13" s="56"/>
      <c r="N13" s="56">
        <v>0</v>
      </c>
      <c r="O13" s="83"/>
      <c r="P13" s="56">
        <v>0</v>
      </c>
      <c r="Q13" s="83"/>
      <c r="R13" s="56">
        <v>7000</v>
      </c>
      <c r="S13" s="83"/>
      <c r="T13" s="56">
        <v>0</v>
      </c>
      <c r="U13" s="83"/>
      <c r="V13" s="56">
        <v>7000</v>
      </c>
      <c r="W13" s="83"/>
      <c r="X13" s="56">
        <f>10256.5+9397.97</f>
        <v>19654.47</v>
      </c>
      <c r="Y13" s="83"/>
      <c r="Z13" s="56">
        <v>7000</v>
      </c>
      <c r="AA13" s="83"/>
      <c r="AB13" s="56">
        <v>0</v>
      </c>
      <c r="AC13" s="83"/>
      <c r="AD13" s="56">
        <v>0</v>
      </c>
      <c r="AE13" s="83"/>
      <c r="AF13" s="56">
        <f t="shared" ref="AF13:AF25" si="5">SUM(Z13:AE13)</f>
        <v>7000</v>
      </c>
      <c r="AG13" s="56">
        <v>0</v>
      </c>
      <c r="AH13" s="56">
        <v>0</v>
      </c>
      <c r="AI13" s="83"/>
      <c r="AJ13" s="56">
        <f t="shared" ref="AJ13:AJ25" si="6">SUM(AE13:AI13)</f>
        <v>7000</v>
      </c>
      <c r="AK13" s="85"/>
      <c r="AL13" s="56">
        <v>0</v>
      </c>
      <c r="AM13" s="83"/>
      <c r="AN13" s="88">
        <v>15525</v>
      </c>
      <c r="AO13" s="88">
        <v>0</v>
      </c>
      <c r="AP13" s="88">
        <v>15850.2</v>
      </c>
      <c r="AQ13" s="83"/>
      <c r="AR13" s="56">
        <v>0</v>
      </c>
      <c r="AS13" s="83"/>
      <c r="AT13" s="56">
        <v>0</v>
      </c>
      <c r="AU13" s="83"/>
      <c r="AV13" s="56">
        <f t="shared" ref="AV13:AV25" si="7">SUM(AP13:AU13)</f>
        <v>15850.2</v>
      </c>
      <c r="AW13" s="56"/>
      <c r="AX13" s="56">
        <v>0</v>
      </c>
      <c r="AY13" s="56"/>
      <c r="AZ13" s="88">
        <v>10000</v>
      </c>
      <c r="BA13" s="56">
        <v>10000</v>
      </c>
      <c r="BB13" s="214"/>
      <c r="BC13" s="56"/>
      <c r="BD13" s="84">
        <f t="shared" ref="BD13:BD25" si="8">+AP13-AN13</f>
        <v>325.20000000000073</v>
      </c>
      <c r="BE13" s="56"/>
      <c r="BF13" s="56"/>
      <c r="BG13" s="56"/>
      <c r="BH13" s="72"/>
    </row>
    <row r="14" spans="1:61" ht="20.100000000000001" customHeight="1" outlineLevel="1">
      <c r="A14" s="77" t="s">
        <v>43</v>
      </c>
      <c r="B14" s="77" t="s">
        <v>158</v>
      </c>
      <c r="C14" s="77" t="s">
        <v>1109</v>
      </c>
      <c r="D14" s="78" t="s">
        <v>46</v>
      </c>
      <c r="E14" s="78" t="str">
        <f t="shared" si="0"/>
        <v>000</v>
      </c>
      <c r="F14" s="3">
        <v>661163</v>
      </c>
      <c r="G14" s="80" t="s">
        <v>749</v>
      </c>
      <c r="H14" s="87"/>
      <c r="I14" s="87">
        <v>0</v>
      </c>
      <c r="J14" s="87">
        <v>0</v>
      </c>
      <c r="L14" s="56">
        <v>31</v>
      </c>
      <c r="M14" s="56"/>
      <c r="N14" s="56">
        <v>0</v>
      </c>
      <c r="O14" s="56"/>
      <c r="P14" s="56">
        <v>0</v>
      </c>
      <c r="Q14" s="56"/>
      <c r="R14" s="56">
        <v>0</v>
      </c>
      <c r="S14" s="56"/>
      <c r="T14" s="56">
        <v>0</v>
      </c>
      <c r="U14" s="56"/>
      <c r="V14" s="56">
        <v>0</v>
      </c>
      <c r="W14" s="56"/>
      <c r="X14" s="56">
        <v>545.5</v>
      </c>
      <c r="Y14" s="56"/>
      <c r="Z14" s="56">
        <v>0</v>
      </c>
      <c r="AA14" s="56"/>
      <c r="AB14" s="56">
        <v>0</v>
      </c>
      <c r="AC14" s="56"/>
      <c r="AD14" s="56">
        <v>0</v>
      </c>
      <c r="AE14" s="56"/>
      <c r="AF14" s="56">
        <f t="shared" si="5"/>
        <v>0</v>
      </c>
      <c r="AG14" s="56">
        <v>0</v>
      </c>
      <c r="AH14" s="56">
        <v>0</v>
      </c>
      <c r="AI14" s="56"/>
      <c r="AJ14" s="56">
        <f t="shared" si="6"/>
        <v>0</v>
      </c>
      <c r="AK14" s="85"/>
      <c r="AL14" s="56">
        <v>0</v>
      </c>
      <c r="AM14" s="56"/>
      <c r="AN14" s="88">
        <f>SUM(AI14:AM14)</f>
        <v>0</v>
      </c>
      <c r="AO14" s="88">
        <v>0</v>
      </c>
      <c r="AP14" s="88">
        <v>0</v>
      </c>
      <c r="AQ14" s="56"/>
      <c r="AR14" s="56">
        <v>0</v>
      </c>
      <c r="AS14" s="56"/>
      <c r="AT14" s="56">
        <v>0</v>
      </c>
      <c r="AU14" s="56"/>
      <c r="AV14" s="56">
        <f t="shared" si="7"/>
        <v>0</v>
      </c>
      <c r="AW14" s="56"/>
      <c r="AX14" s="56">
        <v>0</v>
      </c>
      <c r="AY14" s="56"/>
      <c r="AZ14" s="88">
        <v>0</v>
      </c>
      <c r="BA14" s="56">
        <v>0</v>
      </c>
      <c r="BB14" s="214"/>
      <c r="BC14" s="56"/>
      <c r="BD14" s="84">
        <f t="shared" si="8"/>
        <v>0</v>
      </c>
      <c r="BE14" s="56"/>
      <c r="BF14" s="56"/>
      <c r="BG14" s="56"/>
      <c r="BH14" s="72"/>
    </row>
    <row r="15" spans="1:61" ht="20.100000000000001" customHeight="1" outlineLevel="1">
      <c r="A15" s="77" t="s">
        <v>43</v>
      </c>
      <c r="B15" s="77" t="s">
        <v>158</v>
      </c>
      <c r="C15" s="77" t="s">
        <v>1109</v>
      </c>
      <c r="D15" s="78" t="s">
        <v>46</v>
      </c>
      <c r="E15" s="78" t="str">
        <f t="shared" si="0"/>
        <v>000</v>
      </c>
      <c r="F15" s="3">
        <v>661175</v>
      </c>
      <c r="G15" s="80" t="s">
        <v>750</v>
      </c>
      <c r="H15" s="87"/>
      <c r="I15" s="87">
        <v>0</v>
      </c>
      <c r="J15" s="87">
        <v>0</v>
      </c>
      <c r="L15" s="56">
        <v>0</v>
      </c>
      <c r="M15" s="56"/>
      <c r="N15" s="56">
        <v>200</v>
      </c>
      <c r="O15" s="56"/>
      <c r="P15" s="56">
        <v>200</v>
      </c>
      <c r="Q15" s="56"/>
      <c r="R15" s="56">
        <v>200</v>
      </c>
      <c r="S15" s="56"/>
      <c r="T15" s="56">
        <v>0</v>
      </c>
      <c r="U15" s="56"/>
      <c r="V15" s="56">
        <v>200</v>
      </c>
      <c r="W15" s="56"/>
      <c r="X15" s="56">
        <v>0</v>
      </c>
      <c r="Y15" s="56"/>
      <c r="Z15" s="56">
        <v>200</v>
      </c>
      <c r="AA15" s="56"/>
      <c r="AB15" s="56">
        <v>0</v>
      </c>
      <c r="AC15" s="56"/>
      <c r="AD15" s="56">
        <v>0</v>
      </c>
      <c r="AE15" s="56"/>
      <c r="AF15" s="56">
        <f t="shared" si="5"/>
        <v>200</v>
      </c>
      <c r="AG15" s="56">
        <v>0</v>
      </c>
      <c r="AH15" s="56">
        <v>0</v>
      </c>
      <c r="AI15" s="56"/>
      <c r="AJ15" s="56">
        <f t="shared" si="6"/>
        <v>200</v>
      </c>
      <c r="AK15" s="85"/>
      <c r="AL15" s="56">
        <v>0</v>
      </c>
      <c r="AM15" s="56"/>
      <c r="AN15" s="88">
        <v>0</v>
      </c>
      <c r="AO15" s="88">
        <v>0</v>
      </c>
      <c r="AP15" s="88">
        <v>0</v>
      </c>
      <c r="AQ15" s="56"/>
      <c r="AR15" s="56">
        <v>0</v>
      </c>
      <c r="AS15" s="56"/>
      <c r="AT15" s="56">
        <v>0</v>
      </c>
      <c r="AU15" s="56"/>
      <c r="AV15" s="56">
        <f t="shared" si="7"/>
        <v>0</v>
      </c>
      <c r="AW15" s="56"/>
      <c r="AX15" s="56">
        <v>0</v>
      </c>
      <c r="AY15" s="56"/>
      <c r="AZ15" s="88">
        <v>0</v>
      </c>
      <c r="BA15" s="56">
        <v>0</v>
      </c>
      <c r="BB15" s="214"/>
      <c r="BC15" s="56"/>
      <c r="BD15" s="84">
        <f t="shared" si="8"/>
        <v>0</v>
      </c>
      <c r="BE15" s="56"/>
      <c r="BF15" s="56"/>
      <c r="BG15" s="56"/>
      <c r="BH15" s="72"/>
    </row>
    <row r="16" spans="1:61" ht="20.100000000000001" customHeight="1" outlineLevel="1">
      <c r="A16" s="77" t="s">
        <v>43</v>
      </c>
      <c r="B16" s="77" t="s">
        <v>158</v>
      </c>
      <c r="C16" s="77" t="s">
        <v>1109</v>
      </c>
      <c r="D16" s="78" t="s">
        <v>46</v>
      </c>
      <c r="E16" s="78" t="str">
        <f t="shared" si="0"/>
        <v>000</v>
      </c>
      <c r="F16" s="3">
        <v>662611</v>
      </c>
      <c r="G16" s="80" t="s">
        <v>751</v>
      </c>
      <c r="H16" s="87"/>
      <c r="I16" s="87">
        <v>0</v>
      </c>
      <c r="J16" s="87"/>
      <c r="L16" s="56">
        <v>0</v>
      </c>
      <c r="M16" s="56"/>
      <c r="N16" s="56"/>
      <c r="O16" s="56"/>
      <c r="P16" s="56"/>
      <c r="Q16" s="56"/>
      <c r="R16" s="56"/>
      <c r="S16" s="56"/>
      <c r="T16" s="56"/>
      <c r="U16" s="56"/>
      <c r="V16" s="56">
        <v>0</v>
      </c>
      <c r="W16" s="56"/>
      <c r="X16" s="56">
        <v>0</v>
      </c>
      <c r="Y16" s="56"/>
      <c r="Z16" s="56">
        <v>100</v>
      </c>
      <c r="AA16" s="56"/>
      <c r="AB16" s="56">
        <v>0</v>
      </c>
      <c r="AC16" s="56"/>
      <c r="AD16" s="56">
        <v>0</v>
      </c>
      <c r="AE16" s="56"/>
      <c r="AF16" s="56">
        <f t="shared" si="5"/>
        <v>100</v>
      </c>
      <c r="AG16" s="56">
        <v>0</v>
      </c>
      <c r="AH16" s="56">
        <v>0</v>
      </c>
      <c r="AI16" s="56"/>
      <c r="AJ16" s="56">
        <f t="shared" si="6"/>
        <v>100</v>
      </c>
      <c r="AK16" s="85"/>
      <c r="AL16" s="56">
        <v>0</v>
      </c>
      <c r="AM16" s="56"/>
      <c r="AN16" s="88">
        <v>0</v>
      </c>
      <c r="AO16" s="88">
        <v>0</v>
      </c>
      <c r="AP16" s="88">
        <v>0</v>
      </c>
      <c r="AQ16" s="56"/>
      <c r="AR16" s="56">
        <v>0</v>
      </c>
      <c r="AS16" s="56"/>
      <c r="AT16" s="56">
        <v>0</v>
      </c>
      <c r="AU16" s="56"/>
      <c r="AV16" s="56">
        <f t="shared" si="7"/>
        <v>0</v>
      </c>
      <c r="AW16" s="56"/>
      <c r="AX16" s="56">
        <v>0</v>
      </c>
      <c r="AY16" s="56"/>
      <c r="AZ16" s="88">
        <v>0</v>
      </c>
      <c r="BA16" s="56">
        <v>0</v>
      </c>
      <c r="BB16" s="214"/>
      <c r="BC16" s="56"/>
      <c r="BD16" s="84">
        <f t="shared" si="8"/>
        <v>0</v>
      </c>
      <c r="BE16" s="56"/>
      <c r="BF16" s="56"/>
      <c r="BG16" s="56"/>
      <c r="BH16" s="72"/>
    </row>
    <row r="17" spans="1:62" ht="20.100000000000001" customHeight="1" outlineLevel="1">
      <c r="A17" s="77" t="s">
        <v>43</v>
      </c>
      <c r="B17" s="77" t="s">
        <v>158</v>
      </c>
      <c r="C17" s="77" t="s">
        <v>1109</v>
      </c>
      <c r="D17" s="78" t="s">
        <v>46</v>
      </c>
      <c r="E17" s="78" t="str">
        <f t="shared" si="0"/>
        <v>000</v>
      </c>
      <c r="F17" s="3">
        <v>673011</v>
      </c>
      <c r="G17" s="80" t="s">
        <v>752</v>
      </c>
      <c r="H17" s="87"/>
      <c r="I17" s="87">
        <v>0</v>
      </c>
      <c r="J17" s="87">
        <v>0</v>
      </c>
      <c r="L17" s="56">
        <v>0</v>
      </c>
      <c r="M17" s="56"/>
      <c r="N17" s="56">
        <v>0</v>
      </c>
      <c r="O17" s="56"/>
      <c r="P17" s="56">
        <v>0</v>
      </c>
      <c r="Q17" s="56"/>
      <c r="R17" s="56">
        <v>0</v>
      </c>
      <c r="S17" s="56"/>
      <c r="T17" s="56">
        <v>0</v>
      </c>
      <c r="U17" s="56"/>
      <c r="V17" s="56">
        <v>0</v>
      </c>
      <c r="W17" s="56"/>
      <c r="X17" s="56">
        <v>0</v>
      </c>
      <c r="Y17" s="56"/>
      <c r="Z17" s="56">
        <v>8000</v>
      </c>
      <c r="AA17" s="56"/>
      <c r="AB17" s="56">
        <v>0</v>
      </c>
      <c r="AC17" s="56"/>
      <c r="AD17" s="56">
        <v>0</v>
      </c>
      <c r="AE17" s="56"/>
      <c r="AF17" s="56">
        <f t="shared" si="5"/>
        <v>8000</v>
      </c>
      <c r="AG17" s="56">
        <v>0</v>
      </c>
      <c r="AH17" s="56">
        <v>0</v>
      </c>
      <c r="AI17" s="56"/>
      <c r="AJ17" s="56">
        <f t="shared" si="6"/>
        <v>8000</v>
      </c>
      <c r="AK17" s="85"/>
      <c r="AL17" s="56">
        <v>0</v>
      </c>
      <c r="AM17" s="56"/>
      <c r="AN17" s="88">
        <v>0</v>
      </c>
      <c r="AO17" s="88">
        <v>0</v>
      </c>
      <c r="AP17" s="88">
        <v>0</v>
      </c>
      <c r="AQ17" s="56"/>
      <c r="AR17" s="56">
        <v>0</v>
      </c>
      <c r="AS17" s="56"/>
      <c r="AT17" s="56">
        <v>0</v>
      </c>
      <c r="AU17" s="56"/>
      <c r="AV17" s="56">
        <f t="shared" si="7"/>
        <v>0</v>
      </c>
      <c r="AW17" s="56"/>
      <c r="AX17" s="56">
        <v>0</v>
      </c>
      <c r="AY17" s="56"/>
      <c r="AZ17" s="88">
        <v>8000</v>
      </c>
      <c r="BA17" s="56">
        <v>8000</v>
      </c>
      <c r="BB17" s="214"/>
      <c r="BC17" s="56"/>
      <c r="BD17" s="84">
        <f t="shared" si="8"/>
        <v>0</v>
      </c>
      <c r="BE17" s="56"/>
      <c r="BF17" s="56"/>
      <c r="BG17" s="56"/>
      <c r="BH17" s="72"/>
    </row>
    <row r="18" spans="1:62" ht="20.100000000000001" customHeight="1" outlineLevel="1">
      <c r="A18" s="77" t="s">
        <v>43</v>
      </c>
      <c r="B18" s="77" t="s">
        <v>160</v>
      </c>
      <c r="C18" s="77" t="s">
        <v>1109</v>
      </c>
      <c r="D18" s="78" t="s">
        <v>46</v>
      </c>
      <c r="E18" s="78" t="str">
        <f t="shared" si="0"/>
        <v>000</v>
      </c>
      <c r="F18" s="3">
        <v>643003</v>
      </c>
      <c r="G18" s="80" t="s">
        <v>753</v>
      </c>
      <c r="H18" s="87"/>
      <c r="I18" s="87">
        <v>0</v>
      </c>
      <c r="J18" s="87"/>
      <c r="L18" s="56">
        <v>0</v>
      </c>
      <c r="M18" s="56"/>
      <c r="N18" s="56"/>
      <c r="O18" s="56"/>
      <c r="P18" s="56"/>
      <c r="Q18" s="56"/>
      <c r="R18" s="56"/>
      <c r="S18" s="56"/>
      <c r="T18" s="56"/>
      <c r="U18" s="56"/>
      <c r="V18" s="56">
        <v>0</v>
      </c>
      <c r="W18" s="56"/>
      <c r="X18" s="56">
        <f>784.54+10</f>
        <v>794.54</v>
      </c>
      <c r="Y18" s="56"/>
      <c r="Z18" s="56">
        <v>1000</v>
      </c>
      <c r="AA18" s="56"/>
      <c r="AB18" s="56">
        <v>0</v>
      </c>
      <c r="AC18" s="56"/>
      <c r="AD18" s="56">
        <v>0</v>
      </c>
      <c r="AE18" s="56"/>
      <c r="AF18" s="56">
        <f t="shared" si="5"/>
        <v>1000</v>
      </c>
      <c r="AG18" s="56">
        <v>0</v>
      </c>
      <c r="AH18" s="56">
        <v>0</v>
      </c>
      <c r="AI18" s="56"/>
      <c r="AJ18" s="56">
        <f t="shared" si="6"/>
        <v>1000</v>
      </c>
      <c r="AK18" s="85"/>
      <c r="AL18" s="56">
        <v>0</v>
      </c>
      <c r="AM18" s="56"/>
      <c r="AN18" s="88">
        <v>735</v>
      </c>
      <c r="AO18" s="88">
        <v>0</v>
      </c>
      <c r="AP18" s="88">
        <v>1002.9</v>
      </c>
      <c r="AQ18" s="56"/>
      <c r="AR18" s="56">
        <v>0</v>
      </c>
      <c r="AS18" s="56"/>
      <c r="AT18" s="56">
        <v>0</v>
      </c>
      <c r="AU18" s="56"/>
      <c r="AV18" s="56">
        <f t="shared" si="7"/>
        <v>1002.9</v>
      </c>
      <c r="AW18" s="56"/>
      <c r="AX18" s="56">
        <v>0</v>
      </c>
      <c r="AY18" s="56"/>
      <c r="AZ18" s="88">
        <v>1000</v>
      </c>
      <c r="BA18" s="56">
        <v>1000</v>
      </c>
      <c r="BB18" s="214"/>
      <c r="BC18" s="56"/>
      <c r="BD18" s="84">
        <f t="shared" si="8"/>
        <v>267.89999999999998</v>
      </c>
      <c r="BE18" s="56"/>
      <c r="BF18" s="56"/>
      <c r="BG18" s="56"/>
      <c r="BH18" s="72"/>
    </row>
    <row r="19" spans="1:62" ht="20.100000000000001" customHeight="1" outlineLevel="1">
      <c r="A19" s="77" t="s">
        <v>43</v>
      </c>
      <c r="B19" s="77" t="s">
        <v>160</v>
      </c>
      <c r="C19" s="77" t="s">
        <v>1109</v>
      </c>
      <c r="D19" s="78" t="s">
        <v>46</v>
      </c>
      <c r="E19" s="78" t="str">
        <f t="shared" si="0"/>
        <v>000</v>
      </c>
      <c r="F19" s="79">
        <v>661077</v>
      </c>
      <c r="G19" s="102" t="s">
        <v>754</v>
      </c>
      <c r="H19" s="87"/>
      <c r="I19" s="87">
        <v>134435</v>
      </c>
      <c r="J19" s="87">
        <v>117236</v>
      </c>
      <c r="K19" s="87"/>
      <c r="L19" s="56">
        <v>51120</v>
      </c>
      <c r="M19" s="56"/>
      <c r="N19" s="56">
        <v>133344</v>
      </c>
      <c r="O19" s="56"/>
      <c r="P19" s="56">
        <v>133344</v>
      </c>
      <c r="Q19" s="56"/>
      <c r="R19" s="56">
        <v>123344</v>
      </c>
      <c r="S19" s="56"/>
      <c r="T19" s="56">
        <v>0</v>
      </c>
      <c r="U19" s="56"/>
      <c r="V19" s="56">
        <v>123344</v>
      </c>
      <c r="W19" s="56"/>
      <c r="X19" s="56">
        <f>9728.71+189+1402.9</f>
        <v>11320.609999999999</v>
      </c>
      <c r="Y19" s="56"/>
      <c r="Z19" s="56">
        <v>123000</v>
      </c>
      <c r="AA19" s="56"/>
      <c r="AB19" s="56">
        <v>0</v>
      </c>
      <c r="AC19" s="56"/>
      <c r="AD19" s="56">
        <v>0</v>
      </c>
      <c r="AE19" s="56"/>
      <c r="AF19" s="56">
        <f t="shared" si="5"/>
        <v>123000</v>
      </c>
      <c r="AG19" s="56">
        <v>0</v>
      </c>
      <c r="AH19" s="56">
        <v>0</v>
      </c>
      <c r="AI19" s="56"/>
      <c r="AJ19" s="56">
        <f t="shared" si="6"/>
        <v>123000</v>
      </c>
      <c r="AK19" s="85"/>
      <c r="AL19" s="56">
        <v>0</v>
      </c>
      <c r="AM19" s="56"/>
      <c r="AN19" s="88">
        <v>9904</v>
      </c>
      <c r="AO19" s="88">
        <v>0</v>
      </c>
      <c r="AP19" s="88">
        <v>11694.85</v>
      </c>
      <c r="AQ19" s="56"/>
      <c r="AR19" s="56">
        <v>0</v>
      </c>
      <c r="AS19" s="56"/>
      <c r="AT19" s="56">
        <v>0</v>
      </c>
      <c r="AU19" s="56"/>
      <c r="AV19" s="56">
        <f t="shared" si="7"/>
        <v>11694.85</v>
      </c>
      <c r="AW19" s="56"/>
      <c r="AX19" s="56">
        <v>0</v>
      </c>
      <c r="AY19" s="56"/>
      <c r="AZ19" s="88">
        <v>75000</v>
      </c>
      <c r="BA19" s="56">
        <v>75000</v>
      </c>
      <c r="BB19" s="214"/>
      <c r="BC19" s="56"/>
      <c r="BD19" s="84">
        <f t="shared" si="8"/>
        <v>1790.8500000000004</v>
      </c>
      <c r="BE19" s="56"/>
      <c r="BF19" s="56"/>
      <c r="BG19" s="56"/>
      <c r="BH19" s="72"/>
    </row>
    <row r="20" spans="1:62" ht="20.100000000000001" customHeight="1" outlineLevel="1">
      <c r="A20" s="77" t="s">
        <v>43</v>
      </c>
      <c r="B20" s="77" t="s">
        <v>160</v>
      </c>
      <c r="C20" s="77" t="s">
        <v>1109</v>
      </c>
      <c r="D20" s="78" t="s">
        <v>46</v>
      </c>
      <c r="E20" s="78" t="str">
        <f t="shared" si="0"/>
        <v>000</v>
      </c>
      <c r="F20" s="3">
        <v>662611</v>
      </c>
      <c r="G20" s="102" t="s">
        <v>755</v>
      </c>
      <c r="H20" s="87"/>
      <c r="I20" s="13">
        <v>152745</v>
      </c>
      <c r="J20" s="13">
        <v>178656</v>
      </c>
      <c r="L20" s="56">
        <v>143298</v>
      </c>
      <c r="M20" s="56"/>
      <c r="N20" s="56">
        <v>143750</v>
      </c>
      <c r="O20" s="56"/>
      <c r="P20" s="56">
        <v>143750</v>
      </c>
      <c r="Q20" s="56"/>
      <c r="R20" s="56">
        <v>231750</v>
      </c>
      <c r="S20" s="56"/>
      <c r="T20" s="56">
        <v>0</v>
      </c>
      <c r="U20" s="56"/>
      <c r="V20" s="56">
        <v>231750</v>
      </c>
      <c r="W20" s="56"/>
      <c r="X20" s="56">
        <v>223008.56</v>
      </c>
      <c r="Y20" s="56"/>
      <c r="Z20" s="56">
        <v>255000</v>
      </c>
      <c r="AA20" s="56"/>
      <c r="AB20" s="56">
        <v>0</v>
      </c>
      <c r="AC20" s="56"/>
      <c r="AD20" s="56">
        <v>0</v>
      </c>
      <c r="AE20" s="56"/>
      <c r="AF20" s="56">
        <f t="shared" si="5"/>
        <v>255000</v>
      </c>
      <c r="AG20" s="56">
        <v>-255000</v>
      </c>
      <c r="AH20" s="56">
        <v>0</v>
      </c>
      <c r="AI20" s="56"/>
      <c r="AJ20" s="56">
        <f t="shared" si="6"/>
        <v>0</v>
      </c>
      <c r="AK20" s="85"/>
      <c r="AL20" s="56">
        <v>0</v>
      </c>
      <c r="AM20" s="56"/>
      <c r="AN20" s="88">
        <v>1712</v>
      </c>
      <c r="AO20" s="88">
        <v>0</v>
      </c>
      <c r="AP20" s="88">
        <v>0</v>
      </c>
      <c r="AQ20" s="56"/>
      <c r="AR20" s="56">
        <v>0</v>
      </c>
      <c r="AS20" s="56"/>
      <c r="AT20" s="56">
        <v>0</v>
      </c>
      <c r="AU20" s="56"/>
      <c r="AV20" s="56">
        <f t="shared" si="7"/>
        <v>0</v>
      </c>
      <c r="AW20" s="56"/>
      <c r="AX20" s="56">
        <v>0</v>
      </c>
      <c r="AY20" s="56"/>
      <c r="AZ20" s="88">
        <v>0</v>
      </c>
      <c r="BA20" s="56">
        <v>0</v>
      </c>
      <c r="BB20" s="214"/>
      <c r="BC20" s="56"/>
      <c r="BD20" s="84">
        <f t="shared" si="8"/>
        <v>-1712</v>
      </c>
      <c r="BE20" s="56"/>
      <c r="BF20" s="56"/>
      <c r="BG20" s="56"/>
      <c r="BH20" s="72"/>
    </row>
    <row r="21" spans="1:62" ht="20.100000000000001" customHeight="1" outlineLevel="1">
      <c r="A21" s="77" t="s">
        <v>43</v>
      </c>
      <c r="B21" s="77" t="s">
        <v>160</v>
      </c>
      <c r="C21" s="77" t="s">
        <v>1109</v>
      </c>
      <c r="D21" s="78" t="s">
        <v>46</v>
      </c>
      <c r="E21" s="78" t="str">
        <f t="shared" si="0"/>
        <v>000</v>
      </c>
      <c r="F21" s="3">
        <v>661171</v>
      </c>
      <c r="G21" s="102" t="s">
        <v>1135</v>
      </c>
      <c r="H21" s="87"/>
      <c r="I21" s="87">
        <v>0</v>
      </c>
      <c r="J21" s="87">
        <v>0</v>
      </c>
      <c r="L21" s="87">
        <v>0</v>
      </c>
      <c r="M21" s="56"/>
      <c r="N21" s="87">
        <v>0</v>
      </c>
      <c r="O21" s="56"/>
      <c r="P21" s="56"/>
      <c r="Q21" s="56"/>
      <c r="R21" s="56"/>
      <c r="S21" s="56"/>
      <c r="T21" s="56"/>
      <c r="U21" s="56"/>
      <c r="V21" s="56">
        <v>0</v>
      </c>
      <c r="W21" s="56"/>
      <c r="X21" s="56">
        <v>0</v>
      </c>
      <c r="Y21" s="56"/>
      <c r="Z21" s="56">
        <v>500</v>
      </c>
      <c r="AA21" s="56"/>
      <c r="AB21" s="56">
        <v>0</v>
      </c>
      <c r="AC21" s="56"/>
      <c r="AD21" s="56">
        <v>0</v>
      </c>
      <c r="AE21" s="56"/>
      <c r="AF21" s="56">
        <f t="shared" si="5"/>
        <v>500</v>
      </c>
      <c r="AG21" s="56">
        <v>0</v>
      </c>
      <c r="AH21" s="56">
        <v>0</v>
      </c>
      <c r="AI21" s="56"/>
      <c r="AJ21" s="56">
        <f t="shared" si="6"/>
        <v>500</v>
      </c>
      <c r="AK21" s="85"/>
      <c r="AL21" s="56">
        <v>0</v>
      </c>
      <c r="AM21" s="56"/>
      <c r="AN21" s="88">
        <v>2029</v>
      </c>
      <c r="AO21" s="88">
        <v>0</v>
      </c>
      <c r="AP21" s="88">
        <v>2363.4</v>
      </c>
      <c r="AQ21" s="56"/>
      <c r="AR21" s="56">
        <v>0</v>
      </c>
      <c r="AS21" s="56"/>
      <c r="AT21" s="56">
        <v>0</v>
      </c>
      <c r="AU21" s="56"/>
      <c r="AV21" s="56">
        <f t="shared" si="7"/>
        <v>2363.4</v>
      </c>
      <c r="AW21" s="56"/>
      <c r="AX21" s="56">
        <v>0</v>
      </c>
      <c r="AY21" s="56"/>
      <c r="AZ21" s="88">
        <v>2000</v>
      </c>
      <c r="BA21" s="56">
        <v>2000</v>
      </c>
      <c r="BB21" s="214"/>
      <c r="BC21" s="56"/>
      <c r="BD21" s="84">
        <f t="shared" si="8"/>
        <v>334.40000000000009</v>
      </c>
      <c r="BE21" s="56"/>
      <c r="BF21" s="56"/>
      <c r="BG21" s="56"/>
      <c r="BH21" s="72"/>
    </row>
    <row r="22" spans="1:62" ht="20.100000000000001" customHeight="1" outlineLevel="1">
      <c r="A22" s="77" t="s">
        <v>43</v>
      </c>
      <c r="B22" s="77" t="s">
        <v>756</v>
      </c>
      <c r="C22" s="77" t="s">
        <v>1109</v>
      </c>
      <c r="D22" s="78" t="s">
        <v>46</v>
      </c>
      <c r="E22" s="78" t="str">
        <f t="shared" si="0"/>
        <v>000</v>
      </c>
      <c r="F22" s="3">
        <v>643003</v>
      </c>
      <c r="G22" s="102" t="s">
        <v>757</v>
      </c>
      <c r="H22" s="87"/>
      <c r="I22" s="87">
        <v>0</v>
      </c>
      <c r="J22" s="87">
        <v>0</v>
      </c>
      <c r="L22" s="87">
        <v>0</v>
      </c>
      <c r="M22" s="56"/>
      <c r="N22" s="87">
        <v>0</v>
      </c>
      <c r="O22" s="56"/>
      <c r="P22" s="56"/>
      <c r="Q22" s="56"/>
      <c r="R22" s="56"/>
      <c r="S22" s="56"/>
      <c r="T22" s="56"/>
      <c r="U22" s="56"/>
      <c r="V22" s="56">
        <v>0</v>
      </c>
      <c r="W22" s="56"/>
      <c r="X22" s="56">
        <v>6745.69</v>
      </c>
      <c r="Y22" s="56"/>
      <c r="Z22" s="56">
        <v>6000</v>
      </c>
      <c r="AA22" s="56"/>
      <c r="AB22" s="56">
        <v>0</v>
      </c>
      <c r="AC22" s="56"/>
      <c r="AD22" s="56">
        <v>0</v>
      </c>
      <c r="AE22" s="56"/>
      <c r="AF22" s="56">
        <f t="shared" si="5"/>
        <v>6000</v>
      </c>
      <c r="AG22" s="56">
        <v>0</v>
      </c>
      <c r="AH22" s="56">
        <v>0</v>
      </c>
      <c r="AI22" s="56"/>
      <c r="AJ22" s="56">
        <f t="shared" si="6"/>
        <v>6000</v>
      </c>
      <c r="AK22" s="85"/>
      <c r="AL22" s="56">
        <v>0</v>
      </c>
      <c r="AM22" s="56"/>
      <c r="AN22" s="88">
        <v>2478</v>
      </c>
      <c r="AO22" s="88">
        <v>0</v>
      </c>
      <c r="AP22" s="88">
        <v>2756.75</v>
      </c>
      <c r="AQ22" s="56"/>
      <c r="AR22" s="56">
        <v>0</v>
      </c>
      <c r="AS22" s="56"/>
      <c r="AT22" s="56">
        <v>0</v>
      </c>
      <c r="AU22" s="56"/>
      <c r="AV22" s="56">
        <f t="shared" si="7"/>
        <v>2756.75</v>
      </c>
      <c r="AW22" s="56"/>
      <c r="AX22" s="56">
        <v>0</v>
      </c>
      <c r="AY22" s="56"/>
      <c r="AZ22" s="88">
        <v>2000</v>
      </c>
      <c r="BA22" s="56">
        <v>2020</v>
      </c>
      <c r="BB22" s="214"/>
      <c r="BC22" s="56"/>
      <c r="BD22" s="84">
        <f t="shared" si="8"/>
        <v>278.75</v>
      </c>
      <c r="BE22" s="56"/>
      <c r="BF22" s="56"/>
      <c r="BG22" s="56"/>
      <c r="BH22" s="72"/>
    </row>
    <row r="23" spans="1:62" ht="20.100000000000001" customHeight="1" outlineLevel="1">
      <c r="A23" s="77" t="s">
        <v>43</v>
      </c>
      <c r="B23" s="77" t="s">
        <v>756</v>
      </c>
      <c r="C23" s="77" t="s">
        <v>1109</v>
      </c>
      <c r="D23" s="78" t="s">
        <v>46</v>
      </c>
      <c r="E23" s="78" t="str">
        <f t="shared" si="0"/>
        <v>000</v>
      </c>
      <c r="F23" s="3">
        <v>643011</v>
      </c>
      <c r="G23" s="102" t="s">
        <v>758</v>
      </c>
      <c r="H23" s="87"/>
      <c r="I23" s="87">
        <v>0</v>
      </c>
      <c r="J23" s="87">
        <v>0</v>
      </c>
      <c r="L23" s="87">
        <v>0</v>
      </c>
      <c r="M23" s="56"/>
      <c r="N23" s="87">
        <v>0</v>
      </c>
      <c r="O23" s="56"/>
      <c r="P23" s="56"/>
      <c r="Q23" s="56"/>
      <c r="R23" s="56"/>
      <c r="S23" s="56"/>
      <c r="T23" s="56"/>
      <c r="U23" s="56"/>
      <c r="V23" s="56">
        <v>0</v>
      </c>
      <c r="W23" s="56"/>
      <c r="X23" s="56">
        <v>667.69</v>
      </c>
      <c r="Y23" s="56"/>
      <c r="Z23" s="56">
        <v>1000</v>
      </c>
      <c r="AA23" s="56"/>
      <c r="AB23" s="56">
        <v>0</v>
      </c>
      <c r="AC23" s="56"/>
      <c r="AD23" s="56">
        <v>0</v>
      </c>
      <c r="AE23" s="56"/>
      <c r="AF23" s="56">
        <f t="shared" si="5"/>
        <v>1000</v>
      </c>
      <c r="AG23" s="56">
        <v>0</v>
      </c>
      <c r="AH23" s="56">
        <v>0</v>
      </c>
      <c r="AI23" s="56"/>
      <c r="AJ23" s="56">
        <f t="shared" si="6"/>
        <v>1000</v>
      </c>
      <c r="AK23" s="85"/>
      <c r="AL23" s="56">
        <v>0</v>
      </c>
      <c r="AM23" s="56"/>
      <c r="AN23" s="88">
        <v>403</v>
      </c>
      <c r="AO23" s="88">
        <v>0</v>
      </c>
      <c r="AP23" s="88">
        <v>1500</v>
      </c>
      <c r="AQ23" s="56"/>
      <c r="AR23" s="56">
        <v>0</v>
      </c>
      <c r="AS23" s="56"/>
      <c r="AT23" s="56">
        <v>0</v>
      </c>
      <c r="AU23" s="56"/>
      <c r="AV23" s="56">
        <f t="shared" si="7"/>
        <v>1500</v>
      </c>
      <c r="AW23" s="56"/>
      <c r="AX23" s="56">
        <v>0</v>
      </c>
      <c r="AY23" s="56"/>
      <c r="AZ23" s="88">
        <v>1000</v>
      </c>
      <c r="BA23" s="56">
        <v>1000</v>
      </c>
      <c r="BB23" s="214"/>
      <c r="BC23" s="56"/>
      <c r="BD23" s="84">
        <f t="shared" si="8"/>
        <v>1097</v>
      </c>
      <c r="BE23" s="56"/>
      <c r="BF23" s="56"/>
      <c r="BG23" s="56"/>
      <c r="BH23" s="72"/>
    </row>
    <row r="24" spans="1:62" ht="20.100000000000001" customHeight="1" outlineLevel="1">
      <c r="A24" s="77" t="s">
        <v>43</v>
      </c>
      <c r="B24" s="77" t="s">
        <v>756</v>
      </c>
      <c r="C24" s="77" t="s">
        <v>1109</v>
      </c>
      <c r="D24" s="78" t="s">
        <v>46</v>
      </c>
      <c r="E24" s="78" t="str">
        <f t="shared" si="0"/>
        <v>000</v>
      </c>
      <c r="F24" s="3">
        <v>661077</v>
      </c>
      <c r="G24" s="102" t="s">
        <v>760</v>
      </c>
      <c r="H24" s="87"/>
      <c r="I24" s="87">
        <v>0</v>
      </c>
      <c r="J24" s="87">
        <v>0</v>
      </c>
      <c r="L24" s="87">
        <v>0</v>
      </c>
      <c r="M24" s="56"/>
      <c r="N24" s="87">
        <v>0</v>
      </c>
      <c r="O24" s="56"/>
      <c r="P24" s="56">
        <v>0</v>
      </c>
      <c r="Q24" s="56"/>
      <c r="R24" s="56">
        <v>20000</v>
      </c>
      <c r="S24" s="56"/>
      <c r="T24" s="56">
        <v>0</v>
      </c>
      <c r="U24" s="56"/>
      <c r="V24" s="56">
        <v>20000</v>
      </c>
      <c r="W24" s="56"/>
      <c r="X24" s="56">
        <v>31933.61</v>
      </c>
      <c r="Y24" s="56"/>
      <c r="Z24" s="56">
        <v>25000</v>
      </c>
      <c r="AA24" s="56"/>
      <c r="AB24" s="56">
        <v>0</v>
      </c>
      <c r="AC24" s="56"/>
      <c r="AD24" s="56">
        <v>346</v>
      </c>
      <c r="AE24" s="56"/>
      <c r="AF24" s="56">
        <f t="shared" si="5"/>
        <v>25346</v>
      </c>
      <c r="AG24" s="56">
        <v>0</v>
      </c>
      <c r="AH24" s="56">
        <v>0</v>
      </c>
      <c r="AI24" s="56"/>
      <c r="AJ24" s="56">
        <f t="shared" si="6"/>
        <v>25346</v>
      </c>
      <c r="AK24" s="85"/>
      <c r="AL24" s="56">
        <v>0</v>
      </c>
      <c r="AM24" s="56"/>
      <c r="AN24" s="88">
        <v>22212</v>
      </c>
      <c r="AO24" s="88">
        <v>0</v>
      </c>
      <c r="AP24" s="88">
        <v>19791.009999999998</v>
      </c>
      <c r="AQ24" s="56"/>
      <c r="AR24" s="56">
        <v>0</v>
      </c>
      <c r="AS24" s="56"/>
      <c r="AT24" s="56">
        <v>0</v>
      </c>
      <c r="AU24" s="56"/>
      <c r="AV24" s="56">
        <f t="shared" si="7"/>
        <v>19791.009999999998</v>
      </c>
      <c r="AW24" s="56"/>
      <c r="AX24" s="56">
        <v>0</v>
      </c>
      <c r="AY24" s="56"/>
      <c r="AZ24" s="88">
        <v>20000</v>
      </c>
      <c r="BA24" s="56">
        <v>20000</v>
      </c>
      <c r="BB24" s="214"/>
      <c r="BC24" s="56"/>
      <c r="BD24" s="84">
        <f t="shared" si="8"/>
        <v>-2420.9900000000016</v>
      </c>
      <c r="BE24" s="56"/>
      <c r="BF24" s="56"/>
      <c r="BG24" s="56"/>
      <c r="BH24" s="72"/>
    </row>
    <row r="25" spans="1:62" ht="20.100000000000001" customHeight="1" outlineLevel="1">
      <c r="A25" s="77" t="s">
        <v>43</v>
      </c>
      <c r="B25" s="77" t="s">
        <v>756</v>
      </c>
      <c r="C25" s="77" t="s">
        <v>1109</v>
      </c>
      <c r="D25" s="78" t="s">
        <v>46</v>
      </c>
      <c r="E25" s="78" t="str">
        <f t="shared" si="0"/>
        <v>000</v>
      </c>
      <c r="F25" s="3">
        <v>661171</v>
      </c>
      <c r="G25" s="102" t="s">
        <v>759</v>
      </c>
      <c r="H25" s="87"/>
      <c r="I25" s="87">
        <v>0</v>
      </c>
      <c r="J25" s="87">
        <v>0</v>
      </c>
      <c r="L25" s="87">
        <v>0</v>
      </c>
      <c r="M25" s="56"/>
      <c r="N25" s="87">
        <v>0</v>
      </c>
      <c r="O25" s="56"/>
      <c r="P25" s="56"/>
      <c r="Q25" s="56"/>
      <c r="R25" s="56"/>
      <c r="S25" s="56"/>
      <c r="T25" s="56"/>
      <c r="U25" s="56"/>
      <c r="V25" s="56">
        <v>0</v>
      </c>
      <c r="W25" s="56"/>
      <c r="X25" s="56">
        <v>8086.29</v>
      </c>
      <c r="Y25" s="56"/>
      <c r="Z25" s="56">
        <v>6000</v>
      </c>
      <c r="AA25" s="56"/>
      <c r="AB25" s="56">
        <v>0</v>
      </c>
      <c r="AC25" s="56"/>
      <c r="AD25" s="56">
        <v>0</v>
      </c>
      <c r="AE25" s="56"/>
      <c r="AF25" s="56">
        <f t="shared" si="5"/>
        <v>6000</v>
      </c>
      <c r="AG25" s="56">
        <v>0</v>
      </c>
      <c r="AH25" s="56">
        <v>0</v>
      </c>
      <c r="AI25" s="56"/>
      <c r="AJ25" s="56">
        <f t="shared" si="6"/>
        <v>6000</v>
      </c>
      <c r="AK25" s="85"/>
      <c r="AL25" s="56">
        <v>0</v>
      </c>
      <c r="AM25" s="56"/>
      <c r="AN25" s="88">
        <v>7389</v>
      </c>
      <c r="AO25" s="88">
        <v>0</v>
      </c>
      <c r="AP25" s="88">
        <v>8825.26</v>
      </c>
      <c r="AQ25" s="56"/>
      <c r="AR25" s="56">
        <v>0</v>
      </c>
      <c r="AS25" s="56"/>
      <c r="AT25" s="56">
        <v>0</v>
      </c>
      <c r="AU25" s="56"/>
      <c r="AV25" s="56">
        <f t="shared" si="7"/>
        <v>8825.26</v>
      </c>
      <c r="AW25" s="56"/>
      <c r="AX25" s="56">
        <v>0</v>
      </c>
      <c r="AY25" s="56"/>
      <c r="AZ25" s="88">
        <v>5000</v>
      </c>
      <c r="BA25" s="56">
        <v>5528</v>
      </c>
      <c r="BB25" s="214"/>
      <c r="BC25" s="56"/>
      <c r="BD25" s="84">
        <f t="shared" si="8"/>
        <v>1436.2600000000002</v>
      </c>
      <c r="BE25" s="56"/>
      <c r="BF25" s="56"/>
      <c r="BG25" s="56"/>
      <c r="BH25" s="72"/>
    </row>
    <row r="26" spans="1:62" ht="20.100000000000001" customHeight="1" outlineLevel="1">
      <c r="A26" s="77" t="s">
        <v>43</v>
      </c>
      <c r="B26" s="124" t="s">
        <v>761</v>
      </c>
      <c r="C26" s="77" t="s">
        <v>1109</v>
      </c>
      <c r="D26" s="78" t="s">
        <v>46</v>
      </c>
      <c r="E26" s="78" t="str">
        <f t="shared" ref="E26:E59" si="9">+D26</f>
        <v>000</v>
      </c>
      <c r="F26" s="3">
        <v>611116</v>
      </c>
      <c r="G26" s="102" t="s">
        <v>762</v>
      </c>
      <c r="H26" s="87"/>
      <c r="I26" s="87">
        <v>0</v>
      </c>
      <c r="J26" s="169">
        <v>15453</v>
      </c>
      <c r="L26" s="56">
        <v>75766</v>
      </c>
      <c r="M26" s="56"/>
      <c r="N26" s="56">
        <v>81075</v>
      </c>
      <c r="O26" s="56"/>
      <c r="P26" s="56">
        <v>81075</v>
      </c>
      <c r="Q26" s="56"/>
      <c r="R26" s="56">
        <v>82775</v>
      </c>
      <c r="S26" s="56"/>
      <c r="T26" s="56">
        <v>0</v>
      </c>
      <c r="U26" s="56"/>
      <c r="V26" s="56">
        <v>82775</v>
      </c>
      <c r="W26" s="56"/>
      <c r="X26" s="56">
        <v>82775</v>
      </c>
      <c r="Y26" s="56"/>
      <c r="Z26" s="56">
        <v>82639</v>
      </c>
      <c r="AA26" s="56"/>
      <c r="AB26" s="56">
        <v>0</v>
      </c>
      <c r="AC26" s="56"/>
      <c r="AD26" s="56">
        <v>0</v>
      </c>
      <c r="AE26" s="56"/>
      <c r="AF26" s="56">
        <f t="shared" si="1"/>
        <v>82639</v>
      </c>
      <c r="AG26" s="56">
        <v>0</v>
      </c>
      <c r="AH26" s="56">
        <v>1250</v>
      </c>
      <c r="AI26" s="56"/>
      <c r="AJ26" s="56">
        <f t="shared" si="2"/>
        <v>83889</v>
      </c>
      <c r="AK26" s="85"/>
      <c r="AL26" s="56">
        <v>0</v>
      </c>
      <c r="AM26" s="56"/>
      <c r="AN26" s="88">
        <v>83889</v>
      </c>
      <c r="AO26" s="88">
        <v>0</v>
      </c>
      <c r="AP26" s="88">
        <v>82638.960000000006</v>
      </c>
      <c r="AQ26" s="56"/>
      <c r="AR26" s="56">
        <v>0</v>
      </c>
      <c r="AS26" s="56"/>
      <c r="AT26" s="56">
        <v>0</v>
      </c>
      <c r="AU26" s="56"/>
      <c r="AV26" s="56">
        <f t="shared" si="3"/>
        <v>82638.960000000006</v>
      </c>
      <c r="AW26" s="56"/>
      <c r="AX26" s="56">
        <v>0</v>
      </c>
      <c r="AY26" s="56"/>
      <c r="AZ26" s="88">
        <v>82639</v>
      </c>
      <c r="BA26" s="56">
        <v>82639</v>
      </c>
      <c r="BB26" s="214"/>
      <c r="BC26" s="56"/>
      <c r="BD26" s="84">
        <f t="shared" si="4"/>
        <v>-1250.0399999999936</v>
      </c>
      <c r="BE26" s="56"/>
      <c r="BF26" s="56"/>
      <c r="BG26" s="56"/>
      <c r="BH26" s="72">
        <v>1</v>
      </c>
      <c r="BJ26">
        <v>1</v>
      </c>
    </row>
    <row r="27" spans="1:62" ht="20.100000000000001" customHeight="1" outlineLevel="1">
      <c r="A27" s="77" t="s">
        <v>43</v>
      </c>
      <c r="B27" s="124" t="s">
        <v>761</v>
      </c>
      <c r="C27" s="77" t="s">
        <v>1109</v>
      </c>
      <c r="D27" s="78" t="s">
        <v>46</v>
      </c>
      <c r="E27" s="78" t="str">
        <f t="shared" si="9"/>
        <v>000</v>
      </c>
      <c r="F27" s="3">
        <v>611117</v>
      </c>
      <c r="G27" s="102" t="s">
        <v>763</v>
      </c>
      <c r="H27" s="87"/>
      <c r="I27" s="13">
        <v>63520</v>
      </c>
      <c r="J27" s="13">
        <v>64019</v>
      </c>
      <c r="L27" s="56">
        <v>31878</v>
      </c>
      <c r="M27" s="56"/>
      <c r="N27" s="56">
        <v>43941</v>
      </c>
      <c r="O27" s="56"/>
      <c r="P27" s="56">
        <v>43941</v>
      </c>
      <c r="Q27" s="56"/>
      <c r="R27" s="56">
        <v>45641</v>
      </c>
      <c r="S27" s="56"/>
      <c r="T27" s="56">
        <v>0</v>
      </c>
      <c r="U27" s="56"/>
      <c r="V27" s="56">
        <v>45641</v>
      </c>
      <c r="W27" s="56"/>
      <c r="X27" s="56">
        <v>22644.5</v>
      </c>
      <c r="Y27" s="56"/>
      <c r="Z27" s="56">
        <v>84531</v>
      </c>
      <c r="AA27" s="56"/>
      <c r="AB27" s="56">
        <v>0</v>
      </c>
      <c r="AC27" s="56"/>
      <c r="AD27" s="56">
        <v>0</v>
      </c>
      <c r="AE27" s="56"/>
      <c r="AF27" s="56">
        <f t="shared" si="1"/>
        <v>84531</v>
      </c>
      <c r="AG27" s="56">
        <v>0</v>
      </c>
      <c r="AH27" s="56">
        <v>4500</v>
      </c>
      <c r="AI27" s="56"/>
      <c r="AJ27" s="56">
        <f t="shared" si="2"/>
        <v>89031</v>
      </c>
      <c r="AK27" s="85"/>
      <c r="AL27" s="56">
        <v>0</v>
      </c>
      <c r="AM27" s="56"/>
      <c r="AN27" s="88">
        <f>SUM(AI27:AM27)</f>
        <v>89031</v>
      </c>
      <c r="AO27" s="88">
        <v>0</v>
      </c>
      <c r="AP27" s="88">
        <v>11303</v>
      </c>
      <c r="AQ27" s="56"/>
      <c r="AR27" s="56">
        <v>0</v>
      </c>
      <c r="AS27" s="56"/>
      <c r="AT27" s="56">
        <v>0</v>
      </c>
      <c r="AU27" s="56"/>
      <c r="AV27" s="56">
        <f t="shared" si="3"/>
        <v>11303</v>
      </c>
      <c r="AW27" s="56"/>
      <c r="AX27" s="106">
        <v>-77051</v>
      </c>
      <c r="AY27" s="56"/>
      <c r="AZ27" s="88">
        <v>0</v>
      </c>
      <c r="BA27" s="56">
        <v>0</v>
      </c>
      <c r="BB27" s="214"/>
      <c r="BC27" s="56"/>
      <c r="BD27" s="84">
        <f t="shared" si="4"/>
        <v>-77728</v>
      </c>
      <c r="BE27" s="56"/>
      <c r="BF27" s="56"/>
      <c r="BG27" s="56"/>
      <c r="BH27" s="72">
        <v>1</v>
      </c>
      <c r="BJ27">
        <v>1</v>
      </c>
    </row>
    <row r="28" spans="1:62" ht="20.100000000000001" customHeight="1" outlineLevel="1">
      <c r="A28" s="77" t="s">
        <v>43</v>
      </c>
      <c r="B28" s="124" t="s">
        <v>761</v>
      </c>
      <c r="C28" s="77" t="s">
        <v>1109</v>
      </c>
      <c r="D28" s="78" t="s">
        <v>46</v>
      </c>
      <c r="E28" s="78" t="str">
        <f t="shared" si="9"/>
        <v>000</v>
      </c>
      <c r="F28" s="3">
        <v>611411</v>
      </c>
      <c r="G28" s="102" t="s">
        <v>80</v>
      </c>
      <c r="H28" s="87"/>
      <c r="I28" s="13">
        <v>43276</v>
      </c>
      <c r="J28" s="13">
        <v>43152</v>
      </c>
      <c r="L28" s="56">
        <v>75080</v>
      </c>
      <c r="M28" s="56"/>
      <c r="N28" s="56">
        <v>88251</v>
      </c>
      <c r="O28" s="56"/>
      <c r="P28" s="56">
        <v>88251</v>
      </c>
      <c r="Q28" s="56"/>
      <c r="R28" s="56">
        <v>88800</v>
      </c>
      <c r="S28" s="56"/>
      <c r="T28" s="56">
        <v>0</v>
      </c>
      <c r="U28" s="56"/>
      <c r="V28" s="56">
        <v>88800</v>
      </c>
      <c r="W28" s="56"/>
      <c r="X28" s="56">
        <v>93769.97</v>
      </c>
      <c r="Y28" s="56"/>
      <c r="Z28" s="56">
        <v>97618</v>
      </c>
      <c r="AA28" s="56"/>
      <c r="AB28" s="56">
        <v>0</v>
      </c>
      <c r="AC28" s="56"/>
      <c r="AD28" s="56">
        <v>0</v>
      </c>
      <c r="AE28" s="56"/>
      <c r="AF28" s="56">
        <f t="shared" si="1"/>
        <v>97618</v>
      </c>
      <c r="AG28" s="104">
        <v>16750</v>
      </c>
      <c r="AH28" s="56">
        <v>9000</v>
      </c>
      <c r="AI28" s="56"/>
      <c r="AJ28" s="56">
        <f t="shared" si="2"/>
        <v>123368</v>
      </c>
      <c r="AK28" s="85"/>
      <c r="AL28" s="56">
        <v>0</v>
      </c>
      <c r="AM28" s="56"/>
      <c r="AN28" s="88">
        <v>116790</v>
      </c>
      <c r="AO28" s="88">
        <v>0</v>
      </c>
      <c r="AP28" s="88">
        <v>111060.89</v>
      </c>
      <c r="AQ28" s="56"/>
      <c r="AR28" s="56">
        <v>0</v>
      </c>
      <c r="AS28" s="56"/>
      <c r="AT28" s="56">
        <v>0</v>
      </c>
      <c r="AU28" s="56"/>
      <c r="AV28" s="56">
        <f t="shared" si="3"/>
        <v>111060.89</v>
      </c>
      <c r="AW28" s="56"/>
      <c r="AX28" s="106">
        <v>1400</v>
      </c>
      <c r="AY28" s="56"/>
      <c r="AZ28" s="88">
        <v>82772</v>
      </c>
      <c r="BA28" s="56">
        <v>85921</v>
      </c>
      <c r="BB28" s="214"/>
      <c r="BC28" s="56"/>
      <c r="BD28" s="84">
        <f t="shared" si="4"/>
        <v>-5729.1100000000006</v>
      </c>
      <c r="BE28" s="56"/>
      <c r="BF28" s="56"/>
      <c r="BG28" s="56"/>
      <c r="BH28" s="72">
        <v>1</v>
      </c>
      <c r="BJ28">
        <v>1</v>
      </c>
    </row>
    <row r="29" spans="1:62" ht="20.100000000000001" customHeight="1" outlineLevel="1">
      <c r="A29" s="77" t="s">
        <v>43</v>
      </c>
      <c r="B29" s="124" t="s">
        <v>761</v>
      </c>
      <c r="C29" s="77" t="s">
        <v>1109</v>
      </c>
      <c r="D29" s="78" t="s">
        <v>46</v>
      </c>
      <c r="E29" s="78" t="str">
        <f t="shared" si="9"/>
        <v>000</v>
      </c>
      <c r="F29" s="3">
        <v>611931</v>
      </c>
      <c r="G29" s="102" t="s">
        <v>231</v>
      </c>
      <c r="H29" s="87"/>
      <c r="I29" s="87">
        <v>0</v>
      </c>
      <c r="J29" s="87">
        <v>0</v>
      </c>
      <c r="L29" s="56">
        <v>3693</v>
      </c>
      <c r="M29" s="56"/>
      <c r="N29" s="56">
        <v>0</v>
      </c>
      <c r="O29" s="56"/>
      <c r="P29" s="56">
        <v>0</v>
      </c>
      <c r="Q29" s="56"/>
      <c r="R29" s="56">
        <v>0</v>
      </c>
      <c r="S29" s="56"/>
      <c r="T29" s="56">
        <v>0</v>
      </c>
      <c r="U29" s="56"/>
      <c r="V29" s="56">
        <v>0</v>
      </c>
      <c r="W29" s="56"/>
      <c r="X29" s="56">
        <v>41126.32</v>
      </c>
      <c r="Y29" s="56"/>
      <c r="Z29" s="56">
        <v>0</v>
      </c>
      <c r="AA29" s="56"/>
      <c r="AB29" s="56">
        <v>0</v>
      </c>
      <c r="AC29" s="56"/>
      <c r="AD29" s="56">
        <v>0</v>
      </c>
      <c r="AE29" s="56"/>
      <c r="AF29" s="56">
        <f t="shared" si="1"/>
        <v>0</v>
      </c>
      <c r="AG29" s="56">
        <v>0</v>
      </c>
      <c r="AH29" s="56">
        <v>0</v>
      </c>
      <c r="AI29" s="56"/>
      <c r="AJ29" s="56">
        <f t="shared" si="2"/>
        <v>0</v>
      </c>
      <c r="AK29" s="85"/>
      <c r="AL29" s="56">
        <v>0</v>
      </c>
      <c r="AM29" s="56"/>
      <c r="AN29" s="88">
        <v>0</v>
      </c>
      <c r="AO29" s="88">
        <v>0</v>
      </c>
      <c r="AP29" s="88">
        <v>230</v>
      </c>
      <c r="AQ29" s="56"/>
      <c r="AR29" s="56">
        <v>0</v>
      </c>
      <c r="AS29" s="56"/>
      <c r="AT29" s="56">
        <v>0</v>
      </c>
      <c r="AU29" s="56"/>
      <c r="AV29" s="56">
        <f t="shared" si="3"/>
        <v>230</v>
      </c>
      <c r="AW29" s="56"/>
      <c r="AX29" s="106">
        <v>0</v>
      </c>
      <c r="AY29" s="56"/>
      <c r="AZ29" s="88">
        <v>0</v>
      </c>
      <c r="BA29" s="56">
        <v>0</v>
      </c>
      <c r="BB29" s="214"/>
      <c r="BC29" s="56"/>
      <c r="BD29" s="84">
        <f t="shared" si="4"/>
        <v>230</v>
      </c>
      <c r="BE29" s="56"/>
      <c r="BF29" s="56"/>
      <c r="BG29" s="56"/>
      <c r="BH29" s="72">
        <v>1</v>
      </c>
    </row>
    <row r="30" spans="1:62" ht="20.100000000000001" customHeight="1" outlineLevel="1">
      <c r="A30" s="77" t="s">
        <v>43</v>
      </c>
      <c r="B30" s="124" t="s">
        <v>761</v>
      </c>
      <c r="C30" s="77" t="s">
        <v>1109</v>
      </c>
      <c r="D30" s="78" t="s">
        <v>46</v>
      </c>
      <c r="E30" s="78" t="str">
        <f t="shared" si="9"/>
        <v>000</v>
      </c>
      <c r="F30" s="3">
        <v>611955</v>
      </c>
      <c r="G30" s="102" t="s">
        <v>764</v>
      </c>
      <c r="H30" s="87"/>
      <c r="I30" s="13">
        <v>0</v>
      </c>
      <c r="J30" s="13">
        <v>29224</v>
      </c>
      <c r="L30" s="56">
        <v>29269</v>
      </c>
      <c r="M30" s="56"/>
      <c r="N30" s="56">
        <v>0</v>
      </c>
      <c r="O30" s="56"/>
      <c r="P30" s="56">
        <v>0</v>
      </c>
      <c r="Q30" s="56"/>
      <c r="R30" s="56">
        <v>0</v>
      </c>
      <c r="S30" s="56"/>
      <c r="T30" s="56">
        <v>0</v>
      </c>
      <c r="U30" s="56"/>
      <c r="V30" s="56">
        <v>0</v>
      </c>
      <c r="W30" s="56"/>
      <c r="X30" s="56">
        <v>0</v>
      </c>
      <c r="Y30" s="56"/>
      <c r="Z30" s="56">
        <v>5000</v>
      </c>
      <c r="AA30" s="56"/>
      <c r="AB30" s="56">
        <v>0</v>
      </c>
      <c r="AC30" s="56"/>
      <c r="AD30" s="56">
        <v>0</v>
      </c>
      <c r="AE30" s="56"/>
      <c r="AF30" s="56">
        <f t="shared" si="1"/>
        <v>5000</v>
      </c>
      <c r="AG30" s="56">
        <v>0</v>
      </c>
      <c r="AH30" s="56">
        <v>0</v>
      </c>
      <c r="AI30" s="56"/>
      <c r="AJ30" s="56">
        <f t="shared" si="2"/>
        <v>5000</v>
      </c>
      <c r="AK30" s="85"/>
      <c r="AL30" s="56">
        <v>0</v>
      </c>
      <c r="AM30" s="56"/>
      <c r="AN30" s="88">
        <v>6256</v>
      </c>
      <c r="AO30" s="88">
        <v>0</v>
      </c>
      <c r="AP30" s="88">
        <v>86051</v>
      </c>
      <c r="AQ30" s="56"/>
      <c r="AR30" s="56">
        <v>0</v>
      </c>
      <c r="AS30" s="56"/>
      <c r="AT30" s="56">
        <v>0</v>
      </c>
      <c r="AU30" s="56"/>
      <c r="AV30" s="56">
        <f t="shared" si="3"/>
        <v>86051</v>
      </c>
      <c r="AW30" s="56"/>
      <c r="AX30" s="106">
        <v>84051</v>
      </c>
      <c r="AY30" s="56"/>
      <c r="AZ30" s="88">
        <v>87600</v>
      </c>
      <c r="BA30" s="56">
        <v>110416</v>
      </c>
      <c r="BB30" s="214"/>
      <c r="BC30" s="56"/>
      <c r="BD30" s="84">
        <f t="shared" si="4"/>
        <v>79795</v>
      </c>
      <c r="BE30" s="56"/>
      <c r="BF30" s="56"/>
      <c r="BG30" s="56"/>
      <c r="BH30" s="72">
        <v>1</v>
      </c>
      <c r="BJ30">
        <v>1</v>
      </c>
    </row>
    <row r="31" spans="1:62" ht="20.100000000000001" customHeight="1" outlineLevel="1">
      <c r="A31" s="77" t="s">
        <v>43</v>
      </c>
      <c r="B31" s="124" t="s">
        <v>761</v>
      </c>
      <c r="C31" s="77" t="s">
        <v>1109</v>
      </c>
      <c r="D31" s="78" t="s">
        <v>46</v>
      </c>
      <c r="E31" s="78" t="str">
        <f t="shared" si="9"/>
        <v>000</v>
      </c>
      <c r="F31" s="3">
        <v>633914</v>
      </c>
      <c r="G31" s="102" t="s">
        <v>765</v>
      </c>
      <c r="H31" s="87"/>
      <c r="I31" s="13">
        <v>0</v>
      </c>
      <c r="J31" s="13">
        <v>0</v>
      </c>
      <c r="L31" s="56">
        <v>0</v>
      </c>
      <c r="M31" s="56"/>
      <c r="N31" s="56">
        <v>3500</v>
      </c>
      <c r="O31" s="56"/>
      <c r="P31" s="56">
        <v>3500</v>
      </c>
      <c r="Q31" s="56"/>
      <c r="R31" s="56">
        <v>3500</v>
      </c>
      <c r="S31" s="56"/>
      <c r="T31" s="56">
        <v>0</v>
      </c>
      <c r="U31" s="56"/>
      <c r="V31" s="56">
        <v>3500</v>
      </c>
      <c r="W31" s="56"/>
      <c r="X31" s="56">
        <v>0</v>
      </c>
      <c r="Y31" s="56"/>
      <c r="Z31" s="56">
        <v>3500</v>
      </c>
      <c r="AA31" s="56"/>
      <c r="AB31" s="56">
        <v>0</v>
      </c>
      <c r="AC31" s="56"/>
      <c r="AD31" s="56">
        <v>0</v>
      </c>
      <c r="AE31" s="56"/>
      <c r="AF31" s="56">
        <f t="shared" si="1"/>
        <v>3500</v>
      </c>
      <c r="AG31" s="56">
        <v>0</v>
      </c>
      <c r="AH31" s="56">
        <v>0</v>
      </c>
      <c r="AI31" s="56"/>
      <c r="AJ31" s="56">
        <f t="shared" si="2"/>
        <v>3500</v>
      </c>
      <c r="AK31" s="85"/>
      <c r="AL31" s="56">
        <v>0</v>
      </c>
      <c r="AM31" s="56"/>
      <c r="AN31" s="88">
        <v>57</v>
      </c>
      <c r="AO31" s="88">
        <v>0</v>
      </c>
      <c r="AP31" s="88">
        <v>3133</v>
      </c>
      <c r="AQ31" s="56"/>
      <c r="AR31" s="56">
        <v>0</v>
      </c>
      <c r="AS31" s="56"/>
      <c r="AT31" s="56">
        <v>0</v>
      </c>
      <c r="AU31" s="56"/>
      <c r="AV31" s="56">
        <f t="shared" si="3"/>
        <v>3133</v>
      </c>
      <c r="AW31" s="56"/>
      <c r="AX31" s="56">
        <v>0</v>
      </c>
      <c r="AY31" s="56"/>
      <c r="AZ31" s="88">
        <v>3500</v>
      </c>
      <c r="BA31" s="56">
        <v>3500</v>
      </c>
      <c r="BB31" s="214"/>
      <c r="BC31" s="56"/>
      <c r="BD31" s="84">
        <f t="shared" si="4"/>
        <v>3076</v>
      </c>
      <c r="BE31" s="56"/>
      <c r="BF31" s="56"/>
      <c r="BG31" s="56"/>
      <c r="BH31" s="72"/>
    </row>
    <row r="32" spans="1:62" ht="20.100000000000001" customHeight="1" outlineLevel="1">
      <c r="A32" s="77" t="s">
        <v>43</v>
      </c>
      <c r="B32" s="124" t="s">
        <v>761</v>
      </c>
      <c r="C32" s="77" t="s">
        <v>1109</v>
      </c>
      <c r="D32" s="78" t="s">
        <v>46</v>
      </c>
      <c r="E32" s="78" t="str">
        <f t="shared" si="9"/>
        <v>000</v>
      </c>
      <c r="F32" s="3">
        <v>633945</v>
      </c>
      <c r="G32" s="102" t="s">
        <v>550</v>
      </c>
      <c r="H32" s="87"/>
      <c r="I32" s="13">
        <v>0</v>
      </c>
      <c r="J32" s="13">
        <v>5555</v>
      </c>
      <c r="L32" s="56">
        <v>11389</v>
      </c>
      <c r="M32" s="56"/>
      <c r="N32" s="56">
        <v>1500</v>
      </c>
      <c r="O32" s="56"/>
      <c r="P32" s="56">
        <v>1500</v>
      </c>
      <c r="Q32" s="56"/>
      <c r="R32" s="56">
        <v>1500</v>
      </c>
      <c r="S32" s="56"/>
      <c r="T32" s="56">
        <v>0</v>
      </c>
      <c r="U32" s="56"/>
      <c r="V32" s="56">
        <v>1500</v>
      </c>
      <c r="W32" s="56"/>
      <c r="X32" s="56">
        <v>18848.740000000002</v>
      </c>
      <c r="Y32" s="56"/>
      <c r="Z32" s="56">
        <v>20000</v>
      </c>
      <c r="AA32" s="56"/>
      <c r="AB32" s="56">
        <v>0</v>
      </c>
      <c r="AC32" s="56"/>
      <c r="AD32" s="56">
        <v>0</v>
      </c>
      <c r="AE32" s="56"/>
      <c r="AF32" s="56">
        <f t="shared" si="1"/>
        <v>20000</v>
      </c>
      <c r="AG32" s="56">
        <v>0</v>
      </c>
      <c r="AH32" s="56">
        <v>0</v>
      </c>
      <c r="AI32" s="56"/>
      <c r="AJ32" s="56">
        <f t="shared" si="2"/>
        <v>20000</v>
      </c>
      <c r="AK32" s="85"/>
      <c r="AL32" s="56">
        <v>0</v>
      </c>
      <c r="AM32" s="56"/>
      <c r="AN32" s="88">
        <v>4644</v>
      </c>
      <c r="AO32" s="88">
        <v>0</v>
      </c>
      <c r="AP32" s="88">
        <v>1327.1</v>
      </c>
      <c r="AQ32" s="56"/>
      <c r="AR32" s="56">
        <v>0</v>
      </c>
      <c r="AS32" s="56"/>
      <c r="AT32" s="56">
        <v>0</v>
      </c>
      <c r="AU32" s="56"/>
      <c r="AV32" s="56">
        <f t="shared" si="3"/>
        <v>1327.1</v>
      </c>
      <c r="AW32" s="56"/>
      <c r="AX32" s="56">
        <v>0</v>
      </c>
      <c r="AY32" s="56"/>
      <c r="AZ32" s="88">
        <v>15000</v>
      </c>
      <c r="BA32" s="56">
        <v>15000</v>
      </c>
      <c r="BB32" s="214"/>
      <c r="BC32" s="56"/>
      <c r="BD32" s="84">
        <f t="shared" si="4"/>
        <v>-3316.9</v>
      </c>
      <c r="BE32" s="56"/>
      <c r="BF32" s="56"/>
      <c r="BG32" s="56"/>
      <c r="BH32" s="72"/>
    </row>
    <row r="33" spans="1:60" ht="20.100000000000001" customHeight="1" outlineLevel="1">
      <c r="A33" s="77" t="s">
        <v>43</v>
      </c>
      <c r="B33" s="124" t="s">
        <v>761</v>
      </c>
      <c r="C33" s="77" t="s">
        <v>1109</v>
      </c>
      <c r="D33" s="78" t="s">
        <v>46</v>
      </c>
      <c r="E33" s="78" t="str">
        <f t="shared" si="9"/>
        <v>000</v>
      </c>
      <c r="F33" s="3">
        <v>642111</v>
      </c>
      <c r="G33" s="102" t="s">
        <v>766</v>
      </c>
      <c r="H33" s="87"/>
      <c r="I33" s="13">
        <v>0</v>
      </c>
      <c r="J33" s="13">
        <v>0</v>
      </c>
      <c r="L33" s="56">
        <v>0</v>
      </c>
      <c r="M33" s="56"/>
      <c r="N33" s="56">
        <v>2000</v>
      </c>
      <c r="O33" s="56"/>
      <c r="P33" s="56">
        <v>3000</v>
      </c>
      <c r="Q33" s="56"/>
      <c r="R33" s="56">
        <v>3000</v>
      </c>
      <c r="S33" s="56"/>
      <c r="T33" s="56">
        <v>0</v>
      </c>
      <c r="U33" s="56"/>
      <c r="V33" s="56">
        <v>3000</v>
      </c>
      <c r="W33" s="56"/>
      <c r="X33" s="56">
        <v>3588.62</v>
      </c>
      <c r="Y33" s="56"/>
      <c r="Z33" s="56">
        <v>5000</v>
      </c>
      <c r="AA33" s="56"/>
      <c r="AB33" s="56">
        <v>0</v>
      </c>
      <c r="AC33" s="56"/>
      <c r="AD33" s="56">
        <v>0</v>
      </c>
      <c r="AE33" s="56"/>
      <c r="AF33" s="56">
        <f t="shared" si="1"/>
        <v>5000</v>
      </c>
      <c r="AG33" s="56">
        <v>0</v>
      </c>
      <c r="AH33" s="56">
        <v>0</v>
      </c>
      <c r="AI33" s="56"/>
      <c r="AJ33" s="56">
        <f t="shared" si="2"/>
        <v>5000</v>
      </c>
      <c r="AK33" s="85"/>
      <c r="AL33" s="56">
        <v>0</v>
      </c>
      <c r="AM33" s="56"/>
      <c r="AN33" s="88">
        <v>569</v>
      </c>
      <c r="AO33" s="88">
        <v>0</v>
      </c>
      <c r="AP33" s="88">
        <v>592.5</v>
      </c>
      <c r="AQ33" s="56"/>
      <c r="AR33" s="56">
        <v>0</v>
      </c>
      <c r="AS33" s="56"/>
      <c r="AT33" s="56">
        <v>0</v>
      </c>
      <c r="AU33" s="56"/>
      <c r="AV33" s="56">
        <f t="shared" si="3"/>
        <v>592.5</v>
      </c>
      <c r="AW33" s="56"/>
      <c r="AX33" s="56">
        <v>0</v>
      </c>
      <c r="AY33" s="56"/>
      <c r="AZ33" s="88">
        <v>4000</v>
      </c>
      <c r="BA33" s="56">
        <v>4000</v>
      </c>
      <c r="BB33" s="214"/>
      <c r="BC33" s="56"/>
      <c r="BD33" s="84">
        <f t="shared" si="4"/>
        <v>23.5</v>
      </c>
      <c r="BE33" s="56"/>
      <c r="BF33" s="56"/>
      <c r="BG33" s="56"/>
      <c r="BH33" s="72"/>
    </row>
    <row r="34" spans="1:60" ht="20.100000000000001" customHeight="1" outlineLevel="1">
      <c r="A34" s="77" t="s">
        <v>43</v>
      </c>
      <c r="B34" s="124" t="s">
        <v>761</v>
      </c>
      <c r="C34" s="77" t="s">
        <v>1109</v>
      </c>
      <c r="D34" s="78" t="s">
        <v>46</v>
      </c>
      <c r="E34" s="78" t="str">
        <f t="shared" si="9"/>
        <v>000</v>
      </c>
      <c r="F34" s="3">
        <v>643003</v>
      </c>
      <c r="G34" s="129" t="s">
        <v>767</v>
      </c>
      <c r="H34" s="87"/>
      <c r="I34" s="13">
        <v>0</v>
      </c>
      <c r="J34" s="13">
        <v>0</v>
      </c>
      <c r="L34" s="56">
        <v>0</v>
      </c>
      <c r="M34" s="56"/>
      <c r="N34" s="56">
        <v>3000</v>
      </c>
      <c r="O34" s="56"/>
      <c r="P34" s="56">
        <v>3000</v>
      </c>
      <c r="Q34" s="56"/>
      <c r="R34" s="56">
        <v>3000</v>
      </c>
      <c r="S34" s="56"/>
      <c r="T34" s="56">
        <v>0</v>
      </c>
      <c r="U34" s="56"/>
      <c r="V34" s="56">
        <v>3000</v>
      </c>
      <c r="W34" s="56"/>
      <c r="X34" s="56">
        <v>95</v>
      </c>
      <c r="Y34" s="56"/>
      <c r="Z34" s="56">
        <v>2000</v>
      </c>
      <c r="AA34" s="56"/>
      <c r="AB34" s="56">
        <v>0</v>
      </c>
      <c r="AC34" s="56"/>
      <c r="AD34" s="56">
        <v>0</v>
      </c>
      <c r="AE34" s="56"/>
      <c r="AF34" s="56">
        <f t="shared" si="1"/>
        <v>2000</v>
      </c>
      <c r="AG34" s="56">
        <v>0</v>
      </c>
      <c r="AH34" s="56">
        <v>0</v>
      </c>
      <c r="AI34" s="56"/>
      <c r="AJ34" s="56">
        <f t="shared" si="2"/>
        <v>2000</v>
      </c>
      <c r="AK34" s="85"/>
      <c r="AL34" s="56">
        <v>0</v>
      </c>
      <c r="AM34" s="56"/>
      <c r="AN34" s="88">
        <v>433</v>
      </c>
      <c r="AO34" s="88">
        <v>0</v>
      </c>
      <c r="AP34" s="88">
        <v>158.35</v>
      </c>
      <c r="AQ34" s="56"/>
      <c r="AR34" s="56">
        <v>0</v>
      </c>
      <c r="AS34" s="56"/>
      <c r="AT34" s="56">
        <v>0</v>
      </c>
      <c r="AU34" s="56"/>
      <c r="AV34" s="56">
        <f t="shared" si="3"/>
        <v>158.35</v>
      </c>
      <c r="AW34" s="56"/>
      <c r="AX34" s="56">
        <v>0</v>
      </c>
      <c r="AY34" s="56"/>
      <c r="AZ34" s="88">
        <v>2000</v>
      </c>
      <c r="BA34" s="56">
        <v>2000</v>
      </c>
      <c r="BB34" s="214"/>
      <c r="BC34" s="56"/>
      <c r="BD34" s="84">
        <f t="shared" si="4"/>
        <v>-274.64999999999998</v>
      </c>
      <c r="BE34" s="56"/>
      <c r="BF34" s="56"/>
      <c r="BG34" s="56"/>
      <c r="BH34" s="72"/>
    </row>
    <row r="35" spans="1:60" ht="20.100000000000001" customHeight="1" outlineLevel="1">
      <c r="A35" s="77" t="s">
        <v>43</v>
      </c>
      <c r="B35" s="124" t="s">
        <v>761</v>
      </c>
      <c r="C35" s="77" t="s">
        <v>1109</v>
      </c>
      <c r="D35" s="78" t="s">
        <v>46</v>
      </c>
      <c r="E35" s="78" t="str">
        <f t="shared" si="9"/>
        <v>000</v>
      </c>
      <c r="F35" s="3">
        <v>643011</v>
      </c>
      <c r="G35" s="129" t="s">
        <v>768</v>
      </c>
      <c r="H35" s="87"/>
      <c r="I35" s="87">
        <v>0</v>
      </c>
      <c r="J35" s="56">
        <v>0</v>
      </c>
      <c r="L35" s="56">
        <v>1918</v>
      </c>
      <c r="M35" s="56"/>
      <c r="N35" s="56">
        <v>2000</v>
      </c>
      <c r="O35" s="56"/>
      <c r="P35" s="56">
        <v>2000</v>
      </c>
      <c r="Q35" s="56"/>
      <c r="R35" s="56">
        <v>2000</v>
      </c>
      <c r="S35" s="56"/>
      <c r="T35" s="56">
        <v>0</v>
      </c>
      <c r="U35" s="56"/>
      <c r="V35" s="56">
        <v>2000</v>
      </c>
      <c r="W35" s="56"/>
      <c r="X35" s="56">
        <v>345</v>
      </c>
      <c r="Y35" s="56"/>
      <c r="Z35" s="56">
        <v>2000</v>
      </c>
      <c r="AA35" s="56"/>
      <c r="AB35" s="56">
        <v>0</v>
      </c>
      <c r="AC35" s="56"/>
      <c r="AD35" s="56">
        <v>0</v>
      </c>
      <c r="AE35" s="56"/>
      <c r="AF35" s="56">
        <f t="shared" si="1"/>
        <v>2000</v>
      </c>
      <c r="AG35" s="56">
        <v>0</v>
      </c>
      <c r="AH35" s="56">
        <v>0</v>
      </c>
      <c r="AI35" s="56"/>
      <c r="AJ35" s="56">
        <f t="shared" si="2"/>
        <v>2000</v>
      </c>
      <c r="AK35" s="85"/>
      <c r="AL35" s="56">
        <v>0</v>
      </c>
      <c r="AM35" s="56"/>
      <c r="AN35" s="88">
        <v>15446</v>
      </c>
      <c r="AO35" s="88">
        <v>0</v>
      </c>
      <c r="AP35" s="88">
        <v>552.20000000000005</v>
      </c>
      <c r="AQ35" s="56"/>
      <c r="AR35" s="56">
        <v>0</v>
      </c>
      <c r="AS35" s="56"/>
      <c r="AT35" s="56">
        <v>0</v>
      </c>
      <c r="AU35" s="56"/>
      <c r="AV35" s="56">
        <f t="shared" si="3"/>
        <v>552.20000000000005</v>
      </c>
      <c r="AW35" s="56"/>
      <c r="AX35" s="56">
        <v>0</v>
      </c>
      <c r="AY35" s="56"/>
      <c r="AZ35" s="88">
        <v>5000</v>
      </c>
      <c r="BA35" s="56">
        <v>5000</v>
      </c>
      <c r="BB35" s="214"/>
      <c r="BC35" s="56"/>
      <c r="BD35" s="84">
        <f t="shared" si="4"/>
        <v>-14893.8</v>
      </c>
      <c r="BE35" s="56"/>
      <c r="BF35" s="56"/>
      <c r="BG35" s="56"/>
      <c r="BH35" s="72"/>
    </row>
    <row r="36" spans="1:60" ht="20.100000000000001" customHeight="1" outlineLevel="1">
      <c r="A36" s="77" t="s">
        <v>43</v>
      </c>
      <c r="B36" s="124" t="s">
        <v>761</v>
      </c>
      <c r="C36" s="77" t="s">
        <v>1109</v>
      </c>
      <c r="D36" s="78" t="s">
        <v>46</v>
      </c>
      <c r="E36" s="78" t="str">
        <f t="shared" si="9"/>
        <v>000</v>
      </c>
      <c r="F36" s="3">
        <v>643012</v>
      </c>
      <c r="G36" s="129" t="s">
        <v>769</v>
      </c>
      <c r="H36" s="87"/>
      <c r="I36" s="87">
        <v>0</v>
      </c>
      <c r="J36" s="56">
        <v>0</v>
      </c>
      <c r="L36" s="56">
        <v>2601</v>
      </c>
      <c r="M36" s="56"/>
      <c r="N36" s="56">
        <v>2500</v>
      </c>
      <c r="O36" s="56"/>
      <c r="P36" s="56">
        <v>2500</v>
      </c>
      <c r="Q36" s="56"/>
      <c r="R36" s="56">
        <v>2500</v>
      </c>
      <c r="S36" s="56"/>
      <c r="T36" s="56">
        <v>0</v>
      </c>
      <c r="U36" s="56"/>
      <c r="V36" s="56">
        <v>2500</v>
      </c>
      <c r="W36" s="56"/>
      <c r="X36" s="56">
        <v>0</v>
      </c>
      <c r="Y36" s="56"/>
      <c r="Z36" s="56">
        <v>1000</v>
      </c>
      <c r="AA36" s="56"/>
      <c r="AB36" s="56">
        <v>0</v>
      </c>
      <c r="AC36" s="56"/>
      <c r="AD36" s="56">
        <v>0</v>
      </c>
      <c r="AE36" s="56"/>
      <c r="AF36" s="56">
        <f t="shared" si="1"/>
        <v>1000</v>
      </c>
      <c r="AG36" s="56">
        <v>0</v>
      </c>
      <c r="AH36" s="56">
        <v>0</v>
      </c>
      <c r="AI36" s="56"/>
      <c r="AJ36" s="56">
        <f t="shared" si="2"/>
        <v>1000</v>
      </c>
      <c r="AK36" s="85"/>
      <c r="AL36" s="56">
        <v>0</v>
      </c>
      <c r="AM36" s="56"/>
      <c r="AN36" s="88">
        <v>2795</v>
      </c>
      <c r="AO36" s="88">
        <v>0</v>
      </c>
      <c r="AP36" s="88">
        <v>3187.99</v>
      </c>
      <c r="AQ36" s="56"/>
      <c r="AR36" s="56">
        <v>0</v>
      </c>
      <c r="AS36" s="56"/>
      <c r="AT36" s="56">
        <v>0</v>
      </c>
      <c r="AU36" s="56"/>
      <c r="AV36" s="56">
        <f t="shared" si="3"/>
        <v>3187.99</v>
      </c>
      <c r="AW36" s="56"/>
      <c r="AX36" s="56">
        <v>0</v>
      </c>
      <c r="AY36" s="56"/>
      <c r="AZ36" s="88">
        <v>3100</v>
      </c>
      <c r="BA36" s="56">
        <v>3100</v>
      </c>
      <c r="BB36" s="214"/>
      <c r="BC36" s="56"/>
      <c r="BD36" s="84">
        <f t="shared" si="4"/>
        <v>392.98999999999978</v>
      </c>
      <c r="BE36" s="56"/>
      <c r="BF36" s="56"/>
      <c r="BG36" s="56"/>
      <c r="BH36" s="72"/>
    </row>
    <row r="37" spans="1:60" ht="20.100000000000001" customHeight="1" outlineLevel="1">
      <c r="A37" s="77" t="s">
        <v>43</v>
      </c>
      <c r="B37" s="124" t="s">
        <v>761</v>
      </c>
      <c r="C37" s="77" t="s">
        <v>1109</v>
      </c>
      <c r="D37" s="78" t="s">
        <v>46</v>
      </c>
      <c r="E37" s="78" t="str">
        <f t="shared" si="9"/>
        <v>000</v>
      </c>
      <c r="F37" s="3">
        <v>643013</v>
      </c>
      <c r="G37" s="129" t="s">
        <v>770</v>
      </c>
      <c r="H37" s="87"/>
      <c r="I37" s="87">
        <v>0</v>
      </c>
      <c r="J37" s="56">
        <v>0</v>
      </c>
      <c r="L37" s="56">
        <v>0</v>
      </c>
      <c r="M37" s="56"/>
      <c r="N37" s="56">
        <v>1000</v>
      </c>
      <c r="O37" s="56"/>
      <c r="P37" s="56">
        <v>1000</v>
      </c>
      <c r="Q37" s="56"/>
      <c r="R37" s="56">
        <v>1000</v>
      </c>
      <c r="S37" s="56"/>
      <c r="T37" s="56">
        <v>0</v>
      </c>
      <c r="U37" s="56"/>
      <c r="V37" s="56">
        <v>1000</v>
      </c>
      <c r="W37" s="56"/>
      <c r="X37" s="56">
        <v>0</v>
      </c>
      <c r="Y37" s="56"/>
      <c r="Z37" s="56">
        <v>1000</v>
      </c>
      <c r="AA37" s="56"/>
      <c r="AB37" s="56">
        <v>0</v>
      </c>
      <c r="AC37" s="56"/>
      <c r="AD37" s="56">
        <v>0</v>
      </c>
      <c r="AE37" s="56"/>
      <c r="AF37" s="56">
        <f t="shared" si="1"/>
        <v>1000</v>
      </c>
      <c r="AG37" s="56">
        <v>0</v>
      </c>
      <c r="AH37" s="56">
        <v>0</v>
      </c>
      <c r="AI37" s="56"/>
      <c r="AJ37" s="56">
        <f t="shared" si="2"/>
        <v>1000</v>
      </c>
      <c r="AK37" s="85"/>
      <c r="AL37" s="56">
        <v>0</v>
      </c>
      <c r="AM37" s="56"/>
      <c r="AN37" s="88">
        <v>467</v>
      </c>
      <c r="AO37" s="88">
        <v>0</v>
      </c>
      <c r="AP37" s="88">
        <v>317</v>
      </c>
      <c r="AQ37" s="56"/>
      <c r="AR37" s="56">
        <v>0</v>
      </c>
      <c r="AS37" s="56"/>
      <c r="AT37" s="56">
        <v>0</v>
      </c>
      <c r="AU37" s="56"/>
      <c r="AV37" s="56">
        <f t="shared" si="3"/>
        <v>317</v>
      </c>
      <c r="AW37" s="56"/>
      <c r="AX37" s="56">
        <v>0</v>
      </c>
      <c r="AY37" s="56"/>
      <c r="AZ37" s="88">
        <v>1000</v>
      </c>
      <c r="BA37" s="56">
        <v>1000</v>
      </c>
      <c r="BB37" s="214"/>
      <c r="BC37" s="56"/>
      <c r="BD37" s="84">
        <f t="shared" si="4"/>
        <v>-150</v>
      </c>
      <c r="BE37" s="56"/>
      <c r="BF37" s="56"/>
      <c r="BG37" s="56"/>
      <c r="BH37" s="72"/>
    </row>
    <row r="38" spans="1:60" ht="20.100000000000001" customHeight="1" outlineLevel="1">
      <c r="A38" s="77" t="s">
        <v>43</v>
      </c>
      <c r="B38" s="124" t="s">
        <v>761</v>
      </c>
      <c r="C38" s="77" t="s">
        <v>1109</v>
      </c>
      <c r="D38" s="78" t="s">
        <v>46</v>
      </c>
      <c r="E38" s="78" t="str">
        <f t="shared" si="9"/>
        <v>000</v>
      </c>
      <c r="F38" s="3">
        <v>644212</v>
      </c>
      <c r="G38" s="129" t="s">
        <v>907</v>
      </c>
      <c r="H38" s="87"/>
      <c r="I38" s="87"/>
      <c r="J38" s="56"/>
      <c r="L38" s="56">
        <v>0</v>
      </c>
      <c r="M38" s="56"/>
      <c r="N38" s="56"/>
      <c r="O38" s="56"/>
      <c r="P38" s="56"/>
      <c r="Q38" s="56"/>
      <c r="R38" s="56"/>
      <c r="S38" s="56"/>
      <c r="T38" s="56"/>
      <c r="U38" s="56"/>
      <c r="V38" s="56"/>
      <c r="W38" s="56"/>
      <c r="X38" s="56">
        <v>0</v>
      </c>
      <c r="Y38" s="56"/>
      <c r="Z38" s="56"/>
      <c r="AA38" s="56"/>
      <c r="AB38" s="56"/>
      <c r="AC38" s="56"/>
      <c r="AD38" s="56"/>
      <c r="AE38" s="56"/>
      <c r="AF38" s="56"/>
      <c r="AG38" s="56"/>
      <c r="AH38" s="56"/>
      <c r="AI38" s="56"/>
      <c r="AJ38" s="56"/>
      <c r="AK38" s="85"/>
      <c r="AL38" s="56"/>
      <c r="AM38" s="56"/>
      <c r="AN38" s="88">
        <v>0</v>
      </c>
      <c r="AO38" s="88"/>
      <c r="AP38" s="88">
        <v>572.83000000000004</v>
      </c>
      <c r="AQ38" s="56"/>
      <c r="AR38" s="56"/>
      <c r="AS38" s="56"/>
      <c r="AT38" s="56"/>
      <c r="AU38" s="56"/>
      <c r="AV38" s="56"/>
      <c r="AW38" s="56"/>
      <c r="AX38" s="56"/>
      <c r="AY38" s="56"/>
      <c r="AZ38" s="88">
        <v>0</v>
      </c>
      <c r="BA38" s="56">
        <v>0</v>
      </c>
      <c r="BB38" s="214"/>
      <c r="BC38" s="56"/>
      <c r="BD38" s="84">
        <f t="shared" si="4"/>
        <v>572.83000000000004</v>
      </c>
      <c r="BE38" s="56"/>
      <c r="BF38" s="56"/>
      <c r="BG38" s="56"/>
      <c r="BH38" s="72"/>
    </row>
    <row r="39" spans="1:60" ht="20.100000000000001" customHeight="1" outlineLevel="1">
      <c r="A39" s="77" t="s">
        <v>43</v>
      </c>
      <c r="B39" s="124" t="s">
        <v>761</v>
      </c>
      <c r="C39" s="77" t="s">
        <v>1109</v>
      </c>
      <c r="D39" s="78" t="s">
        <v>46</v>
      </c>
      <c r="E39" s="78" t="str">
        <f t="shared" si="9"/>
        <v>000</v>
      </c>
      <c r="F39" s="3">
        <v>644231</v>
      </c>
      <c r="G39" s="102" t="s">
        <v>771</v>
      </c>
      <c r="H39" s="87"/>
      <c r="I39" s="87">
        <v>0</v>
      </c>
      <c r="J39" s="13">
        <v>0</v>
      </c>
      <c r="L39" s="56">
        <v>0</v>
      </c>
      <c r="M39" s="56"/>
      <c r="N39" s="56">
        <v>0</v>
      </c>
      <c r="O39" s="56"/>
      <c r="P39" s="56">
        <v>0</v>
      </c>
      <c r="Q39" s="56"/>
      <c r="R39" s="56">
        <v>0</v>
      </c>
      <c r="S39" s="56"/>
      <c r="T39" s="56">
        <v>0</v>
      </c>
      <c r="U39" s="56"/>
      <c r="V39" s="56">
        <v>0</v>
      </c>
      <c r="W39" s="56"/>
      <c r="X39" s="56">
        <v>3840.5</v>
      </c>
      <c r="Y39" s="56"/>
      <c r="Z39" s="56">
        <v>0</v>
      </c>
      <c r="AA39" s="56"/>
      <c r="AB39" s="56">
        <v>0</v>
      </c>
      <c r="AC39" s="56"/>
      <c r="AD39" s="56">
        <v>0</v>
      </c>
      <c r="AE39" s="56"/>
      <c r="AF39" s="56">
        <f t="shared" si="1"/>
        <v>0</v>
      </c>
      <c r="AG39" s="56">
        <v>0</v>
      </c>
      <c r="AH39" s="56">
        <v>0</v>
      </c>
      <c r="AI39" s="56"/>
      <c r="AJ39" s="56">
        <f t="shared" si="2"/>
        <v>0</v>
      </c>
      <c r="AK39" s="85"/>
      <c r="AL39" s="56">
        <v>0</v>
      </c>
      <c r="AM39" s="56"/>
      <c r="AN39" s="88">
        <f>SUM(AI39:AM39)</f>
        <v>0</v>
      </c>
      <c r="AO39" s="88">
        <v>0</v>
      </c>
      <c r="AP39" s="88">
        <v>0</v>
      </c>
      <c r="AQ39" s="56"/>
      <c r="AR39" s="56">
        <v>0</v>
      </c>
      <c r="AS39" s="56"/>
      <c r="AT39" s="56">
        <v>0</v>
      </c>
      <c r="AU39" s="56"/>
      <c r="AV39" s="56">
        <f t="shared" si="3"/>
        <v>0</v>
      </c>
      <c r="AW39" s="56"/>
      <c r="AX39" s="56">
        <v>0</v>
      </c>
      <c r="AY39" s="56"/>
      <c r="AZ39" s="88">
        <v>0</v>
      </c>
      <c r="BA39" s="56">
        <v>0</v>
      </c>
      <c r="BB39" s="214"/>
      <c r="BC39" s="56"/>
      <c r="BD39" s="84">
        <f t="shared" si="4"/>
        <v>0</v>
      </c>
      <c r="BE39" s="56"/>
      <c r="BF39" s="56"/>
      <c r="BG39" s="56"/>
      <c r="BH39" s="72"/>
    </row>
    <row r="40" spans="1:60" ht="20.100000000000001" customHeight="1" outlineLevel="1">
      <c r="A40" s="77" t="s">
        <v>43</v>
      </c>
      <c r="B40" s="124" t="s">
        <v>761</v>
      </c>
      <c r="C40" s="77" t="s">
        <v>1109</v>
      </c>
      <c r="D40" s="78" t="s">
        <v>46</v>
      </c>
      <c r="E40" s="78" t="str">
        <f t="shared" si="9"/>
        <v>000</v>
      </c>
      <c r="F40" s="3">
        <v>644241</v>
      </c>
      <c r="G40" s="102" t="s">
        <v>772</v>
      </c>
      <c r="H40" s="87"/>
      <c r="I40" s="13">
        <v>8266</v>
      </c>
      <c r="J40" s="13">
        <v>4704</v>
      </c>
      <c r="L40" s="56">
        <v>26350</v>
      </c>
      <c r="M40" s="56"/>
      <c r="N40" s="56">
        <v>36350</v>
      </c>
      <c r="O40" s="56"/>
      <c r="P40" s="56">
        <v>37900</v>
      </c>
      <c r="Q40" s="56"/>
      <c r="R40" s="56">
        <v>37900</v>
      </c>
      <c r="S40" s="56"/>
      <c r="T40" s="56">
        <v>0</v>
      </c>
      <c r="U40" s="56"/>
      <c r="V40" s="56">
        <v>37900</v>
      </c>
      <c r="W40" s="56"/>
      <c r="X40" s="56">
        <v>6165</v>
      </c>
      <c r="Y40" s="56"/>
      <c r="Z40" s="56">
        <v>37900</v>
      </c>
      <c r="AA40" s="56"/>
      <c r="AB40" s="56">
        <v>0</v>
      </c>
      <c r="AC40" s="56"/>
      <c r="AD40" s="56">
        <v>0</v>
      </c>
      <c r="AE40" s="56"/>
      <c r="AF40" s="56">
        <f t="shared" si="1"/>
        <v>37900</v>
      </c>
      <c r="AG40" s="56">
        <v>0</v>
      </c>
      <c r="AH40" s="56">
        <v>0</v>
      </c>
      <c r="AI40" s="56"/>
      <c r="AJ40" s="56">
        <f t="shared" si="2"/>
        <v>37900</v>
      </c>
      <c r="AK40" s="85"/>
      <c r="AL40" s="56">
        <v>0</v>
      </c>
      <c r="AM40" s="56"/>
      <c r="AN40" s="88">
        <v>6722</v>
      </c>
      <c r="AO40" s="88">
        <v>0</v>
      </c>
      <c r="AP40" s="88">
        <v>7011</v>
      </c>
      <c r="AQ40" s="56"/>
      <c r="AR40" s="56">
        <v>0</v>
      </c>
      <c r="AS40" s="56"/>
      <c r="AT40" s="56">
        <v>0</v>
      </c>
      <c r="AU40" s="56"/>
      <c r="AV40" s="56">
        <f t="shared" si="3"/>
        <v>7011</v>
      </c>
      <c r="AW40" s="56"/>
      <c r="AX40" s="56">
        <v>0</v>
      </c>
      <c r="AY40" s="56"/>
      <c r="AZ40" s="88">
        <v>25000</v>
      </c>
      <c r="BA40" s="56">
        <v>25000</v>
      </c>
      <c r="BB40" s="214"/>
      <c r="BC40" s="56"/>
      <c r="BD40" s="84">
        <f t="shared" si="4"/>
        <v>289</v>
      </c>
      <c r="BE40" s="56"/>
      <c r="BF40" s="56"/>
      <c r="BG40" s="56"/>
      <c r="BH40" s="72"/>
    </row>
    <row r="41" spans="1:60" ht="20.100000000000001" customHeight="1" outlineLevel="1">
      <c r="A41" s="77" t="s">
        <v>43</v>
      </c>
      <c r="B41" s="124" t="s">
        <v>761</v>
      </c>
      <c r="C41" s="77" t="s">
        <v>1109</v>
      </c>
      <c r="D41" s="78" t="s">
        <v>46</v>
      </c>
      <c r="E41" s="78" t="str">
        <f t="shared" si="9"/>
        <v>000</v>
      </c>
      <c r="F41" s="3">
        <v>658211</v>
      </c>
      <c r="G41" s="102" t="s">
        <v>773</v>
      </c>
      <c r="H41" s="87"/>
      <c r="I41" s="13">
        <v>16</v>
      </c>
      <c r="J41" s="13">
        <v>70</v>
      </c>
      <c r="L41" s="56">
        <v>82</v>
      </c>
      <c r="M41" s="56"/>
      <c r="N41" s="56">
        <v>1000</v>
      </c>
      <c r="O41" s="56"/>
      <c r="P41" s="56">
        <v>1000</v>
      </c>
      <c r="Q41" s="56"/>
      <c r="R41" s="56">
        <v>1000</v>
      </c>
      <c r="S41" s="56"/>
      <c r="T41" s="56">
        <v>0</v>
      </c>
      <c r="U41" s="56"/>
      <c r="V41" s="56">
        <v>1000</v>
      </c>
      <c r="W41" s="56"/>
      <c r="X41" s="56">
        <v>2676.08</v>
      </c>
      <c r="Y41" s="56"/>
      <c r="Z41" s="56">
        <v>3000</v>
      </c>
      <c r="AA41" s="56"/>
      <c r="AB41" s="56">
        <v>0</v>
      </c>
      <c r="AC41" s="56"/>
      <c r="AD41" s="56">
        <v>2382</v>
      </c>
      <c r="AE41" s="56"/>
      <c r="AF41" s="56">
        <f t="shared" si="1"/>
        <v>5382</v>
      </c>
      <c r="AG41" s="56">
        <v>0</v>
      </c>
      <c r="AH41" s="56">
        <v>0</v>
      </c>
      <c r="AI41" s="56"/>
      <c r="AJ41" s="56">
        <f t="shared" si="2"/>
        <v>5382</v>
      </c>
      <c r="AK41" s="85"/>
      <c r="AL41" s="56">
        <v>0</v>
      </c>
      <c r="AM41" s="56"/>
      <c r="AN41" s="88">
        <v>806</v>
      </c>
      <c r="AO41" s="88">
        <v>0</v>
      </c>
      <c r="AP41" s="88">
        <v>595.99</v>
      </c>
      <c r="AQ41" s="56"/>
      <c r="AR41" s="56">
        <v>0</v>
      </c>
      <c r="AS41" s="56"/>
      <c r="AT41" s="56">
        <v>0</v>
      </c>
      <c r="AU41" s="56"/>
      <c r="AV41" s="56">
        <f t="shared" si="3"/>
        <v>595.99</v>
      </c>
      <c r="AW41" s="56"/>
      <c r="AX41" s="56">
        <v>0</v>
      </c>
      <c r="AY41" s="56"/>
      <c r="AZ41" s="88">
        <v>1000</v>
      </c>
      <c r="BA41" s="56">
        <v>1000</v>
      </c>
      <c r="BB41" s="214"/>
      <c r="BC41" s="56"/>
      <c r="BD41" s="84">
        <f t="shared" si="4"/>
        <v>-210.01</v>
      </c>
      <c r="BE41" s="56"/>
      <c r="BF41" s="56"/>
      <c r="BG41" s="56"/>
      <c r="BH41" s="72"/>
    </row>
    <row r="42" spans="1:60" ht="20.100000000000001" customHeight="1" outlineLevel="1">
      <c r="A42" s="77" t="s">
        <v>43</v>
      </c>
      <c r="B42" s="124" t="s">
        <v>761</v>
      </c>
      <c r="C42" s="77" t="s">
        <v>1109</v>
      </c>
      <c r="D42" s="78" t="s">
        <v>46</v>
      </c>
      <c r="E42" s="78" t="str">
        <f t="shared" si="9"/>
        <v>000</v>
      </c>
      <c r="F42" s="3">
        <v>661001</v>
      </c>
      <c r="G42" s="102" t="s">
        <v>774</v>
      </c>
      <c r="H42" s="87"/>
      <c r="I42" s="13">
        <v>10876</v>
      </c>
      <c r="J42" s="13">
        <v>17436</v>
      </c>
      <c r="L42" s="56">
        <v>14307</v>
      </c>
      <c r="M42" s="56"/>
      <c r="N42" s="56">
        <v>10000</v>
      </c>
      <c r="O42" s="56"/>
      <c r="P42" s="56">
        <v>10899</v>
      </c>
      <c r="Q42" s="56"/>
      <c r="R42" s="56">
        <v>10899</v>
      </c>
      <c r="S42" s="56"/>
      <c r="T42" s="56">
        <v>0</v>
      </c>
      <c r="U42" s="56"/>
      <c r="V42" s="56">
        <v>10899</v>
      </c>
      <c r="W42" s="56"/>
      <c r="X42" s="56">
        <v>21386.41</v>
      </c>
      <c r="Y42" s="56"/>
      <c r="Z42" s="56">
        <v>20000</v>
      </c>
      <c r="AA42" s="56"/>
      <c r="AB42" s="56">
        <v>0</v>
      </c>
      <c r="AC42" s="56"/>
      <c r="AD42" s="56">
        <v>4702</v>
      </c>
      <c r="AE42" s="56"/>
      <c r="AF42" s="56">
        <f t="shared" si="1"/>
        <v>24702</v>
      </c>
      <c r="AG42" s="56">
        <v>0</v>
      </c>
      <c r="AH42" s="56">
        <v>0</v>
      </c>
      <c r="AI42" s="56"/>
      <c r="AJ42" s="56">
        <f t="shared" si="2"/>
        <v>24702</v>
      </c>
      <c r="AK42" s="85"/>
      <c r="AL42" s="56">
        <v>0</v>
      </c>
      <c r="AM42" s="56"/>
      <c r="AN42" s="88">
        <v>30802</v>
      </c>
      <c r="AO42" s="88">
        <v>0</v>
      </c>
      <c r="AP42" s="88">
        <v>16476.650000000001</v>
      </c>
      <c r="AQ42" s="56"/>
      <c r="AR42" s="56">
        <v>0</v>
      </c>
      <c r="AS42" s="56"/>
      <c r="AT42" s="56">
        <v>0</v>
      </c>
      <c r="AU42" s="56"/>
      <c r="AV42" s="56">
        <f t="shared" si="3"/>
        <v>16476.650000000001</v>
      </c>
      <c r="AW42" s="56"/>
      <c r="AX42" s="56">
        <v>0</v>
      </c>
      <c r="AY42" s="56"/>
      <c r="AZ42" s="88">
        <v>24000</v>
      </c>
      <c r="BA42" s="56">
        <v>24277</v>
      </c>
      <c r="BB42" s="214"/>
      <c r="BC42" s="56"/>
      <c r="BD42" s="84">
        <f t="shared" si="4"/>
        <v>-14325.349999999999</v>
      </c>
      <c r="BE42" s="56"/>
      <c r="BF42" s="56"/>
      <c r="BG42" s="56"/>
      <c r="BH42" s="72"/>
    </row>
    <row r="43" spans="1:60" ht="20.100000000000001" customHeight="1" outlineLevel="1">
      <c r="A43" s="77" t="s">
        <v>43</v>
      </c>
      <c r="B43" s="124" t="s">
        <v>761</v>
      </c>
      <c r="C43" s="77" t="s">
        <v>1109</v>
      </c>
      <c r="D43" s="78" t="s">
        <v>46</v>
      </c>
      <c r="E43" s="78" t="str">
        <f t="shared" si="9"/>
        <v>000</v>
      </c>
      <c r="F43" s="3">
        <v>661077</v>
      </c>
      <c r="G43" s="102" t="s">
        <v>775</v>
      </c>
      <c r="H43" s="87"/>
      <c r="I43" s="87">
        <v>0</v>
      </c>
      <c r="J43" s="56">
        <v>0</v>
      </c>
      <c r="L43" s="56">
        <v>698</v>
      </c>
      <c r="M43" s="56"/>
      <c r="N43" s="56">
        <v>10000</v>
      </c>
      <c r="O43" s="56"/>
      <c r="P43" s="56">
        <v>10000</v>
      </c>
      <c r="Q43" s="56"/>
      <c r="R43" s="56">
        <v>10000</v>
      </c>
      <c r="S43" s="56"/>
      <c r="T43" s="56">
        <v>0</v>
      </c>
      <c r="U43" s="56"/>
      <c r="V43" s="56">
        <v>10000</v>
      </c>
      <c r="W43" s="56"/>
      <c r="X43" s="56">
        <v>6780.44</v>
      </c>
      <c r="Y43" s="56"/>
      <c r="Z43" s="56">
        <v>5000</v>
      </c>
      <c r="AA43" s="56"/>
      <c r="AB43" s="56">
        <v>0</v>
      </c>
      <c r="AC43" s="56"/>
      <c r="AD43" s="56">
        <v>0</v>
      </c>
      <c r="AE43" s="56"/>
      <c r="AF43" s="56">
        <f t="shared" si="1"/>
        <v>5000</v>
      </c>
      <c r="AG43" s="56">
        <v>0</v>
      </c>
      <c r="AH43" s="56">
        <v>0</v>
      </c>
      <c r="AI43" s="56"/>
      <c r="AJ43" s="56">
        <f t="shared" si="2"/>
        <v>5000</v>
      </c>
      <c r="AK43" s="85"/>
      <c r="AL43" s="56">
        <v>0</v>
      </c>
      <c r="AM43" s="56"/>
      <c r="AN43" s="88">
        <v>4104</v>
      </c>
      <c r="AO43" s="88">
        <v>0</v>
      </c>
      <c r="AP43" s="88">
        <v>5565.8</v>
      </c>
      <c r="AQ43" s="56"/>
      <c r="AR43" s="56">
        <v>0</v>
      </c>
      <c r="AS43" s="56"/>
      <c r="AT43" s="56">
        <v>0</v>
      </c>
      <c r="AU43" s="56"/>
      <c r="AV43" s="56">
        <f t="shared" si="3"/>
        <v>5565.8</v>
      </c>
      <c r="AW43" s="56"/>
      <c r="AX43" s="56">
        <v>0</v>
      </c>
      <c r="AY43" s="56"/>
      <c r="AZ43" s="88">
        <v>4000</v>
      </c>
      <c r="BA43" s="56">
        <v>4000</v>
      </c>
      <c r="BB43" s="214"/>
      <c r="BC43" s="56"/>
      <c r="BD43" s="84">
        <f t="shared" si="4"/>
        <v>1461.8000000000002</v>
      </c>
      <c r="BE43" s="56"/>
      <c r="BF43" s="56"/>
      <c r="BG43" s="56"/>
      <c r="BH43" s="72"/>
    </row>
    <row r="44" spans="1:60" ht="20.100000000000001" customHeight="1" outlineLevel="1">
      <c r="A44" s="77" t="s">
        <v>43</v>
      </c>
      <c r="B44" s="124" t="s">
        <v>761</v>
      </c>
      <c r="C44" s="77" t="s">
        <v>1109</v>
      </c>
      <c r="D44" s="78" t="s">
        <v>46</v>
      </c>
      <c r="E44" s="78" t="str">
        <f t="shared" si="9"/>
        <v>000</v>
      </c>
      <c r="F44" s="3">
        <v>661103</v>
      </c>
      <c r="G44" s="102" t="s">
        <v>776</v>
      </c>
      <c r="H44" s="87"/>
      <c r="I44" s="87">
        <v>0</v>
      </c>
      <c r="J44" s="56">
        <v>0</v>
      </c>
      <c r="L44" s="56">
        <v>8806</v>
      </c>
      <c r="M44" s="56"/>
      <c r="N44" s="56">
        <v>2000</v>
      </c>
      <c r="O44" s="56"/>
      <c r="P44" s="56">
        <v>2000</v>
      </c>
      <c r="Q44" s="56"/>
      <c r="R44" s="56">
        <v>2000</v>
      </c>
      <c r="S44" s="56"/>
      <c r="T44" s="56">
        <v>0</v>
      </c>
      <c r="U44" s="56"/>
      <c r="V44" s="56">
        <v>2000</v>
      </c>
      <c r="W44" s="56"/>
      <c r="X44" s="56">
        <v>12580.25</v>
      </c>
      <c r="Y44" s="56"/>
      <c r="Z44" s="56">
        <v>10000</v>
      </c>
      <c r="AA44" s="56"/>
      <c r="AB44" s="56">
        <v>0</v>
      </c>
      <c r="AC44" s="56"/>
      <c r="AD44" s="56">
        <v>0</v>
      </c>
      <c r="AE44" s="56"/>
      <c r="AF44" s="56">
        <f t="shared" si="1"/>
        <v>10000</v>
      </c>
      <c r="AG44" s="56">
        <v>0</v>
      </c>
      <c r="AH44" s="56">
        <v>0</v>
      </c>
      <c r="AI44" s="56"/>
      <c r="AJ44" s="56">
        <f t="shared" si="2"/>
        <v>10000</v>
      </c>
      <c r="AK44" s="85"/>
      <c r="AL44" s="56">
        <v>0</v>
      </c>
      <c r="AM44" s="56"/>
      <c r="AN44" s="88">
        <v>23220</v>
      </c>
      <c r="AO44" s="88">
        <v>0</v>
      </c>
      <c r="AP44" s="88">
        <v>19353.27</v>
      </c>
      <c r="AQ44" s="56"/>
      <c r="AR44" s="56">
        <v>0</v>
      </c>
      <c r="AS44" s="56"/>
      <c r="AT44" s="56">
        <v>0</v>
      </c>
      <c r="AU44" s="56"/>
      <c r="AV44" s="56">
        <f t="shared" si="3"/>
        <v>19353.27</v>
      </c>
      <c r="AW44" s="56"/>
      <c r="AX44" s="56">
        <v>0</v>
      </c>
      <c r="AY44" s="56"/>
      <c r="AZ44" s="88">
        <v>10000</v>
      </c>
      <c r="BA44" s="56">
        <v>10000</v>
      </c>
      <c r="BB44" s="214"/>
      <c r="BC44" s="56"/>
      <c r="BD44" s="84">
        <f t="shared" si="4"/>
        <v>-3866.7299999999996</v>
      </c>
      <c r="BE44" s="56"/>
      <c r="BF44" s="56"/>
      <c r="BG44" s="56"/>
      <c r="BH44" s="72"/>
    </row>
    <row r="45" spans="1:60" ht="20.100000000000001" customHeight="1" outlineLevel="1">
      <c r="A45" s="77" t="s">
        <v>43</v>
      </c>
      <c r="B45" s="124" t="s">
        <v>761</v>
      </c>
      <c r="C45" s="77" t="s">
        <v>1109</v>
      </c>
      <c r="D45" s="78" t="s">
        <v>46</v>
      </c>
      <c r="E45" s="78" t="str">
        <f t="shared" si="9"/>
        <v>000</v>
      </c>
      <c r="F45" s="3">
        <v>661163</v>
      </c>
      <c r="G45" s="102" t="s">
        <v>777</v>
      </c>
      <c r="H45" s="87"/>
      <c r="I45" s="87">
        <v>0</v>
      </c>
      <c r="J45" s="56">
        <v>0</v>
      </c>
      <c r="L45" s="56">
        <v>8416</v>
      </c>
      <c r="M45" s="56"/>
      <c r="N45" s="56">
        <v>4000</v>
      </c>
      <c r="O45" s="56"/>
      <c r="P45" s="56">
        <v>4000</v>
      </c>
      <c r="Q45" s="56"/>
      <c r="R45" s="56">
        <v>4000</v>
      </c>
      <c r="S45" s="56"/>
      <c r="T45" s="56">
        <v>0</v>
      </c>
      <c r="U45" s="56"/>
      <c r="V45" s="56">
        <v>4000</v>
      </c>
      <c r="W45" s="56"/>
      <c r="X45" s="56">
        <v>9291.7800000000007</v>
      </c>
      <c r="Y45" s="56"/>
      <c r="Z45" s="56">
        <v>4000</v>
      </c>
      <c r="AA45" s="56"/>
      <c r="AB45" s="56">
        <v>0</v>
      </c>
      <c r="AC45" s="56"/>
      <c r="AD45" s="56">
        <v>0</v>
      </c>
      <c r="AE45" s="56"/>
      <c r="AF45" s="56">
        <f t="shared" ref="AF45:AF59" si="10">SUM(Z45:AE45)</f>
        <v>4000</v>
      </c>
      <c r="AG45" s="56">
        <v>0</v>
      </c>
      <c r="AH45" s="56">
        <v>0</v>
      </c>
      <c r="AI45" s="56"/>
      <c r="AJ45" s="56">
        <f t="shared" ref="AJ45:AJ59" si="11">SUM(AE45:AI45)</f>
        <v>4000</v>
      </c>
      <c r="AK45" s="85"/>
      <c r="AL45" s="56">
        <v>0</v>
      </c>
      <c r="AM45" s="56"/>
      <c r="AN45" s="88">
        <v>2466</v>
      </c>
      <c r="AO45" s="88">
        <v>0</v>
      </c>
      <c r="AP45" s="88">
        <v>472.57</v>
      </c>
      <c r="AQ45" s="56"/>
      <c r="AR45" s="56">
        <v>0</v>
      </c>
      <c r="AS45" s="56"/>
      <c r="AT45" s="56">
        <v>0</v>
      </c>
      <c r="AU45" s="56"/>
      <c r="AV45" s="56">
        <f t="shared" ref="AV45:AV59" si="12">SUM(AP45:AU45)</f>
        <v>472.57</v>
      </c>
      <c r="AW45" s="56"/>
      <c r="AX45" s="56">
        <v>0</v>
      </c>
      <c r="AY45" s="56"/>
      <c r="AZ45" s="88">
        <v>3000</v>
      </c>
      <c r="BA45" s="56">
        <v>3000</v>
      </c>
      <c r="BB45" s="214"/>
      <c r="BC45" s="56"/>
      <c r="BD45" s="84">
        <f t="shared" ref="BD45:BD59" si="13">+AP45-AN45</f>
        <v>-1993.43</v>
      </c>
      <c r="BE45" s="56"/>
      <c r="BF45" s="56"/>
      <c r="BG45" s="56"/>
      <c r="BH45" s="72"/>
    </row>
    <row r="46" spans="1:60" ht="20.100000000000001" customHeight="1" outlineLevel="1">
      <c r="A46" s="77" t="s">
        <v>43</v>
      </c>
      <c r="B46" s="124" t="s">
        <v>761</v>
      </c>
      <c r="C46" s="77" t="s">
        <v>1109</v>
      </c>
      <c r="D46" s="78" t="s">
        <v>46</v>
      </c>
      <c r="E46" s="78" t="str">
        <f t="shared" si="9"/>
        <v>000</v>
      </c>
      <c r="F46" s="3">
        <v>661171</v>
      </c>
      <c r="G46" s="102" t="s">
        <v>778</v>
      </c>
      <c r="H46" s="87"/>
      <c r="I46" s="87">
        <v>0</v>
      </c>
      <c r="J46" s="56">
        <v>0</v>
      </c>
      <c r="L46" s="56">
        <v>1264</v>
      </c>
      <c r="M46" s="56"/>
      <c r="N46" s="56">
        <v>1500</v>
      </c>
      <c r="O46" s="56"/>
      <c r="P46" s="56">
        <v>1500</v>
      </c>
      <c r="Q46" s="56"/>
      <c r="R46" s="56">
        <v>1500</v>
      </c>
      <c r="S46" s="56"/>
      <c r="T46" s="56">
        <v>0</v>
      </c>
      <c r="U46" s="56"/>
      <c r="V46" s="56">
        <v>1500</v>
      </c>
      <c r="W46" s="56"/>
      <c r="X46" s="56">
        <v>181.24</v>
      </c>
      <c r="Y46" s="56"/>
      <c r="Z46" s="56">
        <v>1500</v>
      </c>
      <c r="AA46" s="56"/>
      <c r="AB46" s="56">
        <v>0</v>
      </c>
      <c r="AC46" s="56"/>
      <c r="AD46" s="56">
        <v>0</v>
      </c>
      <c r="AE46" s="56"/>
      <c r="AF46" s="56">
        <f t="shared" si="10"/>
        <v>1500</v>
      </c>
      <c r="AG46" s="56">
        <v>0</v>
      </c>
      <c r="AH46" s="56">
        <v>0</v>
      </c>
      <c r="AI46" s="56"/>
      <c r="AJ46" s="56">
        <f t="shared" si="11"/>
        <v>1500</v>
      </c>
      <c r="AK46" s="85"/>
      <c r="AL46" s="56">
        <v>0</v>
      </c>
      <c r="AM46" s="56"/>
      <c r="AN46" s="88">
        <v>2148</v>
      </c>
      <c r="AO46" s="88">
        <v>0</v>
      </c>
      <c r="AP46" s="88">
        <v>1734.22</v>
      </c>
      <c r="AQ46" s="56"/>
      <c r="AR46" s="56">
        <v>0</v>
      </c>
      <c r="AS46" s="56"/>
      <c r="AT46" s="56">
        <v>0</v>
      </c>
      <c r="AU46" s="56"/>
      <c r="AV46" s="56">
        <f t="shared" si="12"/>
        <v>1734.22</v>
      </c>
      <c r="AW46" s="56"/>
      <c r="AX46" s="56">
        <v>0</v>
      </c>
      <c r="AY46" s="56"/>
      <c r="AZ46" s="88">
        <v>1500</v>
      </c>
      <c r="BA46" s="56">
        <v>1500</v>
      </c>
      <c r="BB46" s="214"/>
      <c r="BC46" s="56"/>
      <c r="BD46" s="84">
        <f t="shared" si="13"/>
        <v>-413.78</v>
      </c>
      <c r="BE46" s="56"/>
      <c r="BF46" s="56"/>
      <c r="BG46" s="56"/>
      <c r="BH46" s="72"/>
    </row>
    <row r="47" spans="1:60" ht="20.100000000000001" customHeight="1" outlineLevel="1">
      <c r="A47" s="77" t="s">
        <v>43</v>
      </c>
      <c r="B47" s="124" t="s">
        <v>761</v>
      </c>
      <c r="C47" s="77" t="s">
        <v>1109</v>
      </c>
      <c r="D47" s="78" t="s">
        <v>46</v>
      </c>
      <c r="E47" s="78" t="str">
        <f t="shared" si="9"/>
        <v>000</v>
      </c>
      <c r="F47" s="3">
        <v>661172</v>
      </c>
      <c r="G47" s="102" t="s">
        <v>779</v>
      </c>
      <c r="H47" s="87"/>
      <c r="I47" s="87">
        <v>0</v>
      </c>
      <c r="J47" s="56">
        <v>0</v>
      </c>
      <c r="L47" s="56">
        <v>130</v>
      </c>
      <c r="M47" s="56"/>
      <c r="N47" s="56">
        <v>1000</v>
      </c>
      <c r="O47" s="56"/>
      <c r="P47" s="56">
        <v>1000</v>
      </c>
      <c r="Q47" s="56"/>
      <c r="R47" s="56">
        <v>1000</v>
      </c>
      <c r="S47" s="56"/>
      <c r="T47" s="56">
        <v>0</v>
      </c>
      <c r="U47" s="56"/>
      <c r="V47" s="56">
        <v>1000</v>
      </c>
      <c r="W47" s="56"/>
      <c r="X47" s="56">
        <v>37.520000000000003</v>
      </c>
      <c r="Y47" s="56"/>
      <c r="Z47" s="56">
        <v>500</v>
      </c>
      <c r="AA47" s="56"/>
      <c r="AB47" s="56">
        <v>0</v>
      </c>
      <c r="AC47" s="56"/>
      <c r="AD47" s="56">
        <v>0</v>
      </c>
      <c r="AE47" s="56"/>
      <c r="AF47" s="56">
        <f t="shared" si="10"/>
        <v>500</v>
      </c>
      <c r="AG47" s="56">
        <v>0</v>
      </c>
      <c r="AH47" s="56">
        <v>0</v>
      </c>
      <c r="AI47" s="56"/>
      <c r="AJ47" s="56">
        <f t="shared" si="11"/>
        <v>500</v>
      </c>
      <c r="AK47" s="85"/>
      <c r="AL47" s="56">
        <v>0</v>
      </c>
      <c r="AM47" s="56"/>
      <c r="AN47" s="88">
        <v>0</v>
      </c>
      <c r="AO47" s="88">
        <v>0</v>
      </c>
      <c r="AP47" s="88">
        <v>0</v>
      </c>
      <c r="AQ47" s="56"/>
      <c r="AR47" s="56">
        <v>0</v>
      </c>
      <c r="AS47" s="56"/>
      <c r="AT47" s="56">
        <v>0</v>
      </c>
      <c r="AU47" s="56"/>
      <c r="AV47" s="56">
        <f t="shared" si="12"/>
        <v>0</v>
      </c>
      <c r="AW47" s="56"/>
      <c r="AX47" s="56">
        <v>0</v>
      </c>
      <c r="AY47" s="56"/>
      <c r="AZ47" s="88">
        <v>500</v>
      </c>
      <c r="BA47" s="56">
        <v>500</v>
      </c>
      <c r="BB47" s="214"/>
      <c r="BC47" s="56"/>
      <c r="BD47" s="84">
        <f t="shared" si="13"/>
        <v>0</v>
      </c>
      <c r="BE47" s="56"/>
      <c r="BF47" s="56"/>
      <c r="BG47" s="56"/>
      <c r="BH47" s="72"/>
    </row>
    <row r="48" spans="1:60" ht="20.100000000000001" customHeight="1" outlineLevel="1">
      <c r="A48" s="77" t="s">
        <v>43</v>
      </c>
      <c r="B48" s="124" t="s">
        <v>761</v>
      </c>
      <c r="C48" s="77" t="s">
        <v>1109</v>
      </c>
      <c r="D48" s="78" t="s">
        <v>46</v>
      </c>
      <c r="E48" s="78" t="str">
        <f t="shared" si="9"/>
        <v>000</v>
      </c>
      <c r="F48" s="3">
        <v>661173</v>
      </c>
      <c r="G48" s="102" t="s">
        <v>780</v>
      </c>
      <c r="H48" s="87"/>
      <c r="I48" s="87">
        <v>0</v>
      </c>
      <c r="J48" s="56">
        <v>0</v>
      </c>
      <c r="L48" s="56">
        <v>6254</v>
      </c>
      <c r="M48" s="56"/>
      <c r="N48" s="56">
        <v>5000</v>
      </c>
      <c r="O48" s="56"/>
      <c r="P48" s="56">
        <v>5000</v>
      </c>
      <c r="Q48" s="56"/>
      <c r="R48" s="56">
        <v>5000</v>
      </c>
      <c r="S48" s="56"/>
      <c r="T48" s="56">
        <v>0</v>
      </c>
      <c r="U48" s="56"/>
      <c r="V48" s="56">
        <v>5000</v>
      </c>
      <c r="W48" s="56"/>
      <c r="X48" s="56">
        <v>4613.3100000000004</v>
      </c>
      <c r="Y48" s="56"/>
      <c r="Z48" s="56">
        <v>5000</v>
      </c>
      <c r="AA48" s="56"/>
      <c r="AB48" s="56">
        <v>0</v>
      </c>
      <c r="AC48" s="56"/>
      <c r="AD48" s="56">
        <v>0</v>
      </c>
      <c r="AE48" s="56"/>
      <c r="AF48" s="56">
        <f t="shared" si="10"/>
        <v>5000</v>
      </c>
      <c r="AG48" s="56">
        <v>0</v>
      </c>
      <c r="AH48" s="56">
        <v>0</v>
      </c>
      <c r="AI48" s="56"/>
      <c r="AJ48" s="56">
        <f t="shared" si="11"/>
        <v>5000</v>
      </c>
      <c r="AK48" s="85"/>
      <c r="AL48" s="56">
        <v>0</v>
      </c>
      <c r="AM48" s="56"/>
      <c r="AN48" s="88">
        <v>3168</v>
      </c>
      <c r="AO48" s="88">
        <v>0</v>
      </c>
      <c r="AP48" s="88">
        <v>3884.93</v>
      </c>
      <c r="AQ48" s="56"/>
      <c r="AR48" s="56">
        <v>0</v>
      </c>
      <c r="AS48" s="56"/>
      <c r="AT48" s="56">
        <v>0</v>
      </c>
      <c r="AU48" s="56"/>
      <c r="AV48" s="56">
        <f t="shared" si="12"/>
        <v>3884.93</v>
      </c>
      <c r="AW48" s="56"/>
      <c r="AX48" s="56">
        <v>0</v>
      </c>
      <c r="AY48" s="56"/>
      <c r="AZ48" s="88">
        <v>5000</v>
      </c>
      <c r="BA48" s="56">
        <v>5500</v>
      </c>
      <c r="BB48" s="214"/>
      <c r="BC48" s="56"/>
      <c r="BD48" s="84">
        <f t="shared" si="13"/>
        <v>716.92999999999984</v>
      </c>
      <c r="BE48" s="56"/>
      <c r="BF48" s="56"/>
      <c r="BG48" s="56"/>
      <c r="BH48" s="72"/>
    </row>
    <row r="49" spans="1:62" ht="20.100000000000001" customHeight="1" outlineLevel="1">
      <c r="A49" s="77" t="s">
        <v>43</v>
      </c>
      <c r="B49" s="124" t="s">
        <v>761</v>
      </c>
      <c r="C49" s="77" t="s">
        <v>1109</v>
      </c>
      <c r="D49" s="78" t="s">
        <v>46</v>
      </c>
      <c r="E49" s="78" t="str">
        <f t="shared" si="9"/>
        <v>000</v>
      </c>
      <c r="F49" s="3">
        <v>661174</v>
      </c>
      <c r="G49" s="102" t="s">
        <v>781</v>
      </c>
      <c r="H49" s="87"/>
      <c r="I49" s="87">
        <v>0</v>
      </c>
      <c r="J49" s="56">
        <v>0</v>
      </c>
      <c r="L49" s="56">
        <v>0</v>
      </c>
      <c r="M49" s="56"/>
      <c r="N49" s="56">
        <v>8000</v>
      </c>
      <c r="O49" s="56"/>
      <c r="P49" s="56">
        <v>8000</v>
      </c>
      <c r="Q49" s="56"/>
      <c r="R49" s="56">
        <v>8000</v>
      </c>
      <c r="S49" s="56"/>
      <c r="T49" s="56">
        <v>0</v>
      </c>
      <c r="U49" s="56"/>
      <c r="V49" s="56">
        <v>8000</v>
      </c>
      <c r="W49" s="56"/>
      <c r="X49" s="56">
        <v>9736.5</v>
      </c>
      <c r="Y49" s="56"/>
      <c r="Z49" s="56">
        <v>250000</v>
      </c>
      <c r="AA49" s="56"/>
      <c r="AB49" s="56">
        <v>0</v>
      </c>
      <c r="AC49" s="56"/>
      <c r="AD49" s="56">
        <v>0</v>
      </c>
      <c r="AE49" s="56"/>
      <c r="AF49" s="56">
        <f t="shared" si="10"/>
        <v>250000</v>
      </c>
      <c r="AG49" s="56">
        <v>0</v>
      </c>
      <c r="AH49" s="56">
        <v>0</v>
      </c>
      <c r="AI49" s="56"/>
      <c r="AJ49" s="56">
        <f t="shared" si="11"/>
        <v>250000</v>
      </c>
      <c r="AK49" s="85"/>
      <c r="AL49" s="56">
        <v>0</v>
      </c>
      <c r="AM49" s="56"/>
      <c r="AN49" s="88">
        <v>5220</v>
      </c>
      <c r="AO49" s="88">
        <v>0</v>
      </c>
      <c r="AP49" s="88">
        <v>1167.3</v>
      </c>
      <c r="AQ49" s="56"/>
      <c r="AR49" s="56">
        <v>0</v>
      </c>
      <c r="AS49" s="56"/>
      <c r="AT49" s="56">
        <v>1500</v>
      </c>
      <c r="AU49" s="56"/>
      <c r="AV49" s="56">
        <f t="shared" si="12"/>
        <v>2667.3</v>
      </c>
      <c r="AW49" s="56"/>
      <c r="AX49" s="56">
        <v>0</v>
      </c>
      <c r="AY49" s="56"/>
      <c r="AZ49" s="88">
        <v>10000</v>
      </c>
      <c r="BA49" s="56">
        <v>10000</v>
      </c>
      <c r="BB49" s="214"/>
      <c r="BC49" s="56"/>
      <c r="BD49" s="84">
        <f t="shared" si="13"/>
        <v>-4052.7</v>
      </c>
      <c r="BE49" s="56"/>
      <c r="BF49" s="56"/>
      <c r="BG49" s="56"/>
      <c r="BH49" s="72"/>
    </row>
    <row r="50" spans="1:62" ht="20.100000000000001" customHeight="1" outlineLevel="1">
      <c r="A50" s="77" t="s">
        <v>43</v>
      </c>
      <c r="B50" s="124" t="s">
        <v>761</v>
      </c>
      <c r="C50" s="77" t="s">
        <v>1109</v>
      </c>
      <c r="D50" s="78" t="s">
        <v>46</v>
      </c>
      <c r="E50" s="78" t="str">
        <f t="shared" si="9"/>
        <v>000</v>
      </c>
      <c r="F50" s="3">
        <v>661175</v>
      </c>
      <c r="G50" s="102" t="s">
        <v>782</v>
      </c>
      <c r="H50" s="87"/>
      <c r="I50" s="87">
        <v>0</v>
      </c>
      <c r="J50" s="56">
        <v>0</v>
      </c>
      <c r="L50" s="56">
        <v>0</v>
      </c>
      <c r="M50" s="56"/>
      <c r="N50" s="56">
        <v>0</v>
      </c>
      <c r="O50" s="56"/>
      <c r="P50" s="56">
        <v>0</v>
      </c>
      <c r="Q50" s="56"/>
      <c r="R50" s="56">
        <v>0</v>
      </c>
      <c r="S50" s="56"/>
      <c r="T50" s="56">
        <v>0</v>
      </c>
      <c r="U50" s="56"/>
      <c r="V50" s="56">
        <v>0</v>
      </c>
      <c r="W50" s="56"/>
      <c r="X50" s="56">
        <v>0</v>
      </c>
      <c r="Y50" s="56"/>
      <c r="Z50" s="56">
        <v>0</v>
      </c>
      <c r="AA50" s="56"/>
      <c r="AB50" s="56">
        <v>0</v>
      </c>
      <c r="AC50" s="56"/>
      <c r="AD50" s="56">
        <v>0</v>
      </c>
      <c r="AE50" s="56"/>
      <c r="AF50" s="56">
        <f t="shared" si="10"/>
        <v>0</v>
      </c>
      <c r="AG50" s="56">
        <v>0</v>
      </c>
      <c r="AH50" s="56">
        <v>0</v>
      </c>
      <c r="AI50" s="56"/>
      <c r="AJ50" s="56">
        <f t="shared" si="11"/>
        <v>0</v>
      </c>
      <c r="AK50" s="85"/>
      <c r="AL50" s="56">
        <v>0</v>
      </c>
      <c r="AM50" s="56"/>
      <c r="AN50" s="88">
        <v>12340</v>
      </c>
      <c r="AO50" s="88">
        <v>0</v>
      </c>
      <c r="AP50" s="88">
        <v>24600.38</v>
      </c>
      <c r="AQ50" s="56"/>
      <c r="AR50" s="56">
        <v>0</v>
      </c>
      <c r="AS50" s="56"/>
      <c r="AT50" s="56">
        <v>0</v>
      </c>
      <c r="AU50" s="56"/>
      <c r="AV50" s="56">
        <f t="shared" si="12"/>
        <v>24600.38</v>
      </c>
      <c r="AW50" s="56"/>
      <c r="AX50" s="56">
        <v>0</v>
      </c>
      <c r="AY50" s="56"/>
      <c r="AZ50" s="88">
        <v>0</v>
      </c>
      <c r="BA50" s="56">
        <v>0</v>
      </c>
      <c r="BB50" s="214"/>
      <c r="BC50" s="56"/>
      <c r="BD50" s="84">
        <f t="shared" si="13"/>
        <v>12260.380000000001</v>
      </c>
      <c r="BE50" s="56"/>
      <c r="BF50" s="56"/>
      <c r="BG50" s="56"/>
      <c r="BH50" s="72"/>
    </row>
    <row r="51" spans="1:62" ht="20.100000000000001" customHeight="1" outlineLevel="1">
      <c r="A51" s="77" t="s">
        <v>43</v>
      </c>
      <c r="B51" s="124" t="s">
        <v>761</v>
      </c>
      <c r="C51" s="77" t="s">
        <v>1109</v>
      </c>
      <c r="D51" s="78" t="s">
        <v>46</v>
      </c>
      <c r="E51" s="78" t="str">
        <f t="shared" si="9"/>
        <v>000</v>
      </c>
      <c r="F51" s="3">
        <v>661177</v>
      </c>
      <c r="G51" s="102" t="s">
        <v>783</v>
      </c>
      <c r="H51" s="87"/>
      <c r="I51" s="87">
        <v>0</v>
      </c>
      <c r="J51" s="56">
        <v>0</v>
      </c>
      <c r="L51" s="56">
        <v>0</v>
      </c>
      <c r="M51" s="56"/>
      <c r="N51" s="56">
        <v>2000</v>
      </c>
      <c r="O51" s="56"/>
      <c r="P51" s="56">
        <v>2000</v>
      </c>
      <c r="Q51" s="56"/>
      <c r="R51" s="56">
        <v>2000</v>
      </c>
      <c r="S51" s="56"/>
      <c r="T51" s="56">
        <v>0</v>
      </c>
      <c r="U51" s="56"/>
      <c r="V51" s="56">
        <v>2000</v>
      </c>
      <c r="W51" s="56"/>
      <c r="X51" s="56">
        <v>0</v>
      </c>
      <c r="Y51" s="56"/>
      <c r="Z51" s="56">
        <v>2000</v>
      </c>
      <c r="AA51" s="56"/>
      <c r="AB51" s="56">
        <v>0</v>
      </c>
      <c r="AC51" s="56"/>
      <c r="AD51" s="56">
        <v>0</v>
      </c>
      <c r="AE51" s="56"/>
      <c r="AF51" s="56">
        <f t="shared" si="10"/>
        <v>2000</v>
      </c>
      <c r="AG51" s="56">
        <v>0</v>
      </c>
      <c r="AH51" s="56">
        <v>0</v>
      </c>
      <c r="AI51" s="56"/>
      <c r="AJ51" s="56">
        <f t="shared" si="11"/>
        <v>2000</v>
      </c>
      <c r="AK51" s="85"/>
      <c r="AL51" s="56">
        <v>0</v>
      </c>
      <c r="AM51" s="56"/>
      <c r="AN51" s="88">
        <v>100</v>
      </c>
      <c r="AO51" s="88">
        <v>0</v>
      </c>
      <c r="AP51" s="88">
        <v>0</v>
      </c>
      <c r="AQ51" s="56"/>
      <c r="AR51" s="56">
        <v>0</v>
      </c>
      <c r="AS51" s="56"/>
      <c r="AT51" s="56">
        <v>0</v>
      </c>
      <c r="AU51" s="56"/>
      <c r="AV51" s="56">
        <f t="shared" si="12"/>
        <v>0</v>
      </c>
      <c r="AW51" s="56"/>
      <c r="AX51" s="56">
        <v>0</v>
      </c>
      <c r="AY51" s="56"/>
      <c r="AZ51" s="88">
        <v>2000</v>
      </c>
      <c r="BA51" s="56">
        <v>2000</v>
      </c>
      <c r="BB51" s="214"/>
      <c r="BC51" s="56"/>
      <c r="BD51" s="84">
        <f t="shared" si="13"/>
        <v>-100</v>
      </c>
      <c r="BE51" s="56"/>
      <c r="BF51" s="56"/>
      <c r="BG51" s="56"/>
      <c r="BH51" s="72"/>
    </row>
    <row r="52" spans="1:62" ht="20.100000000000001" customHeight="1" outlineLevel="1">
      <c r="A52" s="77" t="s">
        <v>43</v>
      </c>
      <c r="B52" s="124" t="s">
        <v>761</v>
      </c>
      <c r="C52" s="77" t="s">
        <v>1109</v>
      </c>
      <c r="D52" s="78" t="s">
        <v>46</v>
      </c>
      <c r="E52" s="78" t="str">
        <f t="shared" si="9"/>
        <v>000</v>
      </c>
      <c r="F52" s="3">
        <v>661178</v>
      </c>
      <c r="G52" s="102" t="s">
        <v>784</v>
      </c>
      <c r="H52" s="87"/>
      <c r="I52" s="87">
        <v>0</v>
      </c>
      <c r="J52" s="56">
        <v>0</v>
      </c>
      <c r="L52" s="56">
        <v>320</v>
      </c>
      <c r="M52" s="56"/>
      <c r="N52" s="56">
        <v>1000</v>
      </c>
      <c r="O52" s="56"/>
      <c r="P52" s="56">
        <v>1000</v>
      </c>
      <c r="Q52" s="56"/>
      <c r="R52" s="56">
        <v>1000</v>
      </c>
      <c r="S52" s="56"/>
      <c r="T52" s="56">
        <v>0</v>
      </c>
      <c r="U52" s="56"/>
      <c r="V52" s="56">
        <v>1000</v>
      </c>
      <c r="W52" s="56"/>
      <c r="X52" s="56">
        <v>93.65</v>
      </c>
      <c r="Y52" s="56"/>
      <c r="Z52" s="56">
        <v>1000</v>
      </c>
      <c r="AA52" s="56"/>
      <c r="AB52" s="56">
        <v>0</v>
      </c>
      <c r="AC52" s="56"/>
      <c r="AD52" s="56">
        <v>0</v>
      </c>
      <c r="AE52" s="56"/>
      <c r="AF52" s="56">
        <f t="shared" si="10"/>
        <v>1000</v>
      </c>
      <c r="AG52" s="56">
        <v>0</v>
      </c>
      <c r="AH52" s="56">
        <v>0</v>
      </c>
      <c r="AI52" s="56"/>
      <c r="AJ52" s="56">
        <f t="shared" si="11"/>
        <v>1000</v>
      </c>
      <c r="AK52" s="85"/>
      <c r="AL52" s="56">
        <v>0</v>
      </c>
      <c r="AM52" s="56"/>
      <c r="AN52" s="88">
        <v>204</v>
      </c>
      <c r="AO52" s="88">
        <v>0</v>
      </c>
      <c r="AP52" s="88">
        <v>86.5</v>
      </c>
      <c r="AQ52" s="56"/>
      <c r="AR52" s="56">
        <v>0</v>
      </c>
      <c r="AS52" s="56"/>
      <c r="AT52" s="56">
        <v>0</v>
      </c>
      <c r="AU52" s="56"/>
      <c r="AV52" s="56">
        <f t="shared" si="12"/>
        <v>86.5</v>
      </c>
      <c r="AW52" s="56"/>
      <c r="AX52" s="56">
        <v>0</v>
      </c>
      <c r="AY52" s="56"/>
      <c r="AZ52" s="88">
        <v>1000</v>
      </c>
      <c r="BA52" s="56">
        <v>1000</v>
      </c>
      <c r="BB52" s="214"/>
      <c r="BC52" s="56"/>
      <c r="BD52" s="84">
        <f t="shared" si="13"/>
        <v>-117.5</v>
      </c>
      <c r="BE52" s="56"/>
      <c r="BF52" s="56"/>
      <c r="BG52" s="56"/>
      <c r="BH52" s="72"/>
    </row>
    <row r="53" spans="1:62" ht="20.100000000000001" customHeight="1" outlineLevel="1">
      <c r="A53" s="77" t="s">
        <v>43</v>
      </c>
      <c r="B53" s="124" t="s">
        <v>761</v>
      </c>
      <c r="C53" s="77" t="s">
        <v>1109</v>
      </c>
      <c r="D53" s="78" t="s">
        <v>46</v>
      </c>
      <c r="E53" s="78" t="str">
        <f t="shared" si="9"/>
        <v>000</v>
      </c>
      <c r="F53" s="3">
        <v>661180</v>
      </c>
      <c r="G53" s="102" t="s">
        <v>785</v>
      </c>
      <c r="H53" s="87"/>
      <c r="I53" s="87">
        <v>0</v>
      </c>
      <c r="J53" s="56">
        <v>0</v>
      </c>
      <c r="L53" s="56">
        <v>0</v>
      </c>
      <c r="M53" s="56"/>
      <c r="N53" s="56">
        <v>1000</v>
      </c>
      <c r="O53" s="56"/>
      <c r="P53" s="56">
        <v>1000</v>
      </c>
      <c r="Q53" s="56"/>
      <c r="R53" s="56">
        <v>1000</v>
      </c>
      <c r="S53" s="56"/>
      <c r="T53" s="56">
        <v>0</v>
      </c>
      <c r="U53" s="56"/>
      <c r="V53" s="56">
        <v>1000</v>
      </c>
      <c r="W53" s="56"/>
      <c r="X53" s="56">
        <v>1034.24</v>
      </c>
      <c r="Y53" s="56"/>
      <c r="Z53" s="56">
        <v>1000</v>
      </c>
      <c r="AA53" s="56"/>
      <c r="AB53" s="56">
        <v>0</v>
      </c>
      <c r="AC53" s="56"/>
      <c r="AD53" s="56">
        <v>0</v>
      </c>
      <c r="AE53" s="56"/>
      <c r="AF53" s="56">
        <f t="shared" si="10"/>
        <v>1000</v>
      </c>
      <c r="AG53" s="56">
        <v>0</v>
      </c>
      <c r="AH53" s="56">
        <v>0</v>
      </c>
      <c r="AI53" s="56"/>
      <c r="AJ53" s="56">
        <f t="shared" si="11"/>
        <v>1000</v>
      </c>
      <c r="AK53" s="85"/>
      <c r="AL53" s="56">
        <v>0</v>
      </c>
      <c r="AM53" s="56"/>
      <c r="AN53" s="88">
        <v>753</v>
      </c>
      <c r="AO53" s="88">
        <v>0</v>
      </c>
      <c r="AP53" s="88">
        <v>19199.03</v>
      </c>
      <c r="AQ53" s="56"/>
      <c r="AR53" s="56">
        <v>17000</v>
      </c>
      <c r="AS53" s="56"/>
      <c r="AT53" s="56">
        <v>0</v>
      </c>
      <c r="AU53" s="56"/>
      <c r="AV53" s="56">
        <f t="shared" si="12"/>
        <v>36199.03</v>
      </c>
      <c r="AW53" s="56"/>
      <c r="AX53" s="56">
        <v>0</v>
      </c>
      <c r="AY53" s="56"/>
      <c r="AZ53" s="88">
        <v>18000</v>
      </c>
      <c r="BA53" s="56">
        <v>18000</v>
      </c>
      <c r="BB53" s="214"/>
      <c r="BC53" s="56"/>
      <c r="BD53" s="84">
        <f t="shared" si="13"/>
        <v>18446.03</v>
      </c>
      <c r="BE53" s="56"/>
      <c r="BF53" s="56"/>
      <c r="BG53" s="56"/>
      <c r="BH53" s="72"/>
    </row>
    <row r="54" spans="1:62" ht="20.100000000000001" customHeight="1" outlineLevel="1">
      <c r="A54" s="77" t="s">
        <v>43</v>
      </c>
      <c r="B54" s="124" t="s">
        <v>761</v>
      </c>
      <c r="C54" s="77" t="s">
        <v>1109</v>
      </c>
      <c r="D54" s="78" t="s">
        <v>46</v>
      </c>
      <c r="E54" s="78" t="str">
        <f t="shared" si="9"/>
        <v>000</v>
      </c>
      <c r="F54" s="3">
        <v>662611</v>
      </c>
      <c r="G54" s="102" t="s">
        <v>786</v>
      </c>
      <c r="H54" s="87"/>
      <c r="I54" s="87">
        <v>0</v>
      </c>
      <c r="J54" s="56">
        <v>0</v>
      </c>
      <c r="L54" s="56">
        <v>0</v>
      </c>
      <c r="M54" s="56"/>
      <c r="N54" s="56">
        <v>11500</v>
      </c>
      <c r="O54" s="56"/>
      <c r="P54" s="56">
        <v>11500</v>
      </c>
      <c r="Q54" s="56"/>
      <c r="R54" s="56">
        <v>11500</v>
      </c>
      <c r="S54" s="56"/>
      <c r="T54" s="56">
        <v>0</v>
      </c>
      <c r="U54" s="56"/>
      <c r="V54" s="56">
        <v>11500</v>
      </c>
      <c r="W54" s="56"/>
      <c r="X54" s="56">
        <v>0</v>
      </c>
      <c r="Y54" s="56"/>
      <c r="Z54" s="56">
        <v>11500</v>
      </c>
      <c r="AA54" s="56"/>
      <c r="AB54" s="56">
        <v>0</v>
      </c>
      <c r="AC54" s="56"/>
      <c r="AD54" s="56">
        <v>0</v>
      </c>
      <c r="AE54" s="56"/>
      <c r="AF54" s="56">
        <f t="shared" si="10"/>
        <v>11500</v>
      </c>
      <c r="AG54" s="56">
        <v>0</v>
      </c>
      <c r="AH54" s="56">
        <v>0</v>
      </c>
      <c r="AI54" s="56"/>
      <c r="AJ54" s="56">
        <f t="shared" si="11"/>
        <v>11500</v>
      </c>
      <c r="AK54" s="85"/>
      <c r="AL54" s="56">
        <v>0</v>
      </c>
      <c r="AM54" s="56"/>
      <c r="AN54" s="88">
        <v>181</v>
      </c>
      <c r="AO54" s="88">
        <v>0</v>
      </c>
      <c r="AP54" s="88">
        <v>0</v>
      </c>
      <c r="AQ54" s="56"/>
      <c r="AR54" s="56">
        <v>0</v>
      </c>
      <c r="AS54" s="56"/>
      <c r="AT54" s="56">
        <v>0</v>
      </c>
      <c r="AU54" s="56"/>
      <c r="AV54" s="56">
        <f t="shared" si="12"/>
        <v>0</v>
      </c>
      <c r="AW54" s="56"/>
      <c r="AX54" s="56">
        <v>0</v>
      </c>
      <c r="AY54" s="56"/>
      <c r="AZ54" s="88">
        <v>11500</v>
      </c>
      <c r="BA54" s="56">
        <v>11500</v>
      </c>
      <c r="BB54" s="214"/>
      <c r="BC54" s="56"/>
      <c r="BD54" s="84">
        <f t="shared" si="13"/>
        <v>-181</v>
      </c>
      <c r="BE54" s="56"/>
      <c r="BF54" s="56"/>
      <c r="BG54" s="56"/>
      <c r="BH54" s="72"/>
    </row>
    <row r="55" spans="1:62" ht="20.100000000000001" customHeight="1" outlineLevel="1">
      <c r="A55" s="77" t="s">
        <v>43</v>
      </c>
      <c r="B55" s="124" t="s">
        <v>761</v>
      </c>
      <c r="C55" s="77" t="s">
        <v>1109</v>
      </c>
      <c r="D55" s="78" t="s">
        <v>46</v>
      </c>
      <c r="E55" s="78" t="str">
        <f t="shared" si="9"/>
        <v>000</v>
      </c>
      <c r="F55" s="170">
        <v>673011</v>
      </c>
      <c r="G55" s="102" t="s">
        <v>632</v>
      </c>
      <c r="H55" s="87"/>
      <c r="I55" s="87">
        <v>0</v>
      </c>
      <c r="J55" s="56">
        <v>0</v>
      </c>
      <c r="L55" s="56">
        <v>739</v>
      </c>
      <c r="M55" s="56"/>
      <c r="N55" s="56">
        <v>8000</v>
      </c>
      <c r="O55" s="56"/>
      <c r="P55" s="56">
        <v>8000</v>
      </c>
      <c r="Q55" s="56"/>
      <c r="R55" s="56">
        <v>8000</v>
      </c>
      <c r="S55" s="56"/>
      <c r="T55" s="56">
        <v>0</v>
      </c>
      <c r="U55" s="56"/>
      <c r="V55" s="56">
        <v>8000</v>
      </c>
      <c r="W55" s="56"/>
      <c r="X55" s="56">
        <v>0</v>
      </c>
      <c r="Y55" s="56"/>
      <c r="Z55" s="56">
        <v>8000</v>
      </c>
      <c r="AA55" s="56"/>
      <c r="AB55" s="56">
        <v>0</v>
      </c>
      <c r="AC55" s="56"/>
      <c r="AD55" s="56">
        <v>0</v>
      </c>
      <c r="AE55" s="56"/>
      <c r="AF55" s="56">
        <f t="shared" si="10"/>
        <v>8000</v>
      </c>
      <c r="AG55" s="56">
        <v>0</v>
      </c>
      <c r="AH55" s="56">
        <v>0</v>
      </c>
      <c r="AI55" s="56"/>
      <c r="AJ55" s="56">
        <f t="shared" si="11"/>
        <v>8000</v>
      </c>
      <c r="AK55" s="85"/>
      <c r="AL55" s="56">
        <v>0</v>
      </c>
      <c r="AM55" s="56"/>
      <c r="AN55" s="88">
        <v>0</v>
      </c>
      <c r="AO55" s="88">
        <v>0</v>
      </c>
      <c r="AP55" s="88">
        <v>0</v>
      </c>
      <c r="AQ55" s="56"/>
      <c r="AR55" s="56">
        <v>0</v>
      </c>
      <c r="AS55" s="56"/>
      <c r="AT55" s="56">
        <v>0</v>
      </c>
      <c r="AU55" s="56"/>
      <c r="AV55" s="56">
        <f t="shared" si="12"/>
        <v>0</v>
      </c>
      <c r="AW55" s="56"/>
      <c r="AX55" s="56">
        <v>0</v>
      </c>
      <c r="AY55" s="56"/>
      <c r="AZ55" s="88">
        <v>7000</v>
      </c>
      <c r="BA55" s="56">
        <v>7000</v>
      </c>
      <c r="BB55" s="214"/>
      <c r="BC55" s="56"/>
      <c r="BD55" s="84">
        <f t="shared" si="13"/>
        <v>0</v>
      </c>
      <c r="BE55" s="56"/>
      <c r="BF55" s="56"/>
      <c r="BG55" s="56"/>
      <c r="BH55" s="72"/>
    </row>
    <row r="56" spans="1:62" ht="20.100000000000001" customHeight="1" outlineLevel="1">
      <c r="A56" s="77" t="s">
        <v>43</v>
      </c>
      <c r="B56" s="124" t="s">
        <v>761</v>
      </c>
      <c r="C56" s="77" t="s">
        <v>1109</v>
      </c>
      <c r="D56" s="78" t="s">
        <v>46</v>
      </c>
      <c r="E56" s="78" t="str">
        <f t="shared" si="9"/>
        <v>000</v>
      </c>
      <c r="F56" s="170">
        <v>673022</v>
      </c>
      <c r="G56" s="102" t="s">
        <v>787</v>
      </c>
      <c r="H56" s="87"/>
      <c r="I56" s="87">
        <v>0</v>
      </c>
      <c r="J56" s="56">
        <v>0</v>
      </c>
      <c r="L56" s="56">
        <v>0</v>
      </c>
      <c r="M56" s="56"/>
      <c r="N56" s="56">
        <v>7500</v>
      </c>
      <c r="O56" s="56"/>
      <c r="P56" s="56">
        <v>7500</v>
      </c>
      <c r="Q56" s="56"/>
      <c r="R56" s="56">
        <v>7500</v>
      </c>
      <c r="S56" s="56"/>
      <c r="T56" s="56">
        <v>0</v>
      </c>
      <c r="U56" s="56"/>
      <c r="V56" s="56">
        <v>7500</v>
      </c>
      <c r="W56" s="56"/>
      <c r="X56" s="56">
        <v>0</v>
      </c>
      <c r="Y56" s="56"/>
      <c r="Z56" s="56">
        <v>28000</v>
      </c>
      <c r="AA56" s="56"/>
      <c r="AB56" s="56">
        <v>0</v>
      </c>
      <c r="AC56" s="56"/>
      <c r="AD56" s="56">
        <v>0</v>
      </c>
      <c r="AE56" s="56"/>
      <c r="AF56" s="56">
        <f t="shared" si="10"/>
        <v>28000</v>
      </c>
      <c r="AG56" s="56">
        <v>0</v>
      </c>
      <c r="AH56" s="56">
        <v>0</v>
      </c>
      <c r="AI56" s="56"/>
      <c r="AJ56" s="56">
        <f t="shared" si="11"/>
        <v>28000</v>
      </c>
      <c r="AK56" s="85"/>
      <c r="AL56" s="56">
        <v>0</v>
      </c>
      <c r="AM56" s="56"/>
      <c r="AN56" s="88">
        <v>0</v>
      </c>
      <c r="AO56" s="88">
        <v>0</v>
      </c>
      <c r="AP56" s="88">
        <v>943.94</v>
      </c>
      <c r="AQ56" s="56"/>
      <c r="AR56" s="56">
        <v>0</v>
      </c>
      <c r="AS56" s="56"/>
      <c r="AT56" s="56">
        <v>0</v>
      </c>
      <c r="AU56" s="56"/>
      <c r="AV56" s="56">
        <f t="shared" si="12"/>
        <v>943.94</v>
      </c>
      <c r="AW56" s="56"/>
      <c r="AX56" s="56">
        <v>0</v>
      </c>
      <c r="AY56" s="56"/>
      <c r="AZ56" s="88">
        <v>20000</v>
      </c>
      <c r="BA56" s="56">
        <v>20000</v>
      </c>
      <c r="BB56" s="214"/>
      <c r="BC56" s="56"/>
      <c r="BD56" s="84">
        <f t="shared" si="13"/>
        <v>943.94</v>
      </c>
      <c r="BE56" s="56"/>
      <c r="BF56" s="56"/>
      <c r="BG56" s="56"/>
      <c r="BH56" s="72"/>
    </row>
    <row r="57" spans="1:62" ht="20.100000000000001" customHeight="1" outlineLevel="1">
      <c r="A57" s="77" t="s">
        <v>43</v>
      </c>
      <c r="B57" s="124" t="s">
        <v>761</v>
      </c>
      <c r="C57" s="77" t="s">
        <v>1109</v>
      </c>
      <c r="D57" s="78" t="s">
        <v>46</v>
      </c>
      <c r="E57" s="78" t="str">
        <f t="shared" si="9"/>
        <v>000</v>
      </c>
      <c r="F57" s="170">
        <v>673111</v>
      </c>
      <c r="G57" s="102" t="s">
        <v>788</v>
      </c>
      <c r="H57" s="87"/>
      <c r="I57" s="87">
        <v>0</v>
      </c>
      <c r="J57" s="56">
        <v>0</v>
      </c>
      <c r="L57" s="56">
        <v>25524</v>
      </c>
      <c r="M57" s="56"/>
      <c r="N57" s="56">
        <v>12000</v>
      </c>
      <c r="O57" s="56"/>
      <c r="P57" s="56">
        <v>12000</v>
      </c>
      <c r="Q57" s="56"/>
      <c r="R57" s="56">
        <v>12000</v>
      </c>
      <c r="S57" s="56"/>
      <c r="T57" s="56">
        <v>0</v>
      </c>
      <c r="U57" s="56"/>
      <c r="V57" s="56">
        <v>12000</v>
      </c>
      <c r="W57" s="56"/>
      <c r="X57" s="56">
        <v>1410</v>
      </c>
      <c r="Y57" s="56"/>
      <c r="Z57" s="56">
        <v>10000</v>
      </c>
      <c r="AA57" s="56"/>
      <c r="AB57" s="56">
        <v>0</v>
      </c>
      <c r="AC57" s="56"/>
      <c r="AD57" s="56">
        <v>0</v>
      </c>
      <c r="AE57" s="56"/>
      <c r="AF57" s="56">
        <f t="shared" si="10"/>
        <v>10000</v>
      </c>
      <c r="AG57" s="56">
        <v>0</v>
      </c>
      <c r="AH57" s="56">
        <v>0</v>
      </c>
      <c r="AI57" s="56"/>
      <c r="AJ57" s="56">
        <f t="shared" si="11"/>
        <v>10000</v>
      </c>
      <c r="AK57" s="85"/>
      <c r="AL57" s="56">
        <v>0</v>
      </c>
      <c r="AM57" s="56"/>
      <c r="AN57" s="88">
        <v>0</v>
      </c>
      <c r="AO57" s="88">
        <v>0</v>
      </c>
      <c r="AP57" s="88">
        <v>286.43</v>
      </c>
      <c r="AQ57" s="56"/>
      <c r="AR57" s="56">
        <v>0</v>
      </c>
      <c r="AS57" s="56"/>
      <c r="AT57" s="56">
        <v>0</v>
      </c>
      <c r="AU57" s="56"/>
      <c r="AV57" s="56">
        <f t="shared" si="12"/>
        <v>286.43</v>
      </c>
      <c r="AW57" s="56"/>
      <c r="AX57" s="56">
        <v>0</v>
      </c>
      <c r="AY57" s="56"/>
      <c r="AZ57" s="88">
        <v>10000</v>
      </c>
      <c r="BA57" s="56">
        <v>10000</v>
      </c>
      <c r="BB57" s="214"/>
      <c r="BC57" s="56"/>
      <c r="BD57" s="84">
        <f t="shared" si="13"/>
        <v>286.43</v>
      </c>
      <c r="BE57" s="56"/>
      <c r="BF57" s="56"/>
      <c r="BG57" s="56"/>
      <c r="BH57" s="72"/>
    </row>
    <row r="58" spans="1:62" ht="20.100000000000001" customHeight="1" outlineLevel="1">
      <c r="A58" s="77" t="s">
        <v>43</v>
      </c>
      <c r="B58" s="124" t="s">
        <v>761</v>
      </c>
      <c r="C58" s="77" t="s">
        <v>1109</v>
      </c>
      <c r="D58" s="78" t="s">
        <v>46</v>
      </c>
      <c r="E58" s="78" t="str">
        <f t="shared" si="9"/>
        <v>000</v>
      </c>
      <c r="F58" s="170">
        <v>673211</v>
      </c>
      <c r="G58" s="102" t="s">
        <v>789</v>
      </c>
      <c r="H58" s="87"/>
      <c r="I58" s="87">
        <v>0</v>
      </c>
      <c r="J58" s="56">
        <v>0</v>
      </c>
      <c r="L58" s="56">
        <v>33226</v>
      </c>
      <c r="M58" s="56"/>
      <c r="N58" s="56">
        <v>30500</v>
      </c>
      <c r="O58" s="56"/>
      <c r="P58" s="56">
        <v>30500</v>
      </c>
      <c r="Q58" s="56"/>
      <c r="R58" s="56">
        <v>30500</v>
      </c>
      <c r="S58" s="56"/>
      <c r="T58" s="56">
        <v>0</v>
      </c>
      <c r="U58" s="56"/>
      <c r="V58" s="56">
        <v>30500</v>
      </c>
      <c r="W58" s="56"/>
      <c r="X58" s="56">
        <v>15431</v>
      </c>
      <c r="Y58" s="56"/>
      <c r="Z58" s="56">
        <v>30500</v>
      </c>
      <c r="AA58" s="56"/>
      <c r="AB58" s="56">
        <v>0</v>
      </c>
      <c r="AC58" s="56"/>
      <c r="AD58" s="56">
        <v>0</v>
      </c>
      <c r="AE58" s="56"/>
      <c r="AF58" s="56">
        <f t="shared" si="10"/>
        <v>30500</v>
      </c>
      <c r="AG58" s="56">
        <v>0</v>
      </c>
      <c r="AH58" s="56">
        <v>0</v>
      </c>
      <c r="AI58" s="56"/>
      <c r="AJ58" s="56">
        <f t="shared" si="11"/>
        <v>30500</v>
      </c>
      <c r="AK58" s="85"/>
      <c r="AL58" s="56">
        <v>0</v>
      </c>
      <c r="AM58" s="56"/>
      <c r="AN58" s="88">
        <v>13897</v>
      </c>
      <c r="AO58" s="88">
        <v>0</v>
      </c>
      <c r="AP58" s="88">
        <v>0</v>
      </c>
      <c r="AQ58" s="56"/>
      <c r="AR58" s="56">
        <v>0</v>
      </c>
      <c r="AS58" s="56"/>
      <c r="AT58" s="56">
        <v>0</v>
      </c>
      <c r="AU58" s="56"/>
      <c r="AV58" s="56">
        <f t="shared" si="12"/>
        <v>0</v>
      </c>
      <c r="AW58" s="56"/>
      <c r="AX58" s="56">
        <v>0</v>
      </c>
      <c r="AY58" s="56"/>
      <c r="AZ58" s="88">
        <v>0</v>
      </c>
      <c r="BA58" s="56">
        <v>0</v>
      </c>
      <c r="BB58" s="214"/>
      <c r="BC58" s="56"/>
      <c r="BD58" s="84">
        <f t="shared" si="13"/>
        <v>-13897</v>
      </c>
      <c r="BE58" s="56"/>
      <c r="BF58" s="56"/>
      <c r="BG58" s="56"/>
      <c r="BH58" s="72"/>
    </row>
    <row r="59" spans="1:62" ht="20.100000000000001" customHeight="1" outlineLevel="1">
      <c r="A59" s="77" t="s">
        <v>43</v>
      </c>
      <c r="B59" s="124" t="s">
        <v>761</v>
      </c>
      <c r="C59" s="77" t="s">
        <v>1109</v>
      </c>
      <c r="D59" s="78" t="s">
        <v>46</v>
      </c>
      <c r="E59" s="78" t="str">
        <f t="shared" si="9"/>
        <v>000</v>
      </c>
      <c r="F59" s="3">
        <v>689011</v>
      </c>
      <c r="G59" s="102" t="s">
        <v>790</v>
      </c>
      <c r="H59" s="87"/>
      <c r="I59" s="87">
        <v>0</v>
      </c>
      <c r="J59" s="56">
        <v>0</v>
      </c>
      <c r="L59" s="56">
        <v>173</v>
      </c>
      <c r="M59" s="56"/>
      <c r="N59" s="56">
        <v>2000</v>
      </c>
      <c r="O59" s="56"/>
      <c r="P59" s="56">
        <v>2000</v>
      </c>
      <c r="Q59" s="56"/>
      <c r="R59" s="56">
        <v>2000</v>
      </c>
      <c r="S59" s="56"/>
      <c r="T59" s="56">
        <v>0</v>
      </c>
      <c r="U59" s="56"/>
      <c r="V59" s="56">
        <v>2000</v>
      </c>
      <c r="W59" s="56"/>
      <c r="X59" s="56">
        <v>2487.7399999999998</v>
      </c>
      <c r="Y59" s="56"/>
      <c r="Z59" s="56">
        <v>2000</v>
      </c>
      <c r="AA59" s="56"/>
      <c r="AB59" s="56">
        <v>0</v>
      </c>
      <c r="AC59" s="56"/>
      <c r="AD59" s="56">
        <v>0</v>
      </c>
      <c r="AE59" s="56"/>
      <c r="AF59" s="56">
        <f t="shared" si="10"/>
        <v>2000</v>
      </c>
      <c r="AG59" s="56">
        <v>0</v>
      </c>
      <c r="AH59" s="56">
        <v>0</v>
      </c>
      <c r="AI59" s="56"/>
      <c r="AJ59" s="56">
        <f t="shared" si="11"/>
        <v>2000</v>
      </c>
      <c r="AK59" s="85"/>
      <c r="AL59" s="56">
        <v>0</v>
      </c>
      <c r="AM59" s="56"/>
      <c r="AN59" s="88">
        <v>459</v>
      </c>
      <c r="AO59" s="88">
        <v>0</v>
      </c>
      <c r="AP59" s="88">
        <v>0</v>
      </c>
      <c r="AQ59" s="56"/>
      <c r="AR59" s="56">
        <v>0</v>
      </c>
      <c r="AS59" s="56"/>
      <c r="AT59" s="56">
        <v>0</v>
      </c>
      <c r="AU59" s="56"/>
      <c r="AV59" s="56">
        <f t="shared" si="12"/>
        <v>0</v>
      </c>
      <c r="AW59" s="56"/>
      <c r="AX59" s="56">
        <v>0</v>
      </c>
      <c r="AY59" s="56"/>
      <c r="AZ59" s="88">
        <v>2000</v>
      </c>
      <c r="BA59" s="56">
        <v>2000</v>
      </c>
      <c r="BB59" s="214"/>
      <c r="BC59" s="56"/>
      <c r="BD59" s="84">
        <f t="shared" si="13"/>
        <v>-459</v>
      </c>
      <c r="BE59" s="56"/>
      <c r="BF59" s="56"/>
      <c r="BG59" s="56"/>
      <c r="BH59" s="72"/>
    </row>
    <row r="60" spans="1:62" ht="20.100000000000001" customHeight="1" outlineLevel="1">
      <c r="A60" s="77" t="s">
        <v>43</v>
      </c>
      <c r="B60" s="77" t="s">
        <v>619</v>
      </c>
      <c r="C60" s="77" t="s">
        <v>1109</v>
      </c>
      <c r="D60" s="78" t="s">
        <v>46</v>
      </c>
      <c r="E60" s="78" t="str">
        <f t="shared" ref="E60:E81" si="14">+D60</f>
        <v>000</v>
      </c>
      <c r="F60" s="3">
        <v>611621</v>
      </c>
      <c r="G60" s="102" t="s">
        <v>791</v>
      </c>
      <c r="H60" s="87"/>
      <c r="I60" s="13">
        <v>3117254</v>
      </c>
      <c r="J60" s="13">
        <v>2958572</v>
      </c>
      <c r="L60" s="56">
        <v>3950952</v>
      </c>
      <c r="M60" s="56"/>
      <c r="N60" s="56">
        <v>3500120</v>
      </c>
      <c r="O60" s="56"/>
      <c r="P60" s="56">
        <v>3500120</v>
      </c>
      <c r="Q60" s="56"/>
      <c r="R60" s="56">
        <v>4172597</v>
      </c>
      <c r="S60" s="56"/>
      <c r="T60" s="56">
        <v>0</v>
      </c>
      <c r="U60" s="56"/>
      <c r="V60" s="56">
        <v>4172597</v>
      </c>
      <c r="W60" s="56"/>
      <c r="X60" s="56">
        <v>4209584.3</v>
      </c>
      <c r="Y60" s="56"/>
      <c r="Z60" s="56">
        <v>3797997</v>
      </c>
      <c r="AA60" s="56"/>
      <c r="AB60" s="56">
        <v>0</v>
      </c>
      <c r="AC60" s="56"/>
      <c r="AD60" s="56">
        <v>0</v>
      </c>
      <c r="AE60" s="56"/>
      <c r="AF60" s="56">
        <f t="shared" ref="AF60:AF67" si="15">SUM(Z60:AE60)</f>
        <v>3797997</v>
      </c>
      <c r="AG60" s="104">
        <v>48915</v>
      </c>
      <c r="AH60" s="56">
        <v>616500</v>
      </c>
      <c r="AI60" s="56"/>
      <c r="AJ60" s="56">
        <f t="shared" ref="AJ60:AJ67" si="16">SUM(AE60:AI60)</f>
        <v>4463412</v>
      </c>
      <c r="AK60" s="85"/>
      <c r="AL60" s="56">
        <v>0</v>
      </c>
      <c r="AM60" s="56"/>
      <c r="AN60" s="88">
        <v>4540096</v>
      </c>
      <c r="AO60" s="88">
        <v>0</v>
      </c>
      <c r="AP60" s="88">
        <v>4036014.02</v>
      </c>
      <c r="AQ60" s="56"/>
      <c r="AR60" s="56">
        <v>0</v>
      </c>
      <c r="AS60" s="56"/>
      <c r="AT60" s="56">
        <v>0</v>
      </c>
      <c r="AU60" s="56"/>
      <c r="AV60" s="56">
        <f t="shared" ref="AV60:AV67" si="17">SUM(AP60:AU60)</f>
        <v>4036014.02</v>
      </c>
      <c r="AW60" s="56"/>
      <c r="AX60" s="106">
        <v>270427</v>
      </c>
      <c r="AY60" s="56"/>
      <c r="AZ60" s="88">
        <v>3873219</v>
      </c>
      <c r="BA60" s="56">
        <v>3873219</v>
      </c>
      <c r="BB60" s="214"/>
      <c r="BC60" s="56"/>
      <c r="BD60" s="84">
        <f t="shared" ref="BD60:BD81" si="18">+AP60-AN60</f>
        <v>-504081.98</v>
      </c>
      <c r="BE60" s="56"/>
      <c r="BF60" s="56"/>
      <c r="BG60" s="56"/>
      <c r="BH60" s="72">
        <v>2</v>
      </c>
      <c r="BJ60">
        <v>2</v>
      </c>
    </row>
    <row r="61" spans="1:62" ht="20.100000000000001" customHeight="1" outlineLevel="1">
      <c r="A61" s="77" t="s">
        <v>43</v>
      </c>
      <c r="B61" s="77" t="s">
        <v>619</v>
      </c>
      <c r="C61" s="77" t="s">
        <v>1109</v>
      </c>
      <c r="D61" s="78" t="s">
        <v>46</v>
      </c>
      <c r="E61" s="78" t="str">
        <f t="shared" si="14"/>
        <v>000</v>
      </c>
      <c r="F61" s="3">
        <v>612311</v>
      </c>
      <c r="G61" s="102" t="s">
        <v>792</v>
      </c>
      <c r="H61" s="87"/>
      <c r="I61" s="13">
        <v>357223</v>
      </c>
      <c r="J61" s="13">
        <v>368314</v>
      </c>
      <c r="L61" s="56">
        <v>384238</v>
      </c>
      <c r="M61" s="56"/>
      <c r="N61" s="56">
        <v>325000</v>
      </c>
      <c r="O61" s="56"/>
      <c r="P61" s="56">
        <v>325000</v>
      </c>
      <c r="Q61" s="56"/>
      <c r="R61" s="56">
        <v>325000</v>
      </c>
      <c r="S61" s="56"/>
      <c r="T61" s="56">
        <v>0</v>
      </c>
      <c r="U61" s="56"/>
      <c r="V61" s="56">
        <v>325000</v>
      </c>
      <c r="W61" s="56"/>
      <c r="X61" s="56">
        <f>413457.34+7178.88</f>
        <v>420636.22000000003</v>
      </c>
      <c r="Y61" s="56"/>
      <c r="Z61" s="56">
        <v>325000</v>
      </c>
      <c r="AA61" s="56"/>
      <c r="AB61" s="56">
        <v>0</v>
      </c>
      <c r="AC61" s="56"/>
      <c r="AD61" s="56">
        <v>0</v>
      </c>
      <c r="AE61" s="56"/>
      <c r="AF61" s="56">
        <f t="shared" si="15"/>
        <v>325000</v>
      </c>
      <c r="AG61" s="56">
        <v>0</v>
      </c>
      <c r="AH61" s="56">
        <v>0</v>
      </c>
      <c r="AI61" s="56"/>
      <c r="AJ61" s="56">
        <f t="shared" si="16"/>
        <v>325000</v>
      </c>
      <c r="AK61" s="85"/>
      <c r="AL61" s="89">
        <v>43000</v>
      </c>
      <c r="AM61" s="56"/>
      <c r="AN61" s="88">
        <v>415322</v>
      </c>
      <c r="AO61" s="88">
        <v>0</v>
      </c>
      <c r="AP61" s="88">
        <f>384702.13+8597.01</f>
        <v>393299.14</v>
      </c>
      <c r="AQ61" s="56"/>
      <c r="AR61" s="56">
        <v>0</v>
      </c>
      <c r="AS61" s="56"/>
      <c r="AT61" s="56">
        <v>0</v>
      </c>
      <c r="AU61" s="56"/>
      <c r="AV61" s="56">
        <f t="shared" si="17"/>
        <v>393299.14</v>
      </c>
      <c r="AW61" s="56"/>
      <c r="AX61" s="106">
        <v>0</v>
      </c>
      <c r="AY61" s="56"/>
      <c r="AZ61" s="88">
        <v>325000</v>
      </c>
      <c r="BA61" s="56">
        <v>325000</v>
      </c>
      <c r="BB61" s="214"/>
      <c r="BC61" s="56"/>
      <c r="BD61" s="84">
        <f t="shared" si="18"/>
        <v>-22022.859999999986</v>
      </c>
      <c r="BE61" s="56"/>
      <c r="BF61" s="56"/>
      <c r="BG61" s="56"/>
      <c r="BH61" s="72">
        <v>0</v>
      </c>
      <c r="BJ61">
        <v>0</v>
      </c>
    </row>
    <row r="62" spans="1:62" ht="20.100000000000001" customHeight="1" outlineLevel="1">
      <c r="A62" s="77" t="s">
        <v>43</v>
      </c>
      <c r="B62" s="77" t="s">
        <v>793</v>
      </c>
      <c r="C62" s="77" t="s">
        <v>1109</v>
      </c>
      <c r="D62" s="78" t="s">
        <v>46</v>
      </c>
      <c r="E62" s="78" t="str">
        <f t="shared" si="14"/>
        <v>000</v>
      </c>
      <c r="F62" s="3">
        <v>611521</v>
      </c>
      <c r="G62" s="102" t="s">
        <v>794</v>
      </c>
      <c r="H62" s="87"/>
      <c r="I62" s="13">
        <v>2652</v>
      </c>
      <c r="J62" s="13">
        <v>5771</v>
      </c>
      <c r="L62" s="56">
        <v>0</v>
      </c>
      <c r="M62" s="56"/>
      <c r="N62" s="56">
        <v>0</v>
      </c>
      <c r="O62" s="56"/>
      <c r="P62" s="56">
        <v>0</v>
      </c>
      <c r="Q62" s="56"/>
      <c r="R62" s="56">
        <v>0</v>
      </c>
      <c r="S62" s="56"/>
      <c r="T62" s="56">
        <v>0</v>
      </c>
      <c r="U62" s="56"/>
      <c r="V62" s="56">
        <v>0</v>
      </c>
      <c r="W62" s="56"/>
      <c r="X62" s="56">
        <v>0</v>
      </c>
      <c r="Y62" s="56"/>
      <c r="Z62" s="87">
        <v>0</v>
      </c>
      <c r="AA62" s="56"/>
      <c r="AB62" s="56">
        <v>0</v>
      </c>
      <c r="AC62" s="56"/>
      <c r="AD62" s="56">
        <v>0</v>
      </c>
      <c r="AE62" s="56"/>
      <c r="AF62" s="56">
        <f t="shared" si="15"/>
        <v>0</v>
      </c>
      <c r="AG62" s="56">
        <v>0</v>
      </c>
      <c r="AH62" s="56">
        <v>0</v>
      </c>
      <c r="AI62" s="56"/>
      <c r="AJ62" s="56">
        <f t="shared" si="16"/>
        <v>0</v>
      </c>
      <c r="AK62" s="85"/>
      <c r="AL62" s="56">
        <v>0</v>
      </c>
      <c r="AM62" s="56"/>
      <c r="AN62" s="88">
        <v>4518</v>
      </c>
      <c r="AO62" s="88">
        <v>0</v>
      </c>
      <c r="AP62" s="88">
        <v>2551</v>
      </c>
      <c r="AQ62" s="56"/>
      <c r="AR62" s="56">
        <v>0</v>
      </c>
      <c r="AS62" s="56"/>
      <c r="AT62" s="56">
        <v>0</v>
      </c>
      <c r="AU62" s="56"/>
      <c r="AV62" s="56">
        <f t="shared" si="17"/>
        <v>2551</v>
      </c>
      <c r="AW62" s="56"/>
      <c r="AX62" s="106">
        <v>0</v>
      </c>
      <c r="AY62" s="56"/>
      <c r="AZ62" s="88">
        <v>0</v>
      </c>
      <c r="BA62" s="56">
        <v>0</v>
      </c>
      <c r="BB62" s="214"/>
      <c r="BC62" s="56"/>
      <c r="BD62" s="84">
        <f t="shared" si="18"/>
        <v>-1967</v>
      </c>
      <c r="BE62" s="56"/>
      <c r="BF62" s="56"/>
      <c r="BG62" s="56"/>
      <c r="BH62" s="72">
        <v>1</v>
      </c>
    </row>
    <row r="63" spans="1:62" ht="20.100000000000001" customHeight="1" outlineLevel="1">
      <c r="A63" s="77" t="s">
        <v>43</v>
      </c>
      <c r="B63" s="77" t="s">
        <v>795</v>
      </c>
      <c r="C63" s="77" t="s">
        <v>1109</v>
      </c>
      <c r="D63" s="78" t="s">
        <v>46</v>
      </c>
      <c r="E63" s="78" t="str">
        <f t="shared" si="14"/>
        <v>000</v>
      </c>
      <c r="F63" s="3">
        <v>611721</v>
      </c>
      <c r="G63" s="102" t="s">
        <v>796</v>
      </c>
      <c r="H63" s="87"/>
      <c r="I63" s="13">
        <v>364926</v>
      </c>
      <c r="J63" s="13">
        <v>336013</v>
      </c>
      <c r="L63" s="56">
        <f>396699-L85</f>
        <v>317359.2</v>
      </c>
      <c r="M63" s="56"/>
      <c r="N63" s="56">
        <v>365000</v>
      </c>
      <c r="O63" s="56"/>
      <c r="P63" s="56">
        <v>365000</v>
      </c>
      <c r="Q63" s="56"/>
      <c r="R63" s="56">
        <v>418686</v>
      </c>
      <c r="S63" s="56"/>
      <c r="T63" s="56">
        <v>0</v>
      </c>
      <c r="U63" s="56"/>
      <c r="V63" s="56">
        <v>418686</v>
      </c>
      <c r="W63" s="56"/>
      <c r="X63" s="56">
        <f>316577.96+99972-X85</f>
        <v>333239.96799999999</v>
      </c>
      <c r="Y63" s="56"/>
      <c r="Z63" s="56">
        <v>385000</v>
      </c>
      <c r="AA63" s="56"/>
      <c r="AB63" s="56">
        <v>0</v>
      </c>
      <c r="AC63" s="56"/>
      <c r="AD63" s="56">
        <v>0</v>
      </c>
      <c r="AE63" s="56"/>
      <c r="AF63" s="56">
        <f t="shared" si="15"/>
        <v>385000</v>
      </c>
      <c r="AG63" s="104">
        <v>33000</v>
      </c>
      <c r="AH63" s="56">
        <v>20250</v>
      </c>
      <c r="AI63" s="56"/>
      <c r="AJ63" s="56">
        <f t="shared" si="16"/>
        <v>438250</v>
      </c>
      <c r="AK63" s="85"/>
      <c r="AL63" s="56">
        <v>0</v>
      </c>
      <c r="AM63" s="56"/>
      <c r="AN63" s="88">
        <f>432227-AN85</f>
        <v>345781.6</v>
      </c>
      <c r="AO63" s="88">
        <v>0</v>
      </c>
      <c r="AP63" s="88">
        <v>319444.65000000002</v>
      </c>
      <c r="AQ63" s="56"/>
      <c r="AR63" s="56">
        <v>0</v>
      </c>
      <c r="AS63" s="56"/>
      <c r="AT63" s="56">
        <v>0</v>
      </c>
      <c r="AU63" s="56"/>
      <c r="AV63" s="56">
        <f t="shared" si="17"/>
        <v>319444.65000000002</v>
      </c>
      <c r="AW63" s="56"/>
      <c r="AX63" s="106">
        <v>5000</v>
      </c>
      <c r="AY63" s="56"/>
      <c r="AZ63" s="88">
        <v>400200</v>
      </c>
      <c r="BA63" s="56">
        <v>409000</v>
      </c>
      <c r="BB63" s="214"/>
      <c r="BC63" s="56"/>
      <c r="BD63" s="84">
        <f t="shared" si="18"/>
        <v>-26336.949999999953</v>
      </c>
      <c r="BE63" s="56"/>
      <c r="BF63" s="56"/>
      <c r="BG63" s="56"/>
      <c r="BH63" s="72">
        <v>2</v>
      </c>
      <c r="BJ63">
        <v>2</v>
      </c>
    </row>
    <row r="64" spans="1:62" ht="20.100000000000001" customHeight="1" outlineLevel="1">
      <c r="A64" s="77" t="s">
        <v>43</v>
      </c>
      <c r="B64" s="77" t="s">
        <v>795</v>
      </c>
      <c r="C64" s="77" t="s">
        <v>1109</v>
      </c>
      <c r="D64" s="78" t="s">
        <v>46</v>
      </c>
      <c r="E64" s="78" t="str">
        <f t="shared" si="14"/>
        <v>000</v>
      </c>
      <c r="F64" s="3">
        <v>643003</v>
      </c>
      <c r="G64" s="102" t="s">
        <v>797</v>
      </c>
      <c r="H64" s="87"/>
      <c r="I64" s="87">
        <v>0</v>
      </c>
      <c r="J64" s="56">
        <v>0</v>
      </c>
      <c r="L64" s="56">
        <v>12722</v>
      </c>
      <c r="M64" s="56"/>
      <c r="N64" s="56">
        <v>4000</v>
      </c>
      <c r="O64" s="56"/>
      <c r="P64" s="56">
        <v>4000</v>
      </c>
      <c r="Q64" s="56"/>
      <c r="R64" s="56">
        <v>4000</v>
      </c>
      <c r="S64" s="56"/>
      <c r="T64" s="56">
        <v>0</v>
      </c>
      <c r="U64" s="56"/>
      <c r="V64" s="56">
        <v>4000</v>
      </c>
      <c r="W64" s="56"/>
      <c r="X64" s="56">
        <v>12575.13</v>
      </c>
      <c r="Y64" s="56"/>
      <c r="Z64" s="56">
        <v>10000</v>
      </c>
      <c r="AA64" s="56"/>
      <c r="AB64" s="56">
        <v>0</v>
      </c>
      <c r="AC64" s="56"/>
      <c r="AD64" s="56">
        <v>0</v>
      </c>
      <c r="AE64" s="56"/>
      <c r="AF64" s="56">
        <f t="shared" si="15"/>
        <v>10000</v>
      </c>
      <c r="AG64" s="56">
        <v>0</v>
      </c>
      <c r="AH64" s="56">
        <v>0</v>
      </c>
      <c r="AI64" s="56"/>
      <c r="AJ64" s="56">
        <f t="shared" si="16"/>
        <v>10000</v>
      </c>
      <c r="AK64" s="85"/>
      <c r="AL64" s="56">
        <v>0</v>
      </c>
      <c r="AM64" s="56"/>
      <c r="AN64" s="88">
        <v>10524</v>
      </c>
      <c r="AO64" s="88">
        <v>0</v>
      </c>
      <c r="AP64" s="88">
        <v>12654</v>
      </c>
      <c r="AQ64" s="56"/>
      <c r="AR64" s="56">
        <v>0</v>
      </c>
      <c r="AS64" s="56"/>
      <c r="AT64" s="56">
        <v>0</v>
      </c>
      <c r="AU64" s="56"/>
      <c r="AV64" s="56">
        <f t="shared" si="17"/>
        <v>12654</v>
      </c>
      <c r="AW64" s="56"/>
      <c r="AX64" s="56">
        <v>0</v>
      </c>
      <c r="AY64" s="56"/>
      <c r="AZ64" s="88">
        <v>10000</v>
      </c>
      <c r="BA64" s="56">
        <v>10000</v>
      </c>
      <c r="BB64" s="214"/>
      <c r="BC64" s="56"/>
      <c r="BD64" s="84">
        <f t="shared" si="18"/>
        <v>2130</v>
      </c>
      <c r="BE64" s="56"/>
      <c r="BF64" s="56"/>
      <c r="BG64" s="56"/>
      <c r="BH64" s="72"/>
    </row>
    <row r="65" spans="1:60" ht="20.100000000000001" customHeight="1" outlineLevel="1">
      <c r="A65" s="77" t="s">
        <v>43</v>
      </c>
      <c r="B65" s="77" t="s">
        <v>795</v>
      </c>
      <c r="C65" s="77" t="s">
        <v>1109</v>
      </c>
      <c r="D65" s="78" t="s">
        <v>46</v>
      </c>
      <c r="E65" s="78" t="str">
        <f t="shared" si="14"/>
        <v>000</v>
      </c>
      <c r="F65" s="3">
        <v>643011</v>
      </c>
      <c r="G65" s="102" t="s">
        <v>798</v>
      </c>
      <c r="H65" s="87"/>
      <c r="I65" s="87">
        <v>0</v>
      </c>
      <c r="J65" s="56">
        <v>0</v>
      </c>
      <c r="L65" s="56">
        <v>18955</v>
      </c>
      <c r="M65" s="56"/>
      <c r="N65" s="56">
        <v>10000</v>
      </c>
      <c r="O65" s="56"/>
      <c r="P65" s="56">
        <v>10782</v>
      </c>
      <c r="Q65" s="56"/>
      <c r="R65" s="56">
        <v>10782</v>
      </c>
      <c r="S65" s="56"/>
      <c r="T65" s="56">
        <v>0</v>
      </c>
      <c r="U65" s="56"/>
      <c r="V65" s="56">
        <v>10782</v>
      </c>
      <c r="W65" s="56"/>
      <c r="X65" s="56">
        <v>41660.04</v>
      </c>
      <c r="Y65" s="56"/>
      <c r="Z65" s="56">
        <v>20000</v>
      </c>
      <c r="AA65" s="56"/>
      <c r="AB65" s="56">
        <v>0</v>
      </c>
      <c r="AC65" s="56"/>
      <c r="AD65" s="56">
        <v>506</v>
      </c>
      <c r="AE65" s="56"/>
      <c r="AF65" s="56">
        <f t="shared" si="15"/>
        <v>20506</v>
      </c>
      <c r="AG65" s="56">
        <v>0</v>
      </c>
      <c r="AH65" s="56">
        <v>0</v>
      </c>
      <c r="AI65" s="56"/>
      <c r="AJ65" s="56">
        <f t="shared" si="16"/>
        <v>20506</v>
      </c>
      <c r="AK65" s="85"/>
      <c r="AL65" s="56">
        <v>0</v>
      </c>
      <c r="AM65" s="56"/>
      <c r="AN65" s="88">
        <v>12299</v>
      </c>
      <c r="AO65" s="88">
        <v>0</v>
      </c>
      <c r="AP65" s="88">
        <v>27414.82</v>
      </c>
      <c r="AQ65" s="56"/>
      <c r="AR65" s="56">
        <v>0</v>
      </c>
      <c r="AS65" s="56"/>
      <c r="AT65" s="56">
        <v>0</v>
      </c>
      <c r="AU65" s="56"/>
      <c r="AV65" s="56">
        <f t="shared" si="17"/>
        <v>27414.82</v>
      </c>
      <c r="AW65" s="56"/>
      <c r="AX65" s="56">
        <v>0</v>
      </c>
      <c r="AY65" s="56"/>
      <c r="AZ65" s="88">
        <v>20000</v>
      </c>
      <c r="BA65" s="56">
        <v>20000</v>
      </c>
      <c r="BB65" s="214"/>
      <c r="BC65" s="56"/>
      <c r="BD65" s="84">
        <f t="shared" si="18"/>
        <v>15115.82</v>
      </c>
      <c r="BE65" s="56"/>
      <c r="BF65" s="56"/>
      <c r="BG65" s="56"/>
      <c r="BH65" s="72"/>
    </row>
    <row r="66" spans="1:60" ht="20.100000000000001" customHeight="1" outlineLevel="1">
      <c r="A66" s="77" t="s">
        <v>43</v>
      </c>
      <c r="B66" s="77" t="s">
        <v>795</v>
      </c>
      <c r="C66" s="77" t="s">
        <v>1109</v>
      </c>
      <c r="D66" s="78" t="s">
        <v>46</v>
      </c>
      <c r="E66" s="78" t="str">
        <f t="shared" si="14"/>
        <v>000</v>
      </c>
      <c r="F66" s="3">
        <v>643012</v>
      </c>
      <c r="G66" s="102" t="s">
        <v>799</v>
      </c>
      <c r="H66" s="87"/>
      <c r="I66" s="87">
        <v>0</v>
      </c>
      <c r="J66" s="56">
        <v>0</v>
      </c>
      <c r="L66" s="56">
        <v>8076</v>
      </c>
      <c r="M66" s="56"/>
      <c r="N66" s="56">
        <v>20000</v>
      </c>
      <c r="O66" s="56"/>
      <c r="P66" s="56">
        <v>20000</v>
      </c>
      <c r="Q66" s="56"/>
      <c r="R66" s="56">
        <v>20000</v>
      </c>
      <c r="S66" s="56"/>
      <c r="T66" s="56">
        <v>0</v>
      </c>
      <c r="U66" s="56"/>
      <c r="V66" s="56">
        <v>20000</v>
      </c>
      <c r="W66" s="56"/>
      <c r="X66" s="56">
        <v>2840.92</v>
      </c>
      <c r="Y66" s="56"/>
      <c r="Z66" s="56">
        <v>20000</v>
      </c>
      <c r="AA66" s="56"/>
      <c r="AB66" s="56">
        <v>0</v>
      </c>
      <c r="AC66" s="56"/>
      <c r="AD66" s="56">
        <v>0</v>
      </c>
      <c r="AE66" s="56"/>
      <c r="AF66" s="56">
        <f t="shared" si="15"/>
        <v>20000</v>
      </c>
      <c r="AG66" s="56">
        <v>0</v>
      </c>
      <c r="AH66" s="56">
        <v>0</v>
      </c>
      <c r="AI66" s="56"/>
      <c r="AJ66" s="56">
        <f t="shared" si="16"/>
        <v>20000</v>
      </c>
      <c r="AK66" s="85"/>
      <c r="AL66" s="56">
        <v>0</v>
      </c>
      <c r="AM66" s="56"/>
      <c r="AN66" s="88">
        <v>8583</v>
      </c>
      <c r="AO66" s="88">
        <v>0</v>
      </c>
      <c r="AP66" s="88">
        <v>30665.99</v>
      </c>
      <c r="AQ66" s="56"/>
      <c r="AR66" s="56">
        <v>0</v>
      </c>
      <c r="AS66" s="56"/>
      <c r="AT66" s="56">
        <v>0</v>
      </c>
      <c r="AU66" s="56"/>
      <c r="AV66" s="56">
        <f t="shared" si="17"/>
        <v>30665.99</v>
      </c>
      <c r="AW66" s="56"/>
      <c r="AX66" s="56">
        <v>0</v>
      </c>
      <c r="AY66" s="56"/>
      <c r="AZ66" s="88">
        <v>20000</v>
      </c>
      <c r="BA66" s="56">
        <v>20000</v>
      </c>
      <c r="BB66" s="214"/>
      <c r="BC66" s="56"/>
      <c r="BD66" s="84">
        <f t="shared" si="18"/>
        <v>22082.99</v>
      </c>
      <c r="BE66" s="56"/>
      <c r="BF66" s="56"/>
      <c r="BG66" s="56"/>
      <c r="BH66" s="72"/>
    </row>
    <row r="67" spans="1:60" ht="20.100000000000001" customHeight="1" outlineLevel="1">
      <c r="A67" s="77" t="s">
        <v>43</v>
      </c>
      <c r="B67" s="77" t="s">
        <v>795</v>
      </c>
      <c r="C67" s="77" t="s">
        <v>1109</v>
      </c>
      <c r="D67" s="78" t="s">
        <v>46</v>
      </c>
      <c r="E67" s="78" t="str">
        <f t="shared" si="14"/>
        <v>000</v>
      </c>
      <c r="F67" s="3">
        <v>652312</v>
      </c>
      <c r="G67" s="102" t="s">
        <v>800</v>
      </c>
      <c r="H67" s="87"/>
      <c r="I67" s="87">
        <v>0</v>
      </c>
      <c r="J67" s="87">
        <v>0</v>
      </c>
      <c r="L67" s="56">
        <v>128860</v>
      </c>
      <c r="M67" s="56"/>
      <c r="N67" s="87">
        <v>0</v>
      </c>
      <c r="O67" s="56"/>
      <c r="P67" s="56">
        <v>0</v>
      </c>
      <c r="Q67" s="56"/>
      <c r="R67" s="56">
        <v>0</v>
      </c>
      <c r="S67" s="56"/>
      <c r="T67" s="56">
        <v>0</v>
      </c>
      <c r="U67" s="56"/>
      <c r="V67" s="56">
        <v>0</v>
      </c>
      <c r="W67" s="56"/>
      <c r="X67" s="56">
        <v>130000</v>
      </c>
      <c r="Y67" s="56"/>
      <c r="Z67" s="56"/>
      <c r="AA67" s="56"/>
      <c r="AB67" s="56">
        <v>0</v>
      </c>
      <c r="AC67" s="56"/>
      <c r="AD67" s="56">
        <v>0</v>
      </c>
      <c r="AE67" s="56"/>
      <c r="AF67" s="56">
        <f t="shared" si="15"/>
        <v>0</v>
      </c>
      <c r="AG67" s="56">
        <v>0</v>
      </c>
      <c r="AH67" s="56">
        <v>0</v>
      </c>
      <c r="AI67" s="56"/>
      <c r="AJ67" s="56">
        <f t="shared" si="16"/>
        <v>0</v>
      </c>
      <c r="AK67" s="85"/>
      <c r="AL67" s="56">
        <v>0</v>
      </c>
      <c r="AM67" s="56"/>
      <c r="AN67" s="88">
        <v>98800</v>
      </c>
      <c r="AO67" s="88">
        <v>0</v>
      </c>
      <c r="AP67" s="88">
        <v>123579</v>
      </c>
      <c r="AQ67" s="56"/>
      <c r="AR67" s="56">
        <v>0</v>
      </c>
      <c r="AS67" s="56"/>
      <c r="AT67" s="56">
        <v>0</v>
      </c>
      <c r="AU67" s="56"/>
      <c r="AV67" s="56">
        <f t="shared" si="17"/>
        <v>123579</v>
      </c>
      <c r="AW67" s="56"/>
      <c r="AX67" s="56">
        <v>0</v>
      </c>
      <c r="AY67" s="56"/>
      <c r="AZ67" s="88">
        <v>0</v>
      </c>
      <c r="BA67" s="56">
        <v>0</v>
      </c>
      <c r="BB67" s="214"/>
      <c r="BC67" s="56"/>
      <c r="BD67" s="84">
        <f t="shared" si="18"/>
        <v>24779</v>
      </c>
      <c r="BE67" s="56"/>
      <c r="BF67" s="56"/>
      <c r="BG67" s="56"/>
      <c r="BH67" s="72"/>
    </row>
    <row r="68" spans="1:60" ht="20.100000000000001" customHeight="1" outlineLevel="1">
      <c r="A68" s="77" t="s">
        <v>43</v>
      </c>
      <c r="B68" s="77" t="s">
        <v>795</v>
      </c>
      <c r="C68" s="77" t="s">
        <v>1109</v>
      </c>
      <c r="D68" s="78" t="s">
        <v>46</v>
      </c>
      <c r="E68" s="78" t="str">
        <f t="shared" si="14"/>
        <v>000</v>
      </c>
      <c r="F68" s="3">
        <v>653051</v>
      </c>
      <c r="G68" s="102" t="s">
        <v>71</v>
      </c>
      <c r="H68" s="87"/>
      <c r="I68" s="87"/>
      <c r="J68" s="87"/>
      <c r="L68" s="56">
        <v>0</v>
      </c>
      <c r="M68" s="56"/>
      <c r="N68" s="87"/>
      <c r="O68" s="56"/>
      <c r="P68" s="56"/>
      <c r="Q68" s="56"/>
      <c r="R68" s="56"/>
      <c r="S68" s="56"/>
      <c r="T68" s="56"/>
      <c r="U68" s="56"/>
      <c r="V68" s="56"/>
      <c r="W68" s="56"/>
      <c r="X68" s="56">
        <v>0</v>
      </c>
      <c r="Y68" s="56"/>
      <c r="Z68" s="56"/>
      <c r="AA68" s="56"/>
      <c r="AB68" s="56"/>
      <c r="AC68" s="56"/>
      <c r="AD68" s="56"/>
      <c r="AE68" s="56"/>
      <c r="AF68" s="56"/>
      <c r="AG68" s="56"/>
      <c r="AH68" s="56"/>
      <c r="AI68" s="56"/>
      <c r="AJ68" s="56"/>
      <c r="AK68" s="85"/>
      <c r="AL68" s="56"/>
      <c r="AM68" s="56"/>
      <c r="AN68" s="88">
        <v>0</v>
      </c>
      <c r="AO68" s="88"/>
      <c r="AP68" s="88">
        <v>930.78</v>
      </c>
      <c r="AQ68" s="56"/>
      <c r="AR68" s="56"/>
      <c r="AS68" s="56"/>
      <c r="AT68" s="56"/>
      <c r="AU68" s="56"/>
      <c r="AV68" s="56"/>
      <c r="AW68" s="56"/>
      <c r="AX68" s="56"/>
      <c r="AY68" s="56"/>
      <c r="AZ68" s="88">
        <v>0</v>
      </c>
      <c r="BA68" s="56">
        <v>845</v>
      </c>
      <c r="BB68" s="214"/>
      <c r="BC68" s="56"/>
      <c r="BD68" s="84">
        <f t="shared" si="18"/>
        <v>930.78</v>
      </c>
      <c r="BE68" s="56"/>
      <c r="BF68" s="56"/>
      <c r="BG68" s="56"/>
      <c r="BH68" s="72"/>
    </row>
    <row r="69" spans="1:60" ht="20.100000000000001" customHeight="1" outlineLevel="1">
      <c r="A69" s="77" t="s">
        <v>43</v>
      </c>
      <c r="B69" s="77" t="s">
        <v>795</v>
      </c>
      <c r="C69" s="77" t="s">
        <v>1109</v>
      </c>
      <c r="D69" s="78" t="s">
        <v>46</v>
      </c>
      <c r="E69" s="78" t="str">
        <f t="shared" si="14"/>
        <v>000</v>
      </c>
      <c r="F69" s="3">
        <v>661077</v>
      </c>
      <c r="G69" s="102" t="s">
        <v>801</v>
      </c>
      <c r="H69" s="87"/>
      <c r="I69" s="13">
        <v>366844</v>
      </c>
      <c r="J69" s="13">
        <v>357880</v>
      </c>
      <c r="L69" s="56">
        <v>357323</v>
      </c>
      <c r="M69" s="56"/>
      <c r="N69" s="56">
        <v>350000</v>
      </c>
      <c r="O69" s="56"/>
      <c r="P69" s="56">
        <v>350000</v>
      </c>
      <c r="Q69" s="56"/>
      <c r="R69" s="56">
        <v>318000</v>
      </c>
      <c r="S69" s="56"/>
      <c r="T69" s="56">
        <v>0</v>
      </c>
      <c r="U69" s="56"/>
      <c r="V69" s="56">
        <v>318000</v>
      </c>
      <c r="W69" s="56"/>
      <c r="X69" s="56">
        <f>507171.05-104.45-58295.28</f>
        <v>448771.31999999995</v>
      </c>
      <c r="Y69" s="56"/>
      <c r="Z69" s="56">
        <v>325000</v>
      </c>
      <c r="AA69" s="56"/>
      <c r="AB69" s="56">
        <v>0</v>
      </c>
      <c r="AC69" s="56"/>
      <c r="AD69" s="56">
        <v>889</v>
      </c>
      <c r="AE69" s="56"/>
      <c r="AF69" s="56">
        <f t="shared" ref="AF69:AF81" si="19">SUM(Z69:AE69)</f>
        <v>325889</v>
      </c>
      <c r="AG69" s="56">
        <v>0</v>
      </c>
      <c r="AH69" s="56">
        <v>0</v>
      </c>
      <c r="AI69" s="56"/>
      <c r="AJ69" s="56">
        <f t="shared" ref="AJ69:AJ81" si="20">SUM(AE69:AI69)</f>
        <v>325889</v>
      </c>
      <c r="AK69" s="85"/>
      <c r="AL69" s="56">
        <v>0</v>
      </c>
      <c r="AM69" s="56"/>
      <c r="AN69" s="88">
        <f>483522+1486</f>
        <v>485008</v>
      </c>
      <c r="AO69" s="88">
        <v>0</v>
      </c>
      <c r="AP69" s="88">
        <f>497593.17-2747.34-2788.1</f>
        <v>492057.73</v>
      </c>
      <c r="AQ69" s="56"/>
      <c r="AR69" s="56">
        <v>-17000</v>
      </c>
      <c r="AS69" s="56"/>
      <c r="AT69" s="56">
        <v>1470.63</v>
      </c>
      <c r="AU69" s="56"/>
      <c r="AV69" s="56">
        <f t="shared" ref="AV69:AV81" si="21">SUM(AP69:AU69)</f>
        <v>476528.36</v>
      </c>
      <c r="AW69" s="56"/>
      <c r="AX69" s="56">
        <v>0</v>
      </c>
      <c r="AY69" s="56"/>
      <c r="AZ69" s="88">
        <v>350000</v>
      </c>
      <c r="BA69" s="56">
        <v>350000</v>
      </c>
      <c r="BB69" s="214"/>
      <c r="BC69" s="56"/>
      <c r="BD69" s="84">
        <f t="shared" si="18"/>
        <v>7049.7299999999814</v>
      </c>
      <c r="BE69" s="56"/>
      <c r="BF69" s="56"/>
      <c r="BG69" s="56"/>
      <c r="BH69" s="72"/>
    </row>
    <row r="70" spans="1:60" ht="20.100000000000001" customHeight="1" outlineLevel="1">
      <c r="A70" s="77" t="s">
        <v>43</v>
      </c>
      <c r="B70" s="77" t="s">
        <v>795</v>
      </c>
      <c r="C70" s="77" t="s">
        <v>1109</v>
      </c>
      <c r="D70" s="78" t="s">
        <v>46</v>
      </c>
      <c r="E70" s="78" t="str">
        <f t="shared" si="14"/>
        <v>000</v>
      </c>
      <c r="F70" s="3">
        <v>661092</v>
      </c>
      <c r="G70" s="102" t="s">
        <v>802</v>
      </c>
      <c r="H70" s="87"/>
      <c r="I70" s="13">
        <v>9124</v>
      </c>
      <c r="J70" s="13">
        <v>3473</v>
      </c>
      <c r="L70" s="56">
        <v>5956</v>
      </c>
      <c r="M70" s="56"/>
      <c r="N70" s="56">
        <v>10000</v>
      </c>
      <c r="O70" s="56"/>
      <c r="P70" s="56">
        <v>13494</v>
      </c>
      <c r="Q70" s="56"/>
      <c r="R70" s="56">
        <v>23494</v>
      </c>
      <c r="S70" s="56"/>
      <c r="T70" s="56">
        <v>0</v>
      </c>
      <c r="U70" s="56"/>
      <c r="V70" s="56">
        <v>23494</v>
      </c>
      <c r="W70" s="56"/>
      <c r="X70" s="56">
        <f>695.91+1992.72</f>
        <v>2688.63</v>
      </c>
      <c r="Y70" s="56"/>
      <c r="Z70" s="56">
        <v>23000</v>
      </c>
      <c r="AA70" s="56"/>
      <c r="AB70" s="56">
        <v>0</v>
      </c>
      <c r="AC70" s="56"/>
      <c r="AD70" s="56">
        <v>0</v>
      </c>
      <c r="AE70" s="56"/>
      <c r="AF70" s="56">
        <f t="shared" si="19"/>
        <v>23000</v>
      </c>
      <c r="AG70" s="56">
        <v>0</v>
      </c>
      <c r="AH70" s="56">
        <v>0</v>
      </c>
      <c r="AI70" s="56"/>
      <c r="AJ70" s="56">
        <f t="shared" si="20"/>
        <v>23000</v>
      </c>
      <c r="AK70" s="85"/>
      <c r="AL70" s="56">
        <v>0</v>
      </c>
      <c r="AM70" s="56"/>
      <c r="AN70" s="88">
        <v>10590</v>
      </c>
      <c r="AO70" s="88">
        <v>0</v>
      </c>
      <c r="AP70" s="88">
        <f>1332.02+0+3116.26</f>
        <v>4448.2800000000007</v>
      </c>
      <c r="AQ70" s="56"/>
      <c r="AR70" s="56">
        <v>0</v>
      </c>
      <c r="AS70" s="56"/>
      <c r="AT70" s="56">
        <v>0</v>
      </c>
      <c r="AU70" s="56"/>
      <c r="AV70" s="56">
        <f t="shared" si="21"/>
        <v>4448.2800000000007</v>
      </c>
      <c r="AW70" s="56"/>
      <c r="AX70" s="56">
        <v>0</v>
      </c>
      <c r="AY70" s="56"/>
      <c r="AZ70" s="88">
        <v>23000</v>
      </c>
      <c r="BA70" s="56">
        <v>23412</v>
      </c>
      <c r="BB70" s="214"/>
      <c r="BC70" s="56"/>
      <c r="BD70" s="84">
        <f t="shared" si="18"/>
        <v>-6141.7199999999993</v>
      </c>
      <c r="BE70" s="56"/>
      <c r="BF70" s="56"/>
      <c r="BG70" s="56"/>
      <c r="BH70" s="72"/>
    </row>
    <row r="71" spans="1:60" ht="20.100000000000001" customHeight="1" outlineLevel="1">
      <c r="A71" s="77" t="s">
        <v>43</v>
      </c>
      <c r="B71" s="77" t="s">
        <v>795</v>
      </c>
      <c r="C71" s="77" t="s">
        <v>1109</v>
      </c>
      <c r="D71" s="78" t="s">
        <v>46</v>
      </c>
      <c r="E71" s="78" t="str">
        <f t="shared" si="14"/>
        <v>000</v>
      </c>
      <c r="F71" s="3">
        <v>661121</v>
      </c>
      <c r="G71" s="102" t="s">
        <v>803</v>
      </c>
      <c r="H71" s="87"/>
      <c r="I71" s="13">
        <v>11061</v>
      </c>
      <c r="J71" s="13">
        <v>16595</v>
      </c>
      <c r="L71" s="56">
        <v>9600</v>
      </c>
      <c r="M71" s="56"/>
      <c r="N71" s="56">
        <v>15000</v>
      </c>
      <c r="O71" s="56"/>
      <c r="P71" s="56">
        <v>15000</v>
      </c>
      <c r="Q71" s="56"/>
      <c r="R71" s="56">
        <v>15000</v>
      </c>
      <c r="S71" s="56"/>
      <c r="T71" s="56">
        <v>0</v>
      </c>
      <c r="U71" s="56"/>
      <c r="V71" s="56">
        <v>15000</v>
      </c>
      <c r="W71" s="56"/>
      <c r="X71" s="56">
        <v>22097.4</v>
      </c>
      <c r="Y71" s="56"/>
      <c r="Z71" s="56">
        <v>15000</v>
      </c>
      <c r="AA71" s="56"/>
      <c r="AB71" s="56">
        <v>0</v>
      </c>
      <c r="AC71" s="56"/>
      <c r="AD71" s="56">
        <v>0</v>
      </c>
      <c r="AE71" s="56"/>
      <c r="AF71" s="56">
        <f t="shared" si="19"/>
        <v>15000</v>
      </c>
      <c r="AG71" s="56">
        <v>0</v>
      </c>
      <c r="AH71" s="56">
        <v>0</v>
      </c>
      <c r="AI71" s="56"/>
      <c r="AJ71" s="56">
        <f t="shared" si="20"/>
        <v>15000</v>
      </c>
      <c r="AK71" s="85"/>
      <c r="AL71" s="56">
        <v>0</v>
      </c>
      <c r="AM71" s="56"/>
      <c r="AN71" s="88">
        <v>87</v>
      </c>
      <c r="AO71" s="88">
        <v>0</v>
      </c>
      <c r="AP71" s="88">
        <v>19546.939999999999</v>
      </c>
      <c r="AQ71" s="56"/>
      <c r="AR71" s="56">
        <v>0</v>
      </c>
      <c r="AS71" s="56"/>
      <c r="AT71" s="56">
        <v>0</v>
      </c>
      <c r="AU71" s="56"/>
      <c r="AV71" s="56">
        <f t="shared" si="21"/>
        <v>19546.939999999999</v>
      </c>
      <c r="AW71" s="56"/>
      <c r="AX71" s="56">
        <v>0</v>
      </c>
      <c r="AY71" s="56"/>
      <c r="AZ71" s="88">
        <v>0</v>
      </c>
      <c r="BA71" s="56">
        <v>0</v>
      </c>
      <c r="BB71" s="214"/>
      <c r="BC71" s="56"/>
      <c r="BD71" s="84">
        <f t="shared" si="18"/>
        <v>19459.939999999999</v>
      </c>
      <c r="BE71" s="56"/>
      <c r="BF71" s="56"/>
      <c r="BG71" s="56"/>
      <c r="BH71" s="72"/>
    </row>
    <row r="72" spans="1:60" ht="20.100000000000001" customHeight="1" outlineLevel="1">
      <c r="A72" s="77" t="s">
        <v>43</v>
      </c>
      <c r="B72" s="77" t="s">
        <v>795</v>
      </c>
      <c r="C72" s="77" t="s">
        <v>1109</v>
      </c>
      <c r="D72" s="78" t="s">
        <v>46</v>
      </c>
      <c r="E72" s="78" t="str">
        <f t="shared" si="14"/>
        <v>000</v>
      </c>
      <c r="F72" s="3">
        <v>661171</v>
      </c>
      <c r="G72" s="102" t="s">
        <v>804</v>
      </c>
      <c r="H72" s="87"/>
      <c r="I72" s="87">
        <v>0</v>
      </c>
      <c r="J72" s="56">
        <v>0</v>
      </c>
      <c r="L72" s="56">
        <v>125318</v>
      </c>
      <c r="M72" s="56"/>
      <c r="N72" s="56">
        <v>70000</v>
      </c>
      <c r="O72" s="56"/>
      <c r="P72" s="56">
        <v>100000</v>
      </c>
      <c r="Q72" s="56"/>
      <c r="R72" s="56">
        <v>100000</v>
      </c>
      <c r="S72" s="56"/>
      <c r="T72" s="56">
        <v>0</v>
      </c>
      <c r="U72" s="56"/>
      <c r="V72" s="56">
        <v>100000</v>
      </c>
      <c r="W72" s="56"/>
      <c r="X72" s="56">
        <v>39746.79</v>
      </c>
      <c r="Y72" s="56"/>
      <c r="Z72" s="56">
        <v>106000</v>
      </c>
      <c r="AA72" s="56"/>
      <c r="AB72" s="56">
        <v>0</v>
      </c>
      <c r="AC72" s="56"/>
      <c r="AD72" s="56">
        <v>46</v>
      </c>
      <c r="AE72" s="56"/>
      <c r="AF72" s="56">
        <f t="shared" si="19"/>
        <v>106046</v>
      </c>
      <c r="AG72" s="56">
        <v>0</v>
      </c>
      <c r="AH72" s="56">
        <v>0</v>
      </c>
      <c r="AI72" s="56"/>
      <c r="AJ72" s="56">
        <f t="shared" si="20"/>
        <v>106046</v>
      </c>
      <c r="AK72" s="85"/>
      <c r="AL72" s="56">
        <v>0</v>
      </c>
      <c r="AM72" s="56"/>
      <c r="AN72" s="88">
        <v>0</v>
      </c>
      <c r="AO72" s="88">
        <v>0</v>
      </c>
      <c r="AP72" s="88">
        <v>0</v>
      </c>
      <c r="AQ72" s="56"/>
      <c r="AR72" s="56">
        <v>0</v>
      </c>
      <c r="AS72" s="56"/>
      <c r="AT72" s="56">
        <v>0</v>
      </c>
      <c r="AU72" s="56"/>
      <c r="AV72" s="56">
        <f t="shared" si="21"/>
        <v>0</v>
      </c>
      <c r="AW72" s="56"/>
      <c r="AX72" s="56">
        <v>0</v>
      </c>
      <c r="AY72" s="56"/>
      <c r="AZ72" s="88">
        <v>110000</v>
      </c>
      <c r="BA72" s="56">
        <v>110000</v>
      </c>
      <c r="BB72" s="214"/>
      <c r="BC72" s="56"/>
      <c r="BD72" s="84">
        <f t="shared" si="18"/>
        <v>0</v>
      </c>
      <c r="BE72" s="56"/>
      <c r="BF72" s="56"/>
      <c r="BG72" s="56"/>
      <c r="BH72" s="72"/>
    </row>
    <row r="73" spans="1:60" ht="20.100000000000001" customHeight="1" outlineLevel="1">
      <c r="A73" s="77" t="s">
        <v>43</v>
      </c>
      <c r="B73" s="77" t="s">
        <v>795</v>
      </c>
      <c r="C73" s="77" t="s">
        <v>1109</v>
      </c>
      <c r="D73" s="78" t="s">
        <v>46</v>
      </c>
      <c r="E73" s="78" t="str">
        <f t="shared" si="14"/>
        <v>000</v>
      </c>
      <c r="F73" s="3">
        <v>661172</v>
      </c>
      <c r="G73" s="102" t="s">
        <v>805</v>
      </c>
      <c r="H73" s="87"/>
      <c r="I73" s="87">
        <v>0</v>
      </c>
      <c r="J73" s="56">
        <v>0</v>
      </c>
      <c r="L73" s="56">
        <v>369</v>
      </c>
      <c r="M73" s="56"/>
      <c r="N73" s="56">
        <v>1000</v>
      </c>
      <c r="O73" s="56"/>
      <c r="P73" s="56">
        <v>1000</v>
      </c>
      <c r="Q73" s="56"/>
      <c r="R73" s="56">
        <v>1000</v>
      </c>
      <c r="S73" s="56"/>
      <c r="T73" s="56">
        <v>0</v>
      </c>
      <c r="U73" s="56"/>
      <c r="V73" s="56">
        <v>1000</v>
      </c>
      <c r="W73" s="56"/>
      <c r="X73" s="56">
        <v>0</v>
      </c>
      <c r="Y73" s="56"/>
      <c r="Z73" s="56">
        <v>1000</v>
      </c>
      <c r="AA73" s="56"/>
      <c r="AB73" s="56">
        <v>0</v>
      </c>
      <c r="AC73" s="56"/>
      <c r="AD73" s="56">
        <v>0</v>
      </c>
      <c r="AE73" s="56"/>
      <c r="AF73" s="56">
        <f t="shared" si="19"/>
        <v>1000</v>
      </c>
      <c r="AG73" s="56">
        <v>0</v>
      </c>
      <c r="AH73" s="56">
        <v>0</v>
      </c>
      <c r="AI73" s="56"/>
      <c r="AJ73" s="56">
        <f t="shared" si="20"/>
        <v>1000</v>
      </c>
      <c r="AK73" s="85"/>
      <c r="AL73" s="56">
        <v>0</v>
      </c>
      <c r="AM73" s="56"/>
      <c r="AN73" s="88">
        <v>0</v>
      </c>
      <c r="AO73" s="88">
        <v>0</v>
      </c>
      <c r="AP73" s="88">
        <v>0</v>
      </c>
      <c r="AQ73" s="56"/>
      <c r="AR73" s="56">
        <v>0</v>
      </c>
      <c r="AS73" s="56"/>
      <c r="AT73" s="56">
        <v>0</v>
      </c>
      <c r="AU73" s="56"/>
      <c r="AV73" s="56">
        <f t="shared" si="21"/>
        <v>0</v>
      </c>
      <c r="AW73" s="56"/>
      <c r="AX73" s="56">
        <v>0</v>
      </c>
      <c r="AY73" s="56"/>
      <c r="AZ73" s="88">
        <v>1000</v>
      </c>
      <c r="BA73" s="56">
        <v>1000</v>
      </c>
      <c r="BB73" s="214"/>
      <c r="BC73" s="56"/>
      <c r="BD73" s="84">
        <f t="shared" si="18"/>
        <v>0</v>
      </c>
      <c r="BE73" s="56"/>
      <c r="BF73" s="56"/>
      <c r="BG73" s="56"/>
      <c r="BH73" s="72"/>
    </row>
    <row r="74" spans="1:60" ht="20.100000000000001" customHeight="1" outlineLevel="1">
      <c r="A74" s="77" t="s">
        <v>43</v>
      </c>
      <c r="B74" s="77" t="s">
        <v>795</v>
      </c>
      <c r="C74" s="77" t="s">
        <v>1109</v>
      </c>
      <c r="D74" s="78" t="s">
        <v>46</v>
      </c>
      <c r="E74" s="78" t="str">
        <f t="shared" si="14"/>
        <v>000</v>
      </c>
      <c r="F74" s="3">
        <v>661173</v>
      </c>
      <c r="G74" s="102" t="s">
        <v>806</v>
      </c>
      <c r="H74" s="87"/>
      <c r="I74" s="87">
        <v>0</v>
      </c>
      <c r="J74" s="56">
        <v>0</v>
      </c>
      <c r="L74" s="56">
        <v>803</v>
      </c>
      <c r="M74" s="56"/>
      <c r="N74" s="56">
        <v>3000</v>
      </c>
      <c r="O74" s="56"/>
      <c r="P74" s="56">
        <v>3000</v>
      </c>
      <c r="Q74" s="56"/>
      <c r="R74" s="56">
        <v>3000</v>
      </c>
      <c r="S74" s="56"/>
      <c r="T74" s="56">
        <v>0</v>
      </c>
      <c r="U74" s="56"/>
      <c r="V74" s="56">
        <v>3000</v>
      </c>
      <c r="W74" s="56"/>
      <c r="X74" s="56">
        <v>894.15</v>
      </c>
      <c r="Y74" s="56"/>
      <c r="Z74" s="56">
        <v>3000</v>
      </c>
      <c r="AA74" s="56"/>
      <c r="AB74" s="56">
        <v>0</v>
      </c>
      <c r="AC74" s="56"/>
      <c r="AD74" s="56">
        <v>0</v>
      </c>
      <c r="AE74" s="56"/>
      <c r="AF74" s="56">
        <f t="shared" si="19"/>
        <v>3000</v>
      </c>
      <c r="AG74" s="56">
        <v>0</v>
      </c>
      <c r="AH74" s="56">
        <v>0</v>
      </c>
      <c r="AI74" s="56"/>
      <c r="AJ74" s="56">
        <f t="shared" si="20"/>
        <v>3000</v>
      </c>
      <c r="AK74" s="85"/>
      <c r="AL74" s="56">
        <v>0</v>
      </c>
      <c r="AM74" s="56"/>
      <c r="AN74" s="88">
        <v>2268</v>
      </c>
      <c r="AO74" s="88">
        <v>0</v>
      </c>
      <c r="AP74" s="88">
        <v>928.55</v>
      </c>
      <c r="AQ74" s="56"/>
      <c r="AR74" s="56">
        <v>0</v>
      </c>
      <c r="AS74" s="56"/>
      <c r="AT74" s="56">
        <v>0</v>
      </c>
      <c r="AU74" s="56"/>
      <c r="AV74" s="56">
        <f t="shared" si="21"/>
        <v>928.55</v>
      </c>
      <c r="AW74" s="56"/>
      <c r="AX74" s="56">
        <v>0</v>
      </c>
      <c r="AY74" s="56"/>
      <c r="AZ74" s="88">
        <v>3000</v>
      </c>
      <c r="BA74" s="56">
        <v>3000</v>
      </c>
      <c r="BB74" s="214"/>
      <c r="BC74" s="56"/>
      <c r="BD74" s="84">
        <f t="shared" si="18"/>
        <v>-1339.45</v>
      </c>
      <c r="BE74" s="56"/>
      <c r="BF74" s="56"/>
      <c r="BG74" s="56"/>
      <c r="BH74" s="72"/>
    </row>
    <row r="75" spans="1:60" ht="20.100000000000001" customHeight="1" outlineLevel="1">
      <c r="A75" s="77" t="s">
        <v>43</v>
      </c>
      <c r="B75" s="77" t="s">
        <v>795</v>
      </c>
      <c r="C75" s="77" t="s">
        <v>1109</v>
      </c>
      <c r="D75" s="78" t="s">
        <v>46</v>
      </c>
      <c r="E75" s="78" t="str">
        <f t="shared" si="14"/>
        <v>000</v>
      </c>
      <c r="F75" s="3">
        <v>661174</v>
      </c>
      <c r="G75" s="102" t="s">
        <v>807</v>
      </c>
      <c r="H75" s="87"/>
      <c r="I75" s="87">
        <v>0</v>
      </c>
      <c r="J75" s="56">
        <v>0</v>
      </c>
      <c r="L75" s="56">
        <v>840</v>
      </c>
      <c r="M75" s="56"/>
      <c r="N75" s="56">
        <v>4000</v>
      </c>
      <c r="O75" s="56"/>
      <c r="P75" s="56">
        <v>4000</v>
      </c>
      <c r="Q75" s="56"/>
      <c r="R75" s="56">
        <v>4000</v>
      </c>
      <c r="S75" s="56"/>
      <c r="T75" s="56">
        <v>0</v>
      </c>
      <c r="U75" s="56"/>
      <c r="V75" s="56">
        <v>4000</v>
      </c>
      <c r="W75" s="56"/>
      <c r="X75" s="56">
        <v>378.7</v>
      </c>
      <c r="Y75" s="56"/>
      <c r="Z75" s="56">
        <v>4000</v>
      </c>
      <c r="AA75" s="56"/>
      <c r="AB75" s="56">
        <v>0</v>
      </c>
      <c r="AC75" s="56"/>
      <c r="AD75" s="56">
        <v>0</v>
      </c>
      <c r="AE75" s="56"/>
      <c r="AF75" s="56">
        <f t="shared" si="19"/>
        <v>4000</v>
      </c>
      <c r="AG75" s="56">
        <v>0</v>
      </c>
      <c r="AH75" s="56">
        <v>0</v>
      </c>
      <c r="AI75" s="56"/>
      <c r="AJ75" s="56">
        <f t="shared" si="20"/>
        <v>4000</v>
      </c>
      <c r="AK75" s="85"/>
      <c r="AL75" s="56">
        <v>0</v>
      </c>
      <c r="AM75" s="56"/>
      <c r="AN75" s="88">
        <v>8841</v>
      </c>
      <c r="AO75" s="88">
        <v>0</v>
      </c>
      <c r="AP75" s="88">
        <v>0</v>
      </c>
      <c r="AQ75" s="56"/>
      <c r="AR75" s="56">
        <v>0</v>
      </c>
      <c r="AS75" s="56"/>
      <c r="AT75" s="56">
        <v>0</v>
      </c>
      <c r="AU75" s="56"/>
      <c r="AV75" s="56">
        <f t="shared" si="21"/>
        <v>0</v>
      </c>
      <c r="AW75" s="56"/>
      <c r="AX75" s="56">
        <v>0</v>
      </c>
      <c r="AY75" s="56"/>
      <c r="AZ75" s="88">
        <v>3000</v>
      </c>
      <c r="BA75" s="56">
        <v>3000</v>
      </c>
      <c r="BB75" s="214"/>
      <c r="BC75" s="56"/>
      <c r="BD75" s="84">
        <f t="shared" si="18"/>
        <v>-8841</v>
      </c>
      <c r="BE75" s="56"/>
      <c r="BF75" s="56"/>
      <c r="BG75" s="56"/>
      <c r="BH75" s="72"/>
    </row>
    <row r="76" spans="1:60" ht="20.100000000000001" customHeight="1" outlineLevel="1">
      <c r="A76" s="77" t="s">
        <v>43</v>
      </c>
      <c r="B76" s="77" t="s">
        <v>795</v>
      </c>
      <c r="C76" s="77" t="s">
        <v>1109</v>
      </c>
      <c r="D76" s="78" t="s">
        <v>46</v>
      </c>
      <c r="E76" s="78" t="str">
        <f t="shared" si="14"/>
        <v>000</v>
      </c>
      <c r="F76" s="3">
        <v>661175</v>
      </c>
      <c r="G76" s="102" t="s">
        <v>808</v>
      </c>
      <c r="H76" s="87"/>
      <c r="I76" s="87">
        <v>0</v>
      </c>
      <c r="J76" s="56">
        <v>0</v>
      </c>
      <c r="L76" s="56">
        <v>21840</v>
      </c>
      <c r="M76" s="56"/>
      <c r="N76" s="56">
        <v>21000</v>
      </c>
      <c r="O76" s="56"/>
      <c r="P76" s="56">
        <v>21000</v>
      </c>
      <c r="Q76" s="56"/>
      <c r="R76" s="56">
        <v>21000</v>
      </c>
      <c r="S76" s="56"/>
      <c r="T76" s="56">
        <v>0</v>
      </c>
      <c r="U76" s="56"/>
      <c r="V76" s="56">
        <v>21000</v>
      </c>
      <c r="W76" s="56"/>
      <c r="X76" s="56">
        <v>22954.01</v>
      </c>
      <c r="Y76" s="56"/>
      <c r="Z76" s="56">
        <v>21000</v>
      </c>
      <c r="AA76" s="56"/>
      <c r="AB76" s="56">
        <v>0</v>
      </c>
      <c r="AC76" s="56"/>
      <c r="AD76" s="56">
        <v>3270</v>
      </c>
      <c r="AE76" s="56"/>
      <c r="AF76" s="56">
        <f t="shared" si="19"/>
        <v>24270</v>
      </c>
      <c r="AG76" s="56">
        <v>0</v>
      </c>
      <c r="AH76" s="56">
        <v>0</v>
      </c>
      <c r="AI76" s="56"/>
      <c r="AJ76" s="56">
        <f t="shared" si="20"/>
        <v>24270</v>
      </c>
      <c r="AK76" s="85"/>
      <c r="AL76" s="56">
        <v>0</v>
      </c>
      <c r="AM76" s="56"/>
      <c r="AN76" s="88">
        <v>17563</v>
      </c>
      <c r="AO76" s="88">
        <v>0</v>
      </c>
      <c r="AP76" s="88">
        <v>8630.91</v>
      </c>
      <c r="AQ76" s="56"/>
      <c r="AR76" s="56">
        <v>0</v>
      </c>
      <c r="AS76" s="56"/>
      <c r="AT76" s="56">
        <v>0</v>
      </c>
      <c r="AU76" s="56"/>
      <c r="AV76" s="56">
        <f t="shared" si="21"/>
        <v>8630.91</v>
      </c>
      <c r="AW76" s="56"/>
      <c r="AX76" s="56">
        <v>0</v>
      </c>
      <c r="AY76" s="56"/>
      <c r="AZ76" s="88">
        <v>24270</v>
      </c>
      <c r="BA76" s="56">
        <v>24270</v>
      </c>
      <c r="BB76" s="214"/>
      <c r="BC76" s="56"/>
      <c r="BD76" s="84">
        <f t="shared" si="18"/>
        <v>-8932.09</v>
      </c>
      <c r="BE76" s="56"/>
      <c r="BF76" s="56"/>
      <c r="BG76" s="56"/>
      <c r="BH76" s="72"/>
    </row>
    <row r="77" spans="1:60" ht="20.100000000000001" customHeight="1" outlineLevel="1">
      <c r="A77" s="77" t="s">
        <v>43</v>
      </c>
      <c r="B77" s="77" t="s">
        <v>795</v>
      </c>
      <c r="C77" s="77" t="s">
        <v>1109</v>
      </c>
      <c r="D77" s="78" t="s">
        <v>46</v>
      </c>
      <c r="E77" s="78" t="str">
        <f t="shared" si="14"/>
        <v>000</v>
      </c>
      <c r="F77" s="3">
        <v>662611</v>
      </c>
      <c r="G77" s="102" t="s">
        <v>809</v>
      </c>
      <c r="H77" s="87"/>
      <c r="I77" s="13">
        <v>728223</v>
      </c>
      <c r="J77" s="13">
        <v>848929</v>
      </c>
      <c r="L77" s="56">
        <v>975220</v>
      </c>
      <c r="M77" s="56"/>
      <c r="N77" s="56">
        <v>1117850</v>
      </c>
      <c r="O77" s="56"/>
      <c r="P77" s="56">
        <v>1117850</v>
      </c>
      <c r="Q77" s="56"/>
      <c r="R77" s="56">
        <v>1141850</v>
      </c>
      <c r="S77" s="56"/>
      <c r="T77" s="56">
        <v>0</v>
      </c>
      <c r="U77" s="56"/>
      <c r="V77" s="56">
        <v>1141850</v>
      </c>
      <c r="W77" s="56"/>
      <c r="X77" s="56">
        <v>1399783.96</v>
      </c>
      <c r="Y77" s="56"/>
      <c r="Z77" s="56">
        <v>1800000</v>
      </c>
      <c r="AA77" s="56"/>
      <c r="AB77" s="56">
        <v>0</v>
      </c>
      <c r="AC77" s="56"/>
      <c r="AD77" s="56">
        <v>0</v>
      </c>
      <c r="AE77" s="56"/>
      <c r="AF77" s="56">
        <f t="shared" si="19"/>
        <v>1800000</v>
      </c>
      <c r="AG77" s="56">
        <v>0</v>
      </c>
      <c r="AH77" s="56">
        <v>0</v>
      </c>
      <c r="AI77" s="56"/>
      <c r="AJ77" s="56">
        <f t="shared" si="20"/>
        <v>1800000</v>
      </c>
      <c r="AK77" s="85"/>
      <c r="AL77" s="56">
        <v>0</v>
      </c>
      <c r="AM77" s="56"/>
      <c r="AN77" s="88">
        <v>984584</v>
      </c>
      <c r="AO77" s="88">
        <v>0</v>
      </c>
      <c r="AP77" s="88">
        <v>1094494.68</v>
      </c>
      <c r="AQ77" s="56"/>
      <c r="AR77" s="56">
        <v>0</v>
      </c>
      <c r="AS77" s="56"/>
      <c r="AT77" s="56">
        <v>0</v>
      </c>
      <c r="AU77" s="56"/>
      <c r="AV77" s="56">
        <f t="shared" si="21"/>
        <v>1094494.68</v>
      </c>
      <c r="AW77" s="56"/>
      <c r="AX77" s="56">
        <v>0</v>
      </c>
      <c r="AY77" s="56"/>
      <c r="AZ77" s="88">
        <v>1800000</v>
      </c>
      <c r="BA77" s="56">
        <v>1800000</v>
      </c>
      <c r="BB77" s="214"/>
      <c r="BC77" s="56"/>
      <c r="BD77" s="84">
        <f t="shared" si="18"/>
        <v>109910.67999999993</v>
      </c>
      <c r="BE77" s="56"/>
      <c r="BF77" s="56"/>
      <c r="BG77" s="56"/>
      <c r="BH77" s="72"/>
    </row>
    <row r="78" spans="1:60" ht="20.100000000000001" customHeight="1" outlineLevel="1">
      <c r="A78" s="77" t="s">
        <v>43</v>
      </c>
      <c r="B78" s="77" t="s">
        <v>795</v>
      </c>
      <c r="C78" s="77" t="s">
        <v>1109</v>
      </c>
      <c r="D78" s="78" t="s">
        <v>46</v>
      </c>
      <c r="E78" s="78" t="str">
        <f t="shared" si="14"/>
        <v>000</v>
      </c>
      <c r="F78" s="170">
        <v>673001</v>
      </c>
      <c r="G78" s="102" t="s">
        <v>632</v>
      </c>
      <c r="H78" s="87"/>
      <c r="I78" s="13">
        <v>4662</v>
      </c>
      <c r="J78" s="13">
        <v>0</v>
      </c>
      <c r="L78" s="56">
        <v>0</v>
      </c>
      <c r="M78" s="56"/>
      <c r="N78" s="56">
        <v>0</v>
      </c>
      <c r="O78" s="56"/>
      <c r="P78" s="56">
        <v>344</v>
      </c>
      <c r="Q78" s="56"/>
      <c r="R78" s="56">
        <v>344</v>
      </c>
      <c r="S78" s="56"/>
      <c r="T78" s="56">
        <v>0</v>
      </c>
      <c r="U78" s="56"/>
      <c r="V78" s="56">
        <v>344</v>
      </c>
      <c r="W78" s="56"/>
      <c r="X78" s="56">
        <v>0</v>
      </c>
      <c r="Y78" s="56"/>
      <c r="Z78" s="56">
        <v>5000</v>
      </c>
      <c r="AA78" s="56"/>
      <c r="AB78" s="56">
        <v>0</v>
      </c>
      <c r="AC78" s="56"/>
      <c r="AD78" s="56">
        <v>0</v>
      </c>
      <c r="AE78" s="56"/>
      <c r="AF78" s="56">
        <f t="shared" si="19"/>
        <v>5000</v>
      </c>
      <c r="AG78" s="56">
        <v>0</v>
      </c>
      <c r="AH78" s="56">
        <v>0</v>
      </c>
      <c r="AI78" s="56"/>
      <c r="AJ78" s="56">
        <f t="shared" si="20"/>
        <v>5000</v>
      </c>
      <c r="AK78" s="85"/>
      <c r="AL78" s="56">
        <v>0</v>
      </c>
      <c r="AM78" s="56"/>
      <c r="AN78" s="88">
        <v>0</v>
      </c>
      <c r="AO78" s="88">
        <v>0</v>
      </c>
      <c r="AP78" s="88">
        <v>0</v>
      </c>
      <c r="AQ78" s="56"/>
      <c r="AR78" s="56">
        <v>0</v>
      </c>
      <c r="AS78" s="56"/>
      <c r="AT78" s="56">
        <v>0</v>
      </c>
      <c r="AU78" s="56"/>
      <c r="AV78" s="56">
        <f t="shared" si="21"/>
        <v>0</v>
      </c>
      <c r="AW78" s="56"/>
      <c r="AX78" s="56">
        <v>0</v>
      </c>
      <c r="AY78" s="56"/>
      <c r="AZ78" s="88">
        <v>5000</v>
      </c>
      <c r="BA78" s="56">
        <v>5000</v>
      </c>
      <c r="BB78" s="214"/>
      <c r="BC78" s="56"/>
      <c r="BD78" s="84">
        <f t="shared" si="18"/>
        <v>0</v>
      </c>
      <c r="BE78" s="56"/>
      <c r="BF78" s="56"/>
      <c r="BG78" s="56"/>
      <c r="BH78" s="72"/>
    </row>
    <row r="79" spans="1:60" ht="20.100000000000001" customHeight="1" outlineLevel="1">
      <c r="A79" s="77" t="s">
        <v>43</v>
      </c>
      <c r="B79" s="77" t="s">
        <v>795</v>
      </c>
      <c r="C79" s="77" t="s">
        <v>1109</v>
      </c>
      <c r="D79" s="78" t="s">
        <v>46</v>
      </c>
      <c r="E79" s="78" t="str">
        <f t="shared" si="14"/>
        <v>000</v>
      </c>
      <c r="F79" s="170">
        <v>673111</v>
      </c>
      <c r="G79" s="102" t="s">
        <v>810</v>
      </c>
      <c r="H79" s="87"/>
      <c r="I79" s="13">
        <v>0</v>
      </c>
      <c r="J79" s="13">
        <v>0</v>
      </c>
      <c r="L79" s="56">
        <v>8027</v>
      </c>
      <c r="M79" s="56"/>
      <c r="N79" s="56">
        <v>60000</v>
      </c>
      <c r="O79" s="56"/>
      <c r="P79" s="56">
        <v>60000</v>
      </c>
      <c r="Q79" s="56"/>
      <c r="R79" s="56">
        <v>60000</v>
      </c>
      <c r="S79" s="56"/>
      <c r="T79" s="56">
        <v>0</v>
      </c>
      <c r="U79" s="56"/>
      <c r="V79" s="56">
        <v>60000</v>
      </c>
      <c r="W79" s="56"/>
      <c r="X79" s="56">
        <v>0</v>
      </c>
      <c r="Y79" s="56"/>
      <c r="Z79" s="56">
        <v>25000</v>
      </c>
      <c r="AA79" s="56"/>
      <c r="AB79" s="56">
        <v>0</v>
      </c>
      <c r="AC79" s="56"/>
      <c r="AD79" s="56">
        <v>0</v>
      </c>
      <c r="AE79" s="56"/>
      <c r="AF79" s="56">
        <f t="shared" si="19"/>
        <v>25000</v>
      </c>
      <c r="AG79" s="56">
        <v>0</v>
      </c>
      <c r="AH79" s="56">
        <v>0</v>
      </c>
      <c r="AI79" s="56"/>
      <c r="AJ79" s="56">
        <f t="shared" si="20"/>
        <v>25000</v>
      </c>
      <c r="AK79" s="85"/>
      <c r="AL79" s="56">
        <v>0</v>
      </c>
      <c r="AM79" s="56"/>
      <c r="AN79" s="88">
        <v>0</v>
      </c>
      <c r="AO79" s="88">
        <v>0</v>
      </c>
      <c r="AP79" s="88">
        <v>0</v>
      </c>
      <c r="AQ79" s="56"/>
      <c r="AR79" s="56">
        <v>0</v>
      </c>
      <c r="AS79" s="56"/>
      <c r="AT79" s="56">
        <v>0</v>
      </c>
      <c r="AU79" s="56"/>
      <c r="AV79" s="56">
        <f t="shared" si="21"/>
        <v>0</v>
      </c>
      <c r="AW79" s="56"/>
      <c r="AX79" s="56">
        <v>0</v>
      </c>
      <c r="AY79" s="56"/>
      <c r="AZ79" s="88">
        <v>25000</v>
      </c>
      <c r="BA79" s="56">
        <v>25000</v>
      </c>
      <c r="BB79" s="214"/>
      <c r="BC79" s="56"/>
      <c r="BD79" s="84">
        <f t="shared" si="18"/>
        <v>0</v>
      </c>
      <c r="BE79" s="56"/>
      <c r="BF79" s="56"/>
      <c r="BG79" s="56"/>
      <c r="BH79" s="72"/>
    </row>
    <row r="80" spans="1:60" ht="20.100000000000001" customHeight="1" outlineLevel="1">
      <c r="A80" s="77" t="s">
        <v>43</v>
      </c>
      <c r="B80" s="77" t="s">
        <v>795</v>
      </c>
      <c r="C80" s="77" t="s">
        <v>1109</v>
      </c>
      <c r="D80" s="78" t="s">
        <v>46</v>
      </c>
      <c r="E80" s="78" t="str">
        <f t="shared" si="14"/>
        <v>000</v>
      </c>
      <c r="F80" s="170">
        <v>673221</v>
      </c>
      <c r="G80" s="102" t="s">
        <v>811</v>
      </c>
      <c r="H80" s="87"/>
      <c r="I80" s="13">
        <v>1125447</v>
      </c>
      <c r="J80" s="13">
        <v>707944</v>
      </c>
      <c r="L80" s="56">
        <v>1757849</v>
      </c>
      <c r="M80" s="56"/>
      <c r="N80" s="56">
        <v>1100000</v>
      </c>
      <c r="O80" s="56"/>
      <c r="P80" s="56">
        <v>1100000</v>
      </c>
      <c r="Q80" s="56"/>
      <c r="R80" s="56">
        <v>1100000</v>
      </c>
      <c r="S80" s="56"/>
      <c r="T80" s="56">
        <v>0</v>
      </c>
      <c r="U80" s="56"/>
      <c r="V80" s="56">
        <v>1100000</v>
      </c>
      <c r="W80" s="56"/>
      <c r="X80" s="56">
        <v>936838</v>
      </c>
      <c r="Y80" s="56"/>
      <c r="Z80" s="56">
        <v>1600000</v>
      </c>
      <c r="AA80" s="56"/>
      <c r="AB80" s="56">
        <v>0</v>
      </c>
      <c r="AC80" s="56"/>
      <c r="AD80" s="56">
        <v>0</v>
      </c>
      <c r="AE80" s="56"/>
      <c r="AF80" s="56">
        <f t="shared" si="19"/>
        <v>1600000</v>
      </c>
      <c r="AG80" s="56">
        <v>0</v>
      </c>
      <c r="AH80" s="56">
        <v>0</v>
      </c>
      <c r="AI80" s="56"/>
      <c r="AJ80" s="56">
        <f t="shared" si="20"/>
        <v>1600000</v>
      </c>
      <c r="AK80" s="85"/>
      <c r="AL80" s="56">
        <v>0</v>
      </c>
      <c r="AM80" s="56"/>
      <c r="AN80" s="88">
        <v>1806759</v>
      </c>
      <c r="AO80" s="88">
        <v>0</v>
      </c>
      <c r="AP80" s="88">
        <v>1240344</v>
      </c>
      <c r="AQ80" s="56"/>
      <c r="AR80" s="56">
        <v>0</v>
      </c>
      <c r="AS80" s="56"/>
      <c r="AT80" s="56">
        <v>0</v>
      </c>
      <c r="AU80" s="56"/>
      <c r="AV80" s="56">
        <f t="shared" si="21"/>
        <v>1240344</v>
      </c>
      <c r="AW80" s="56"/>
      <c r="AX80" s="56">
        <v>0</v>
      </c>
      <c r="AY80" s="56"/>
      <c r="AZ80" s="88">
        <v>0</v>
      </c>
      <c r="BA80" s="56">
        <v>50000</v>
      </c>
      <c r="BB80" s="214"/>
      <c r="BC80" s="56"/>
      <c r="BD80" s="84">
        <f t="shared" si="18"/>
        <v>-566415</v>
      </c>
      <c r="BE80" s="56"/>
      <c r="BF80" s="56"/>
      <c r="BG80" s="56"/>
      <c r="BH80" s="72"/>
    </row>
    <row r="81" spans="1:62" ht="20.100000000000001" customHeight="1" outlineLevel="1">
      <c r="A81" s="77" t="s">
        <v>43</v>
      </c>
      <c r="B81" s="77" t="s">
        <v>795</v>
      </c>
      <c r="C81" s="77" t="s">
        <v>1109</v>
      </c>
      <c r="D81" s="78" t="s">
        <v>46</v>
      </c>
      <c r="E81" s="78" t="str">
        <f t="shared" si="14"/>
        <v>000</v>
      </c>
      <c r="F81" s="3">
        <v>689011</v>
      </c>
      <c r="G81" s="102" t="s">
        <v>790</v>
      </c>
      <c r="H81" s="87"/>
      <c r="I81" s="87">
        <v>878</v>
      </c>
      <c r="J81" s="13">
        <v>0</v>
      </c>
      <c r="L81" s="56">
        <v>30</v>
      </c>
      <c r="M81" s="56"/>
      <c r="N81" s="56">
        <v>6000</v>
      </c>
      <c r="O81" s="56"/>
      <c r="P81" s="56">
        <v>6000</v>
      </c>
      <c r="Q81" s="56"/>
      <c r="R81" s="56">
        <v>6000</v>
      </c>
      <c r="S81" s="56"/>
      <c r="T81" s="56">
        <v>0</v>
      </c>
      <c r="U81" s="56"/>
      <c r="V81" s="56">
        <v>6000</v>
      </c>
      <c r="W81" s="56"/>
      <c r="X81" s="56">
        <v>625</v>
      </c>
      <c r="Y81" s="56"/>
      <c r="Z81" s="56">
        <v>6000</v>
      </c>
      <c r="AA81" s="56"/>
      <c r="AB81" s="56">
        <v>0</v>
      </c>
      <c r="AC81" s="56"/>
      <c r="AD81" s="56">
        <v>0</v>
      </c>
      <c r="AE81" s="56"/>
      <c r="AF81" s="56">
        <f t="shared" si="19"/>
        <v>6000</v>
      </c>
      <c r="AG81" s="56">
        <v>0</v>
      </c>
      <c r="AH81" s="56">
        <v>0</v>
      </c>
      <c r="AI81" s="56"/>
      <c r="AJ81" s="56">
        <f t="shared" si="20"/>
        <v>6000</v>
      </c>
      <c r="AK81" s="85"/>
      <c r="AL81" s="56">
        <v>0</v>
      </c>
      <c r="AM81" s="56"/>
      <c r="AN81" s="88">
        <v>0</v>
      </c>
      <c r="AO81" s="88">
        <v>0</v>
      </c>
      <c r="AP81" s="88">
        <v>0</v>
      </c>
      <c r="AQ81" s="56"/>
      <c r="AR81" s="56">
        <v>0</v>
      </c>
      <c r="AS81" s="56"/>
      <c r="AT81" s="56">
        <v>0</v>
      </c>
      <c r="AU81" s="56"/>
      <c r="AV81" s="56">
        <f t="shared" si="21"/>
        <v>0</v>
      </c>
      <c r="AW81" s="56"/>
      <c r="AX81" s="56">
        <v>0</v>
      </c>
      <c r="AY81" s="56"/>
      <c r="AZ81" s="88">
        <v>4000</v>
      </c>
      <c r="BA81" s="56">
        <v>4844</v>
      </c>
      <c r="BB81" s="214"/>
      <c r="BC81" s="56"/>
      <c r="BD81" s="84">
        <f t="shared" si="18"/>
        <v>0</v>
      </c>
      <c r="BE81" s="56"/>
      <c r="BF81" s="56"/>
      <c r="BG81" s="56"/>
      <c r="BH81" s="72"/>
    </row>
    <row r="82" spans="1:62" ht="20.100000000000001" customHeight="1" outlineLevel="1">
      <c r="A82" s="77" t="s">
        <v>43</v>
      </c>
      <c r="B82" s="77" t="s">
        <v>633</v>
      </c>
      <c r="C82" s="77" t="s">
        <v>1109</v>
      </c>
      <c r="D82" s="78" t="s">
        <v>46</v>
      </c>
      <c r="E82" s="78" t="str">
        <f t="shared" ref="E82:E102" si="22">+D82</f>
        <v>000</v>
      </c>
      <c r="F82" s="3">
        <v>611621</v>
      </c>
      <c r="G82" s="102" t="s">
        <v>812</v>
      </c>
      <c r="H82" s="87"/>
      <c r="I82" s="13">
        <v>787725</v>
      </c>
      <c r="J82" s="13">
        <v>718951</v>
      </c>
      <c r="L82" s="56">
        <v>778338</v>
      </c>
      <c r="M82" s="56"/>
      <c r="N82" s="56">
        <v>728328</v>
      </c>
      <c r="O82" s="56"/>
      <c r="P82" s="56">
        <v>728328</v>
      </c>
      <c r="Q82" s="56"/>
      <c r="R82" s="56">
        <v>806600</v>
      </c>
      <c r="S82" s="56"/>
      <c r="T82" s="56">
        <v>0</v>
      </c>
      <c r="U82" s="56"/>
      <c r="V82" s="56">
        <v>806600</v>
      </c>
      <c r="W82" s="56"/>
      <c r="X82" s="56">
        <v>787113.43</v>
      </c>
      <c r="Y82" s="56"/>
      <c r="Z82" s="56">
        <v>728000</v>
      </c>
      <c r="AA82" s="56"/>
      <c r="AB82" s="56">
        <v>0</v>
      </c>
      <c r="AC82" s="56"/>
      <c r="AD82" s="56">
        <v>0</v>
      </c>
      <c r="AE82" s="56"/>
      <c r="AF82" s="56">
        <f t="shared" ref="AF82:AF102" si="23">SUM(Z82:AE82)</f>
        <v>728000</v>
      </c>
      <c r="AG82" s="104">
        <v>-22000</v>
      </c>
      <c r="AH82" s="56">
        <v>105750</v>
      </c>
      <c r="AI82" s="56"/>
      <c r="AJ82" s="56">
        <f t="shared" ref="AJ82:AJ102" si="24">SUM(AE82:AI82)</f>
        <v>811750</v>
      </c>
      <c r="AK82" s="85"/>
      <c r="AL82" s="56">
        <v>0</v>
      </c>
      <c r="AM82" s="56"/>
      <c r="AN82" s="88">
        <v>812522</v>
      </c>
      <c r="AO82" s="88">
        <v>0</v>
      </c>
      <c r="AP82" s="88">
        <v>801088.04</v>
      </c>
      <c r="AQ82" s="56"/>
      <c r="AR82" s="56">
        <v>0</v>
      </c>
      <c r="AS82" s="56"/>
      <c r="AT82" s="56">
        <v>0</v>
      </c>
      <c r="AU82" s="56"/>
      <c r="AV82" s="56">
        <f t="shared" ref="AV82:AV102" si="25">SUM(AP82:AU82)</f>
        <v>801088.04</v>
      </c>
      <c r="AW82" s="56"/>
      <c r="AX82" s="106">
        <v>69850</v>
      </c>
      <c r="AY82" s="56"/>
      <c r="AZ82" s="88">
        <v>779000</v>
      </c>
      <c r="BA82" s="56">
        <v>820000</v>
      </c>
      <c r="BB82" s="214"/>
      <c r="BC82" s="56"/>
      <c r="BD82" s="84">
        <f t="shared" ref="BD82:BD103" si="26">+AP82-AN82</f>
        <v>-11433.959999999963</v>
      </c>
      <c r="BE82" s="56"/>
      <c r="BF82" s="56"/>
      <c r="BG82" s="56"/>
      <c r="BH82" s="72">
        <v>2</v>
      </c>
      <c r="BJ82">
        <v>2</v>
      </c>
    </row>
    <row r="83" spans="1:62" ht="20.100000000000001" customHeight="1" outlineLevel="1">
      <c r="A83" s="77" t="s">
        <v>43</v>
      </c>
      <c r="B83" s="77" t="s">
        <v>633</v>
      </c>
      <c r="C83" s="77" t="s">
        <v>1109</v>
      </c>
      <c r="D83" s="78" t="s">
        <v>46</v>
      </c>
      <c r="E83" s="78" t="str">
        <f t="shared" si="22"/>
        <v>000</v>
      </c>
      <c r="F83" s="3">
        <v>612311</v>
      </c>
      <c r="G83" s="102" t="s">
        <v>813</v>
      </c>
      <c r="H83" s="87"/>
      <c r="I83" s="13">
        <v>55842</v>
      </c>
      <c r="J83" s="13">
        <v>47587</v>
      </c>
      <c r="L83" s="56">
        <v>55671</v>
      </c>
      <c r="M83" s="56"/>
      <c r="N83" s="56">
        <v>40000</v>
      </c>
      <c r="O83" s="56"/>
      <c r="P83" s="56">
        <v>40000</v>
      </c>
      <c r="Q83" s="56"/>
      <c r="R83" s="56">
        <v>40000</v>
      </c>
      <c r="S83" s="56"/>
      <c r="T83" s="56">
        <v>0</v>
      </c>
      <c r="U83" s="56"/>
      <c r="V83" s="56">
        <v>40000</v>
      </c>
      <c r="W83" s="56"/>
      <c r="X83" s="56">
        <f>61372.95+50392.06</f>
        <v>111765.01</v>
      </c>
      <c r="Y83" s="56"/>
      <c r="Z83" s="56">
        <v>40000</v>
      </c>
      <c r="AA83" s="56"/>
      <c r="AB83" s="56">
        <v>0</v>
      </c>
      <c r="AC83" s="56"/>
      <c r="AD83" s="56">
        <v>0</v>
      </c>
      <c r="AE83" s="56"/>
      <c r="AF83" s="56">
        <f t="shared" si="23"/>
        <v>40000</v>
      </c>
      <c r="AG83" s="56">
        <v>0</v>
      </c>
      <c r="AH83" s="56">
        <v>0</v>
      </c>
      <c r="AI83" s="56"/>
      <c r="AJ83" s="56">
        <f t="shared" si="24"/>
        <v>40000</v>
      </c>
      <c r="AK83" s="85"/>
      <c r="AL83" s="89">
        <v>7000</v>
      </c>
      <c r="AM83" s="56"/>
      <c r="AN83" s="88">
        <v>114735</v>
      </c>
      <c r="AO83" s="88">
        <v>0</v>
      </c>
      <c r="AP83" s="88">
        <f>80197.05+112646.58</f>
        <v>192843.63</v>
      </c>
      <c r="AQ83" s="56"/>
      <c r="AR83" s="56">
        <v>0</v>
      </c>
      <c r="AS83" s="56"/>
      <c r="AT83" s="56">
        <v>0</v>
      </c>
      <c r="AU83" s="56"/>
      <c r="AV83" s="56">
        <f t="shared" si="25"/>
        <v>192843.63</v>
      </c>
      <c r="AW83" s="56"/>
      <c r="AX83" s="106">
        <v>0</v>
      </c>
      <c r="AY83" s="56"/>
      <c r="AZ83" s="88">
        <v>40000</v>
      </c>
      <c r="BA83" s="56">
        <v>40000</v>
      </c>
      <c r="BB83" s="214"/>
      <c r="BC83" s="56"/>
      <c r="BD83" s="84">
        <f t="shared" si="26"/>
        <v>78108.63</v>
      </c>
      <c r="BE83" s="56"/>
      <c r="BF83" s="56"/>
      <c r="BG83" s="56"/>
      <c r="BH83" s="72">
        <v>0</v>
      </c>
      <c r="BJ83">
        <v>0</v>
      </c>
    </row>
    <row r="84" spans="1:62" ht="20.100000000000001" customHeight="1" outlineLevel="1">
      <c r="A84" s="77" t="s">
        <v>43</v>
      </c>
      <c r="B84" s="77" t="s">
        <v>814</v>
      </c>
      <c r="C84" s="77" t="s">
        <v>1109</v>
      </c>
      <c r="D84" s="78" t="s">
        <v>46</v>
      </c>
      <c r="E84" s="78" t="str">
        <f t="shared" si="22"/>
        <v>000</v>
      </c>
      <c r="F84" s="3">
        <v>611521</v>
      </c>
      <c r="G84" s="102" t="s">
        <v>815</v>
      </c>
      <c r="H84" s="87"/>
      <c r="I84" s="13">
        <v>714307</v>
      </c>
      <c r="J84" s="13">
        <v>663543</v>
      </c>
      <c r="L84" s="56">
        <v>938171</v>
      </c>
      <c r="M84" s="56"/>
      <c r="N84" s="56">
        <v>811546</v>
      </c>
      <c r="O84" s="56"/>
      <c r="P84" s="56">
        <v>811546</v>
      </c>
      <c r="Q84" s="56"/>
      <c r="R84" s="56">
        <v>958697</v>
      </c>
      <c r="S84" s="56"/>
      <c r="T84" s="56">
        <v>0</v>
      </c>
      <c r="U84" s="56"/>
      <c r="V84" s="56">
        <v>958697</v>
      </c>
      <c r="W84" s="56"/>
      <c r="X84" s="56">
        <v>978268.55</v>
      </c>
      <c r="Y84" s="56"/>
      <c r="Z84" s="56">
        <v>845988</v>
      </c>
      <c r="AA84" s="56"/>
      <c r="AB84" s="56">
        <v>0</v>
      </c>
      <c r="AC84" s="56"/>
      <c r="AD84" s="56">
        <v>0</v>
      </c>
      <c r="AE84" s="56"/>
      <c r="AF84" s="56">
        <f t="shared" si="23"/>
        <v>845988</v>
      </c>
      <c r="AG84" s="104">
        <v>19500</v>
      </c>
      <c r="AH84" s="56">
        <v>100000</v>
      </c>
      <c r="AI84" s="56"/>
      <c r="AJ84" s="56">
        <f t="shared" si="24"/>
        <v>965488</v>
      </c>
      <c r="AK84" s="85"/>
      <c r="AL84" s="56">
        <v>0</v>
      </c>
      <c r="AM84" s="56"/>
      <c r="AN84" s="88">
        <v>1055958</v>
      </c>
      <c r="AO84" s="88">
        <v>0</v>
      </c>
      <c r="AP84" s="88">
        <v>892459.67</v>
      </c>
      <c r="AQ84" s="56"/>
      <c r="AR84" s="56">
        <v>0</v>
      </c>
      <c r="AS84" s="56"/>
      <c r="AT84" s="56">
        <v>0</v>
      </c>
      <c r="AU84" s="56"/>
      <c r="AV84" s="56">
        <f t="shared" si="25"/>
        <v>892459.67</v>
      </c>
      <c r="AW84" s="56"/>
      <c r="AX84" s="106">
        <v>57176</v>
      </c>
      <c r="AY84" s="56"/>
      <c r="AZ84" s="88">
        <v>911000</v>
      </c>
      <c r="BA84" s="56">
        <v>911000</v>
      </c>
      <c r="BB84" s="214"/>
      <c r="BC84" s="56"/>
      <c r="BD84" s="84">
        <f t="shared" si="26"/>
        <v>-163498.32999999996</v>
      </c>
      <c r="BE84" s="56"/>
      <c r="BF84" s="56"/>
      <c r="BG84" s="56"/>
      <c r="BH84" s="72">
        <v>2</v>
      </c>
      <c r="BJ84">
        <v>2</v>
      </c>
    </row>
    <row r="85" spans="1:62" ht="20.100000000000001" customHeight="1" outlineLevel="1">
      <c r="A85" s="77" t="s">
        <v>43</v>
      </c>
      <c r="B85" s="77" t="s">
        <v>814</v>
      </c>
      <c r="C85" s="77" t="s">
        <v>1109</v>
      </c>
      <c r="D85" s="78" t="s">
        <v>46</v>
      </c>
      <c r="E85" s="78" t="str">
        <f t="shared" si="22"/>
        <v>000</v>
      </c>
      <c r="F85" s="3">
        <v>611721</v>
      </c>
      <c r="G85" s="102" t="s">
        <v>1133</v>
      </c>
      <c r="H85" s="87"/>
      <c r="I85" s="13"/>
      <c r="J85" s="13"/>
      <c r="L85" s="88">
        <v>79339.8</v>
      </c>
      <c r="M85" s="56"/>
      <c r="N85" s="56"/>
      <c r="O85" s="56"/>
      <c r="P85" s="56"/>
      <c r="Q85" s="56"/>
      <c r="R85" s="56"/>
      <c r="S85" s="56"/>
      <c r="T85" s="56"/>
      <c r="U85" s="56"/>
      <c r="V85" s="56"/>
      <c r="W85" s="56"/>
      <c r="X85" s="88">
        <v>83309.992000000013</v>
      </c>
      <c r="Y85" s="56"/>
      <c r="Z85" s="56"/>
      <c r="AA85" s="56"/>
      <c r="AB85" s="56"/>
      <c r="AC85" s="56"/>
      <c r="AD85" s="56"/>
      <c r="AE85" s="56"/>
      <c r="AF85" s="56"/>
      <c r="AG85" s="104"/>
      <c r="AH85" s="56"/>
      <c r="AI85" s="56"/>
      <c r="AJ85" s="56"/>
      <c r="AK85" s="85"/>
      <c r="AL85" s="56"/>
      <c r="AM85" s="56"/>
      <c r="AN85" s="88">
        <v>86445.4</v>
      </c>
      <c r="AO85" s="88"/>
      <c r="AP85" s="88">
        <v>79860</v>
      </c>
      <c r="AQ85" s="56"/>
      <c r="AR85" s="56"/>
      <c r="AS85" s="56"/>
      <c r="AT85" s="56"/>
      <c r="AU85" s="56"/>
      <c r="AV85" s="56"/>
      <c r="AW85" s="56"/>
      <c r="AX85" s="106"/>
      <c r="AY85" s="56"/>
      <c r="AZ85" s="88">
        <v>0</v>
      </c>
      <c r="BA85" s="56">
        <v>0</v>
      </c>
      <c r="BB85" s="214"/>
      <c r="BC85" s="56"/>
      <c r="BD85" s="84">
        <f t="shared" si="26"/>
        <v>-6585.3999999999942</v>
      </c>
      <c r="BE85" s="56"/>
      <c r="BF85" s="56"/>
      <c r="BG85" s="56"/>
      <c r="BH85" s="72"/>
    </row>
    <row r="86" spans="1:62" ht="20.100000000000001" customHeight="1" outlineLevel="1">
      <c r="A86" s="77" t="s">
        <v>43</v>
      </c>
      <c r="B86" s="77" t="s">
        <v>816</v>
      </c>
      <c r="C86" s="77" t="s">
        <v>1109</v>
      </c>
      <c r="D86" s="78" t="s">
        <v>46</v>
      </c>
      <c r="E86" s="78" t="str">
        <f t="shared" si="22"/>
        <v>000</v>
      </c>
      <c r="F86" s="3">
        <v>643003</v>
      </c>
      <c r="G86" s="102" t="s">
        <v>817</v>
      </c>
      <c r="H86" s="87"/>
      <c r="I86" s="13">
        <v>0</v>
      </c>
      <c r="J86" s="56">
        <v>0</v>
      </c>
      <c r="L86" s="56">
        <v>3650</v>
      </c>
      <c r="M86" s="56"/>
      <c r="N86" s="56">
        <v>4000</v>
      </c>
      <c r="O86" s="56"/>
      <c r="P86" s="56">
        <v>4000</v>
      </c>
      <c r="Q86" s="56"/>
      <c r="R86" s="56">
        <v>4000</v>
      </c>
      <c r="S86" s="56"/>
      <c r="T86" s="56">
        <v>0</v>
      </c>
      <c r="U86" s="56"/>
      <c r="V86" s="56">
        <v>4000</v>
      </c>
      <c r="W86" s="56"/>
      <c r="X86" s="56">
        <v>3125.76</v>
      </c>
      <c r="Y86" s="56"/>
      <c r="Z86" s="56">
        <v>4000</v>
      </c>
      <c r="AA86" s="56"/>
      <c r="AB86" s="56">
        <v>0</v>
      </c>
      <c r="AC86" s="56"/>
      <c r="AD86" s="56">
        <v>0</v>
      </c>
      <c r="AE86" s="56"/>
      <c r="AF86" s="56">
        <f t="shared" si="23"/>
        <v>4000</v>
      </c>
      <c r="AG86" s="56">
        <v>0</v>
      </c>
      <c r="AH86" s="56">
        <v>0</v>
      </c>
      <c r="AI86" s="56"/>
      <c r="AJ86" s="56">
        <f t="shared" si="24"/>
        <v>4000</v>
      </c>
      <c r="AK86" s="85"/>
      <c r="AL86" s="56">
        <v>0</v>
      </c>
      <c r="AM86" s="56"/>
      <c r="AN86" s="88">
        <v>1926</v>
      </c>
      <c r="AO86" s="88">
        <v>0</v>
      </c>
      <c r="AP86" s="88">
        <v>2158.6999999999998</v>
      </c>
      <c r="AQ86" s="56"/>
      <c r="AR86" s="56">
        <v>0</v>
      </c>
      <c r="AS86" s="56"/>
      <c r="AT86" s="56">
        <v>0</v>
      </c>
      <c r="AU86" s="56"/>
      <c r="AV86" s="56">
        <f t="shared" si="25"/>
        <v>2158.6999999999998</v>
      </c>
      <c r="AW86" s="56"/>
      <c r="AX86" s="56">
        <v>0</v>
      </c>
      <c r="AY86" s="56"/>
      <c r="AZ86" s="88">
        <v>3500</v>
      </c>
      <c r="BA86" s="56">
        <v>3500</v>
      </c>
      <c r="BB86" s="214"/>
      <c r="BC86" s="56"/>
      <c r="BD86" s="84">
        <f t="shared" si="26"/>
        <v>232.69999999999982</v>
      </c>
      <c r="BE86" s="56"/>
      <c r="BF86" s="56"/>
      <c r="BG86" s="56"/>
      <c r="BH86" s="72"/>
    </row>
    <row r="87" spans="1:62" ht="20.100000000000001" customHeight="1" outlineLevel="1">
      <c r="A87" s="77" t="s">
        <v>43</v>
      </c>
      <c r="B87" s="77" t="s">
        <v>816</v>
      </c>
      <c r="C87" s="77" t="s">
        <v>1109</v>
      </c>
      <c r="D87" s="78" t="s">
        <v>46</v>
      </c>
      <c r="E87" s="78" t="str">
        <f t="shared" si="22"/>
        <v>000</v>
      </c>
      <c r="F87" s="3">
        <v>643011</v>
      </c>
      <c r="G87" s="102" t="s">
        <v>818</v>
      </c>
      <c r="H87" s="87"/>
      <c r="I87" s="13">
        <v>0</v>
      </c>
      <c r="J87" s="56">
        <v>0</v>
      </c>
      <c r="L87" s="56">
        <v>3660</v>
      </c>
      <c r="M87" s="56"/>
      <c r="N87" s="56">
        <v>7500</v>
      </c>
      <c r="O87" s="56"/>
      <c r="P87" s="56">
        <v>7500</v>
      </c>
      <c r="Q87" s="56"/>
      <c r="R87" s="56">
        <v>7500</v>
      </c>
      <c r="S87" s="56"/>
      <c r="T87" s="56">
        <v>0</v>
      </c>
      <c r="U87" s="56"/>
      <c r="V87" s="56">
        <v>7500</v>
      </c>
      <c r="W87" s="56"/>
      <c r="X87" s="56">
        <v>8106.33</v>
      </c>
      <c r="Y87" s="56"/>
      <c r="Z87" s="56">
        <v>7500</v>
      </c>
      <c r="AA87" s="56"/>
      <c r="AB87" s="56">
        <v>0</v>
      </c>
      <c r="AC87" s="56"/>
      <c r="AD87" s="56">
        <v>0</v>
      </c>
      <c r="AE87" s="56"/>
      <c r="AF87" s="56">
        <f t="shared" si="23"/>
        <v>7500</v>
      </c>
      <c r="AG87" s="56">
        <v>0</v>
      </c>
      <c r="AH87" s="56">
        <v>0</v>
      </c>
      <c r="AI87" s="56"/>
      <c r="AJ87" s="56">
        <f t="shared" si="24"/>
        <v>7500</v>
      </c>
      <c r="AK87" s="85"/>
      <c r="AL87" s="56">
        <v>0</v>
      </c>
      <c r="AM87" s="56"/>
      <c r="AN87" s="88">
        <v>1091</v>
      </c>
      <c r="AO87" s="88">
        <v>0</v>
      </c>
      <c r="AP87" s="88">
        <v>2090.66</v>
      </c>
      <c r="AQ87" s="56"/>
      <c r="AR87" s="56">
        <v>0</v>
      </c>
      <c r="AS87" s="56"/>
      <c r="AT87" s="56">
        <v>0</v>
      </c>
      <c r="AU87" s="56"/>
      <c r="AV87" s="56">
        <f t="shared" si="25"/>
        <v>2090.66</v>
      </c>
      <c r="AW87" s="56"/>
      <c r="AX87" s="56">
        <v>0</v>
      </c>
      <c r="AY87" s="56"/>
      <c r="AZ87" s="88">
        <v>6000</v>
      </c>
      <c r="BA87" s="56">
        <v>6000</v>
      </c>
      <c r="BB87" s="214"/>
      <c r="BC87" s="56"/>
      <c r="BD87" s="84">
        <f t="shared" si="26"/>
        <v>999.65999999999985</v>
      </c>
      <c r="BE87" s="56"/>
      <c r="BF87" s="56"/>
      <c r="BG87" s="56"/>
      <c r="BH87" s="72"/>
    </row>
    <row r="88" spans="1:62" ht="20.100000000000001" customHeight="1" outlineLevel="1">
      <c r="A88" s="77" t="s">
        <v>43</v>
      </c>
      <c r="B88" s="77" t="s">
        <v>816</v>
      </c>
      <c r="C88" s="77" t="s">
        <v>1109</v>
      </c>
      <c r="D88" s="78" t="s">
        <v>46</v>
      </c>
      <c r="E88" s="78" t="str">
        <f t="shared" si="22"/>
        <v>000</v>
      </c>
      <c r="F88" s="3">
        <v>643012</v>
      </c>
      <c r="G88" s="102" t="s">
        <v>819</v>
      </c>
      <c r="H88" s="87"/>
      <c r="I88" s="13">
        <v>0</v>
      </c>
      <c r="J88" s="56">
        <v>0</v>
      </c>
      <c r="L88" s="56">
        <v>145</v>
      </c>
      <c r="M88" s="56"/>
      <c r="N88" s="56">
        <v>2500</v>
      </c>
      <c r="O88" s="56"/>
      <c r="P88" s="56">
        <v>2500</v>
      </c>
      <c r="Q88" s="56"/>
      <c r="R88" s="56">
        <v>2500</v>
      </c>
      <c r="S88" s="56"/>
      <c r="T88" s="56">
        <v>0</v>
      </c>
      <c r="U88" s="56"/>
      <c r="V88" s="56">
        <v>2500</v>
      </c>
      <c r="W88" s="56"/>
      <c r="X88" s="56">
        <v>0</v>
      </c>
      <c r="Y88" s="56"/>
      <c r="Z88" s="56">
        <v>2500</v>
      </c>
      <c r="AA88" s="56"/>
      <c r="AB88" s="56">
        <v>0</v>
      </c>
      <c r="AC88" s="56"/>
      <c r="AD88" s="56">
        <v>0</v>
      </c>
      <c r="AE88" s="56"/>
      <c r="AF88" s="56">
        <f t="shared" si="23"/>
        <v>2500</v>
      </c>
      <c r="AG88" s="56">
        <v>0</v>
      </c>
      <c r="AH88" s="56">
        <v>0</v>
      </c>
      <c r="AI88" s="56"/>
      <c r="AJ88" s="56">
        <f t="shared" si="24"/>
        <v>2500</v>
      </c>
      <c r="AK88" s="85"/>
      <c r="AL88" s="56">
        <v>0</v>
      </c>
      <c r="AM88" s="56"/>
      <c r="AN88" s="88">
        <v>8823</v>
      </c>
      <c r="AO88" s="88">
        <v>0</v>
      </c>
      <c r="AP88" s="88">
        <v>3992.67</v>
      </c>
      <c r="AQ88" s="56"/>
      <c r="AR88" s="56">
        <v>0</v>
      </c>
      <c r="AS88" s="56"/>
      <c r="AT88" s="56">
        <v>0</v>
      </c>
      <c r="AU88" s="56"/>
      <c r="AV88" s="56">
        <f t="shared" si="25"/>
        <v>3992.67</v>
      </c>
      <c r="AW88" s="56"/>
      <c r="AX88" s="56">
        <v>0</v>
      </c>
      <c r="AY88" s="56"/>
      <c r="AZ88" s="88">
        <v>2500</v>
      </c>
      <c r="BA88" s="56">
        <v>2500</v>
      </c>
      <c r="BB88" s="214"/>
      <c r="BC88" s="56"/>
      <c r="BD88" s="84">
        <f t="shared" si="26"/>
        <v>-4830.33</v>
      </c>
      <c r="BE88" s="56"/>
      <c r="BF88" s="56"/>
      <c r="BG88" s="56"/>
      <c r="BH88" s="72"/>
    </row>
    <row r="89" spans="1:62" ht="20.100000000000001" customHeight="1" outlineLevel="1">
      <c r="A89" s="77" t="s">
        <v>43</v>
      </c>
      <c r="B89" s="77" t="s">
        <v>816</v>
      </c>
      <c r="C89" s="77" t="s">
        <v>1109</v>
      </c>
      <c r="D89" s="78" t="s">
        <v>46</v>
      </c>
      <c r="E89" s="78" t="str">
        <f t="shared" si="22"/>
        <v>000</v>
      </c>
      <c r="F89" s="3">
        <v>652311</v>
      </c>
      <c r="G89" s="102" t="s">
        <v>820</v>
      </c>
      <c r="H89" s="87"/>
      <c r="I89" s="13">
        <v>0</v>
      </c>
      <c r="J89" s="56">
        <v>0</v>
      </c>
      <c r="L89" s="56">
        <v>3140</v>
      </c>
      <c r="M89" s="56"/>
      <c r="N89" s="56"/>
      <c r="O89" s="56"/>
      <c r="P89" s="56"/>
      <c r="Q89" s="56"/>
      <c r="R89" s="56"/>
      <c r="S89" s="56"/>
      <c r="T89" s="56">
        <v>0</v>
      </c>
      <c r="U89" s="56"/>
      <c r="V89" s="56"/>
      <c r="W89" s="56"/>
      <c r="X89" s="56">
        <v>0</v>
      </c>
      <c r="Y89" s="56"/>
      <c r="Z89" s="56">
        <v>0</v>
      </c>
      <c r="AA89" s="56"/>
      <c r="AB89" s="56">
        <v>0</v>
      </c>
      <c r="AC89" s="56"/>
      <c r="AD89" s="56">
        <v>0</v>
      </c>
      <c r="AE89" s="56"/>
      <c r="AF89" s="56">
        <f t="shared" si="23"/>
        <v>0</v>
      </c>
      <c r="AG89" s="56">
        <v>0</v>
      </c>
      <c r="AH89" s="56">
        <v>0</v>
      </c>
      <c r="AI89" s="56"/>
      <c r="AJ89" s="56">
        <f t="shared" si="24"/>
        <v>0</v>
      </c>
      <c r="AK89" s="85"/>
      <c r="AL89" s="56">
        <v>0</v>
      </c>
      <c r="AM89" s="56"/>
      <c r="AN89" s="88">
        <v>31200</v>
      </c>
      <c r="AO89" s="88">
        <v>0</v>
      </c>
      <c r="AP89" s="88">
        <v>34856</v>
      </c>
      <c r="AQ89" s="56"/>
      <c r="AR89" s="56">
        <v>0</v>
      </c>
      <c r="AS89" s="56"/>
      <c r="AT89" s="56">
        <v>0</v>
      </c>
      <c r="AU89" s="56"/>
      <c r="AV89" s="56">
        <f t="shared" si="25"/>
        <v>34856</v>
      </c>
      <c r="AW89" s="56"/>
      <c r="AX89" s="56">
        <v>0</v>
      </c>
      <c r="AY89" s="56"/>
      <c r="AZ89" s="88">
        <v>0</v>
      </c>
      <c r="BA89" s="56">
        <v>0</v>
      </c>
      <c r="BB89" s="214"/>
      <c r="BC89" s="56"/>
      <c r="BD89" s="84">
        <f t="shared" si="26"/>
        <v>3656</v>
      </c>
      <c r="BE89" s="56"/>
      <c r="BF89" s="56"/>
      <c r="BG89" s="56"/>
      <c r="BH89" s="72"/>
    </row>
    <row r="90" spans="1:62" ht="20.100000000000001" customHeight="1" outlineLevel="1">
      <c r="A90" s="77" t="s">
        <v>43</v>
      </c>
      <c r="B90" s="77" t="s">
        <v>816</v>
      </c>
      <c r="C90" s="77" t="s">
        <v>1109</v>
      </c>
      <c r="D90" s="78" t="s">
        <v>46</v>
      </c>
      <c r="E90" s="78" t="str">
        <f t="shared" si="22"/>
        <v>000</v>
      </c>
      <c r="F90" s="3">
        <v>661077</v>
      </c>
      <c r="G90" s="102" t="s">
        <v>821</v>
      </c>
      <c r="H90" s="87"/>
      <c r="I90" s="13">
        <v>86443</v>
      </c>
      <c r="J90" s="13">
        <v>92900</v>
      </c>
      <c r="L90" s="56">
        <v>77213</v>
      </c>
      <c r="M90" s="56"/>
      <c r="N90" s="56">
        <v>51000</v>
      </c>
      <c r="O90" s="56"/>
      <c r="P90" s="56">
        <v>56907</v>
      </c>
      <c r="Q90" s="56"/>
      <c r="R90" s="56">
        <v>61907</v>
      </c>
      <c r="S90" s="56"/>
      <c r="T90" s="56">
        <v>0</v>
      </c>
      <c r="U90" s="56"/>
      <c r="V90" s="56">
        <v>61907</v>
      </c>
      <c r="W90" s="56"/>
      <c r="X90" s="56">
        <f>67088.58+8637.16</f>
        <v>75725.740000000005</v>
      </c>
      <c r="Y90" s="56"/>
      <c r="Z90" s="56">
        <v>65000</v>
      </c>
      <c r="AA90" s="56"/>
      <c r="AB90" s="56">
        <v>0</v>
      </c>
      <c r="AC90" s="56"/>
      <c r="AD90" s="56">
        <v>0</v>
      </c>
      <c r="AE90" s="56"/>
      <c r="AF90" s="56">
        <f t="shared" si="23"/>
        <v>65000</v>
      </c>
      <c r="AG90" s="56">
        <v>0</v>
      </c>
      <c r="AH90" s="56">
        <v>0</v>
      </c>
      <c r="AI90" s="56"/>
      <c r="AJ90" s="56">
        <f t="shared" si="24"/>
        <v>65000</v>
      </c>
      <c r="AK90" s="85"/>
      <c r="AL90" s="56">
        <v>0</v>
      </c>
      <c r="AM90" s="56"/>
      <c r="AN90" s="88">
        <v>78381</v>
      </c>
      <c r="AO90" s="88">
        <v>0</v>
      </c>
      <c r="AP90" s="88">
        <v>93993.79</v>
      </c>
      <c r="AQ90" s="56"/>
      <c r="AR90" s="56">
        <v>0</v>
      </c>
      <c r="AS90" s="56"/>
      <c r="AT90" s="56">
        <v>0</v>
      </c>
      <c r="AU90" s="56"/>
      <c r="AV90" s="56">
        <f t="shared" si="25"/>
        <v>93993.79</v>
      </c>
      <c r="AW90" s="56"/>
      <c r="AX90" s="56">
        <v>0</v>
      </c>
      <c r="AY90" s="56"/>
      <c r="AZ90" s="88">
        <v>60000</v>
      </c>
      <c r="BA90" s="56">
        <v>60000</v>
      </c>
      <c r="BB90" s="214"/>
      <c r="BC90" s="56"/>
      <c r="BD90" s="84">
        <f t="shared" si="26"/>
        <v>15612.789999999994</v>
      </c>
      <c r="BE90" s="56"/>
      <c r="BF90" s="56"/>
      <c r="BG90" s="56"/>
      <c r="BH90" s="72"/>
    </row>
    <row r="91" spans="1:62" ht="20.100000000000001" customHeight="1" outlineLevel="1">
      <c r="A91" s="77" t="s">
        <v>43</v>
      </c>
      <c r="B91" s="77" t="s">
        <v>816</v>
      </c>
      <c r="C91" s="77" t="s">
        <v>1109</v>
      </c>
      <c r="D91" s="78" t="s">
        <v>46</v>
      </c>
      <c r="E91" s="78" t="str">
        <f t="shared" si="22"/>
        <v>000</v>
      </c>
      <c r="F91" s="3">
        <v>661092</v>
      </c>
      <c r="G91" s="102" t="s">
        <v>822</v>
      </c>
      <c r="H91" s="87"/>
      <c r="I91" s="13"/>
      <c r="J91" s="13"/>
      <c r="L91" s="56">
        <v>0</v>
      </c>
      <c r="M91" s="56"/>
      <c r="N91" s="56"/>
      <c r="O91" s="56"/>
      <c r="P91" s="56"/>
      <c r="Q91" s="56"/>
      <c r="R91" s="56"/>
      <c r="S91" s="56"/>
      <c r="T91" s="56"/>
      <c r="U91" s="56"/>
      <c r="V91" s="56">
        <v>0</v>
      </c>
      <c r="W91" s="56"/>
      <c r="X91" s="56">
        <v>3175.31</v>
      </c>
      <c r="Y91" s="56"/>
      <c r="Z91" s="56">
        <v>5000</v>
      </c>
      <c r="AA91" s="56"/>
      <c r="AB91" s="56">
        <v>0</v>
      </c>
      <c r="AC91" s="56"/>
      <c r="AD91" s="56">
        <v>0</v>
      </c>
      <c r="AE91" s="56"/>
      <c r="AF91" s="56">
        <f t="shared" si="23"/>
        <v>5000</v>
      </c>
      <c r="AG91" s="56">
        <v>0</v>
      </c>
      <c r="AH91" s="56">
        <v>0</v>
      </c>
      <c r="AI91" s="56"/>
      <c r="AJ91" s="56">
        <f t="shared" si="24"/>
        <v>5000</v>
      </c>
      <c r="AK91" s="85"/>
      <c r="AL91" s="56">
        <v>0</v>
      </c>
      <c r="AM91" s="56"/>
      <c r="AN91" s="88">
        <v>1536</v>
      </c>
      <c r="AO91" s="88">
        <v>0</v>
      </c>
      <c r="AP91" s="88">
        <v>417.89</v>
      </c>
      <c r="AQ91" s="56"/>
      <c r="AR91" s="56">
        <v>0</v>
      </c>
      <c r="AS91" s="56"/>
      <c r="AT91" s="56">
        <v>0</v>
      </c>
      <c r="AU91" s="56"/>
      <c r="AV91" s="56">
        <f t="shared" si="25"/>
        <v>417.89</v>
      </c>
      <c r="AW91" s="56"/>
      <c r="AX91" s="56">
        <v>0</v>
      </c>
      <c r="AY91" s="56"/>
      <c r="AZ91" s="88">
        <v>5000</v>
      </c>
      <c r="BA91" s="56">
        <v>5000</v>
      </c>
      <c r="BB91" s="214"/>
      <c r="BC91" s="56"/>
      <c r="BD91" s="84">
        <f t="shared" si="26"/>
        <v>-1118.1100000000001</v>
      </c>
      <c r="BE91" s="56"/>
      <c r="BF91" s="56"/>
      <c r="BG91" s="56"/>
      <c r="BH91" s="72"/>
    </row>
    <row r="92" spans="1:62" ht="20.100000000000001" customHeight="1" outlineLevel="1">
      <c r="A92" s="77" t="s">
        <v>43</v>
      </c>
      <c r="B92" s="77" t="s">
        <v>816</v>
      </c>
      <c r="C92" s="77" t="s">
        <v>1109</v>
      </c>
      <c r="D92" s="78" t="s">
        <v>46</v>
      </c>
      <c r="E92" s="78" t="str">
        <f t="shared" si="22"/>
        <v>000</v>
      </c>
      <c r="F92" s="3">
        <v>661121</v>
      </c>
      <c r="G92" s="102" t="s">
        <v>823</v>
      </c>
      <c r="H92" s="87"/>
      <c r="I92" s="13">
        <v>0</v>
      </c>
      <c r="J92" s="56">
        <v>0</v>
      </c>
      <c r="L92" s="56">
        <v>0</v>
      </c>
      <c r="M92" s="56"/>
      <c r="N92" s="56">
        <v>5000</v>
      </c>
      <c r="O92" s="56"/>
      <c r="P92" s="56">
        <v>5000</v>
      </c>
      <c r="Q92" s="56"/>
      <c r="R92" s="56">
        <v>5000</v>
      </c>
      <c r="S92" s="56"/>
      <c r="T92" s="56">
        <v>0</v>
      </c>
      <c r="U92" s="56"/>
      <c r="V92" s="56">
        <v>5000</v>
      </c>
      <c r="W92" s="56"/>
      <c r="X92" s="56">
        <v>241</v>
      </c>
      <c r="Y92" s="56"/>
      <c r="Z92" s="56">
        <v>5000</v>
      </c>
      <c r="AA92" s="56"/>
      <c r="AB92" s="56">
        <v>0</v>
      </c>
      <c r="AC92" s="56"/>
      <c r="AD92" s="56">
        <v>0</v>
      </c>
      <c r="AE92" s="56"/>
      <c r="AF92" s="56">
        <f t="shared" si="23"/>
        <v>5000</v>
      </c>
      <c r="AG92" s="56">
        <v>0</v>
      </c>
      <c r="AH92" s="56">
        <v>0</v>
      </c>
      <c r="AI92" s="56"/>
      <c r="AJ92" s="56">
        <f t="shared" si="24"/>
        <v>5000</v>
      </c>
      <c r="AK92" s="85"/>
      <c r="AL92" s="56">
        <v>0</v>
      </c>
      <c r="AM92" s="56"/>
      <c r="AN92" s="88">
        <v>150</v>
      </c>
      <c r="AO92" s="88">
        <v>0</v>
      </c>
      <c r="AP92" s="88">
        <v>4875.01</v>
      </c>
      <c r="AQ92" s="56"/>
      <c r="AR92" s="56">
        <v>0</v>
      </c>
      <c r="AS92" s="56"/>
      <c r="AT92" s="56">
        <v>0</v>
      </c>
      <c r="AU92" s="56"/>
      <c r="AV92" s="56">
        <f t="shared" si="25"/>
        <v>4875.01</v>
      </c>
      <c r="AW92" s="56"/>
      <c r="AX92" s="56">
        <v>0</v>
      </c>
      <c r="AY92" s="56"/>
      <c r="AZ92" s="88">
        <v>0</v>
      </c>
      <c r="BA92" s="56">
        <v>0</v>
      </c>
      <c r="BB92" s="214"/>
      <c r="BC92" s="56"/>
      <c r="BD92" s="84">
        <f t="shared" si="26"/>
        <v>4725.01</v>
      </c>
      <c r="BE92" s="56"/>
      <c r="BF92" s="56"/>
      <c r="BG92" s="56"/>
      <c r="BH92" s="72"/>
    </row>
    <row r="93" spans="1:62" ht="20.100000000000001" customHeight="1" outlineLevel="1">
      <c r="A93" s="77" t="s">
        <v>43</v>
      </c>
      <c r="B93" s="77" t="s">
        <v>816</v>
      </c>
      <c r="C93" s="77" t="s">
        <v>1109</v>
      </c>
      <c r="D93" s="78" t="s">
        <v>46</v>
      </c>
      <c r="E93" s="78" t="str">
        <f t="shared" si="22"/>
        <v>000</v>
      </c>
      <c r="F93" s="3">
        <v>661171</v>
      </c>
      <c r="G93" s="102" t="s">
        <v>824</v>
      </c>
      <c r="H93" s="87"/>
      <c r="I93" s="13">
        <v>0</v>
      </c>
      <c r="J93" s="56">
        <v>0</v>
      </c>
      <c r="L93" s="56">
        <v>31869</v>
      </c>
      <c r="M93" s="56"/>
      <c r="N93" s="56">
        <v>27000</v>
      </c>
      <c r="O93" s="56"/>
      <c r="P93" s="56">
        <v>56265</v>
      </c>
      <c r="Q93" s="56"/>
      <c r="R93" s="56">
        <v>56265</v>
      </c>
      <c r="S93" s="56"/>
      <c r="T93" s="56">
        <v>0</v>
      </c>
      <c r="U93" s="56"/>
      <c r="V93" s="56">
        <v>56265</v>
      </c>
      <c r="W93" s="56"/>
      <c r="X93" s="56">
        <v>17515.72</v>
      </c>
      <c r="Y93" s="56"/>
      <c r="Z93" s="56">
        <v>56000</v>
      </c>
      <c r="AA93" s="56"/>
      <c r="AB93" s="56">
        <v>0</v>
      </c>
      <c r="AC93" s="56"/>
      <c r="AD93" s="56">
        <v>0</v>
      </c>
      <c r="AE93" s="56"/>
      <c r="AF93" s="56">
        <f t="shared" si="23"/>
        <v>56000</v>
      </c>
      <c r="AG93" s="56">
        <v>0</v>
      </c>
      <c r="AH93" s="56">
        <v>0</v>
      </c>
      <c r="AI93" s="56"/>
      <c r="AJ93" s="56">
        <f t="shared" si="24"/>
        <v>56000</v>
      </c>
      <c r="AK93" s="85"/>
      <c r="AL93" s="56">
        <v>0</v>
      </c>
      <c r="AM93" s="56"/>
      <c r="AN93" s="88">
        <v>1557</v>
      </c>
      <c r="AO93" s="88">
        <v>0</v>
      </c>
      <c r="AP93" s="88">
        <v>8133.81</v>
      </c>
      <c r="AQ93" s="56"/>
      <c r="AR93" s="56">
        <v>0</v>
      </c>
      <c r="AS93" s="56"/>
      <c r="AT93" s="56">
        <v>0</v>
      </c>
      <c r="AU93" s="56"/>
      <c r="AV93" s="56">
        <f t="shared" si="25"/>
        <v>8133.81</v>
      </c>
      <c r="AW93" s="56"/>
      <c r="AX93" s="56">
        <v>0</v>
      </c>
      <c r="AY93" s="56"/>
      <c r="AZ93" s="88">
        <v>54000</v>
      </c>
      <c r="BA93" s="56">
        <v>54000</v>
      </c>
      <c r="BB93" s="214"/>
      <c r="BC93" s="56"/>
      <c r="BD93" s="84">
        <f t="shared" si="26"/>
        <v>6576.81</v>
      </c>
      <c r="BE93" s="56"/>
      <c r="BF93" s="56"/>
      <c r="BG93" s="56"/>
      <c r="BH93" s="72"/>
    </row>
    <row r="94" spans="1:62" ht="20.100000000000001" customHeight="1" outlineLevel="1">
      <c r="A94" s="77" t="s">
        <v>43</v>
      </c>
      <c r="B94" s="77" t="s">
        <v>816</v>
      </c>
      <c r="C94" s="77" t="s">
        <v>1109</v>
      </c>
      <c r="D94" s="78" t="s">
        <v>46</v>
      </c>
      <c r="E94" s="78" t="str">
        <f t="shared" si="22"/>
        <v>000</v>
      </c>
      <c r="F94" s="3">
        <v>661172</v>
      </c>
      <c r="G94" s="102" t="s">
        <v>825</v>
      </c>
      <c r="H94" s="87"/>
      <c r="I94" s="13">
        <v>0</v>
      </c>
      <c r="J94" s="56">
        <v>0</v>
      </c>
      <c r="L94" s="56">
        <v>0</v>
      </c>
      <c r="M94" s="56"/>
      <c r="N94" s="56">
        <v>1000</v>
      </c>
      <c r="O94" s="56"/>
      <c r="P94" s="56">
        <v>1000</v>
      </c>
      <c r="Q94" s="56"/>
      <c r="R94" s="56">
        <v>1000</v>
      </c>
      <c r="S94" s="56"/>
      <c r="T94" s="56">
        <v>0</v>
      </c>
      <c r="U94" s="56"/>
      <c r="V94" s="56">
        <v>1000</v>
      </c>
      <c r="W94" s="56"/>
      <c r="X94" s="56">
        <v>0</v>
      </c>
      <c r="Y94" s="56"/>
      <c r="Z94" s="56">
        <v>1000</v>
      </c>
      <c r="AA94" s="56"/>
      <c r="AB94" s="56">
        <v>0</v>
      </c>
      <c r="AC94" s="56"/>
      <c r="AD94" s="56">
        <v>0</v>
      </c>
      <c r="AE94" s="56"/>
      <c r="AF94" s="56">
        <f t="shared" si="23"/>
        <v>1000</v>
      </c>
      <c r="AG94" s="56">
        <v>0</v>
      </c>
      <c r="AH94" s="56">
        <v>0</v>
      </c>
      <c r="AI94" s="56"/>
      <c r="AJ94" s="56">
        <f t="shared" si="24"/>
        <v>1000</v>
      </c>
      <c r="AK94" s="85"/>
      <c r="AL94" s="56">
        <v>0</v>
      </c>
      <c r="AM94" s="56"/>
      <c r="AN94" s="88">
        <v>0</v>
      </c>
      <c r="AO94" s="88">
        <v>0</v>
      </c>
      <c r="AP94" s="88">
        <v>0</v>
      </c>
      <c r="AQ94" s="56"/>
      <c r="AR94" s="56">
        <v>0</v>
      </c>
      <c r="AS94" s="56"/>
      <c r="AT94" s="56">
        <v>0</v>
      </c>
      <c r="AU94" s="56"/>
      <c r="AV94" s="56">
        <f t="shared" si="25"/>
        <v>0</v>
      </c>
      <c r="AW94" s="56"/>
      <c r="AX94" s="56">
        <v>0</v>
      </c>
      <c r="AY94" s="56"/>
      <c r="AZ94" s="88">
        <v>1000</v>
      </c>
      <c r="BA94" s="56">
        <v>1000</v>
      </c>
      <c r="BB94" s="214"/>
      <c r="BC94" s="56"/>
      <c r="BD94" s="84">
        <f t="shared" si="26"/>
        <v>0</v>
      </c>
      <c r="BE94" s="56"/>
      <c r="BF94" s="56"/>
      <c r="BG94" s="56"/>
      <c r="BH94" s="72"/>
    </row>
    <row r="95" spans="1:62" ht="20.100000000000001" customHeight="1" outlineLevel="1">
      <c r="A95" s="77" t="s">
        <v>43</v>
      </c>
      <c r="B95" s="77" t="s">
        <v>816</v>
      </c>
      <c r="C95" s="77" t="s">
        <v>1109</v>
      </c>
      <c r="D95" s="78" t="s">
        <v>46</v>
      </c>
      <c r="E95" s="78" t="str">
        <f t="shared" si="22"/>
        <v>000</v>
      </c>
      <c r="F95" s="3">
        <v>661173</v>
      </c>
      <c r="G95" s="102" t="s">
        <v>826</v>
      </c>
      <c r="H95" s="87"/>
      <c r="I95" s="13">
        <v>0</v>
      </c>
      <c r="J95" s="56">
        <v>0</v>
      </c>
      <c r="L95" s="56">
        <v>0</v>
      </c>
      <c r="M95" s="56"/>
      <c r="N95" s="56">
        <v>1000</v>
      </c>
      <c r="O95" s="56"/>
      <c r="P95" s="56">
        <v>1000</v>
      </c>
      <c r="Q95" s="56"/>
      <c r="R95" s="56">
        <v>1000</v>
      </c>
      <c r="S95" s="56"/>
      <c r="T95" s="56">
        <v>0</v>
      </c>
      <c r="U95" s="56"/>
      <c r="V95" s="56">
        <v>1000</v>
      </c>
      <c r="W95" s="56"/>
      <c r="X95" s="56">
        <v>37.5</v>
      </c>
      <c r="Y95" s="56"/>
      <c r="Z95" s="56">
        <v>1000</v>
      </c>
      <c r="AA95" s="56"/>
      <c r="AB95" s="56">
        <v>0</v>
      </c>
      <c r="AC95" s="56"/>
      <c r="AD95" s="56">
        <v>0</v>
      </c>
      <c r="AE95" s="56"/>
      <c r="AF95" s="56">
        <f t="shared" si="23"/>
        <v>1000</v>
      </c>
      <c r="AG95" s="56">
        <v>0</v>
      </c>
      <c r="AH95" s="56">
        <v>0</v>
      </c>
      <c r="AI95" s="56"/>
      <c r="AJ95" s="56">
        <f t="shared" si="24"/>
        <v>1000</v>
      </c>
      <c r="AK95" s="85"/>
      <c r="AL95" s="56">
        <v>0</v>
      </c>
      <c r="AM95" s="56"/>
      <c r="AN95" s="88">
        <v>75</v>
      </c>
      <c r="AO95" s="88">
        <v>0</v>
      </c>
      <c r="AP95" s="88">
        <v>0</v>
      </c>
      <c r="AQ95" s="56"/>
      <c r="AR95" s="56">
        <v>0</v>
      </c>
      <c r="AS95" s="56"/>
      <c r="AT95" s="56">
        <v>0</v>
      </c>
      <c r="AU95" s="56"/>
      <c r="AV95" s="56">
        <f t="shared" si="25"/>
        <v>0</v>
      </c>
      <c r="AW95" s="56"/>
      <c r="AX95" s="56">
        <v>0</v>
      </c>
      <c r="AY95" s="56"/>
      <c r="AZ95" s="88">
        <v>1000</v>
      </c>
      <c r="BA95" s="56">
        <v>1000</v>
      </c>
      <c r="BB95" s="214"/>
      <c r="BC95" s="56"/>
      <c r="BD95" s="84">
        <f t="shared" si="26"/>
        <v>-75</v>
      </c>
      <c r="BE95" s="56"/>
      <c r="BF95" s="56"/>
      <c r="BG95" s="56"/>
      <c r="BH95" s="72"/>
    </row>
    <row r="96" spans="1:62" ht="20.100000000000001" customHeight="1" outlineLevel="1">
      <c r="A96" s="77" t="s">
        <v>43</v>
      </c>
      <c r="B96" s="77" t="s">
        <v>816</v>
      </c>
      <c r="C96" s="77" t="s">
        <v>1109</v>
      </c>
      <c r="D96" s="78" t="s">
        <v>46</v>
      </c>
      <c r="E96" s="78" t="str">
        <f t="shared" si="22"/>
        <v>000</v>
      </c>
      <c r="F96" s="3">
        <v>661174</v>
      </c>
      <c r="G96" s="102" t="s">
        <v>827</v>
      </c>
      <c r="H96" s="87"/>
      <c r="I96" s="13">
        <v>0</v>
      </c>
      <c r="J96" s="56">
        <v>0</v>
      </c>
      <c r="L96" s="56">
        <v>0</v>
      </c>
      <c r="M96" s="56"/>
      <c r="N96" s="56">
        <v>3000</v>
      </c>
      <c r="O96" s="56"/>
      <c r="P96" s="56">
        <v>3000</v>
      </c>
      <c r="Q96" s="56"/>
      <c r="R96" s="56">
        <v>3000</v>
      </c>
      <c r="S96" s="56"/>
      <c r="T96" s="56">
        <v>0</v>
      </c>
      <c r="U96" s="56"/>
      <c r="V96" s="56">
        <v>3000</v>
      </c>
      <c r="W96" s="56"/>
      <c r="X96" s="56">
        <v>4419.8599999999997</v>
      </c>
      <c r="Y96" s="56"/>
      <c r="Z96" s="56">
        <v>3000</v>
      </c>
      <c r="AA96" s="56"/>
      <c r="AB96" s="56">
        <v>0</v>
      </c>
      <c r="AC96" s="56"/>
      <c r="AD96" s="56">
        <v>0</v>
      </c>
      <c r="AE96" s="56"/>
      <c r="AF96" s="56">
        <f t="shared" si="23"/>
        <v>3000</v>
      </c>
      <c r="AG96" s="56">
        <v>0</v>
      </c>
      <c r="AH96" s="56">
        <v>0</v>
      </c>
      <c r="AI96" s="56"/>
      <c r="AJ96" s="56">
        <f t="shared" si="24"/>
        <v>3000</v>
      </c>
      <c r="AK96" s="85"/>
      <c r="AL96" s="56">
        <v>0</v>
      </c>
      <c r="AM96" s="56"/>
      <c r="AN96" s="88">
        <v>4396</v>
      </c>
      <c r="AO96" s="88">
        <v>0</v>
      </c>
      <c r="AP96" s="88">
        <v>0</v>
      </c>
      <c r="AQ96" s="56"/>
      <c r="AR96" s="56">
        <v>0</v>
      </c>
      <c r="AS96" s="56"/>
      <c r="AT96" s="56">
        <v>0</v>
      </c>
      <c r="AU96" s="56"/>
      <c r="AV96" s="56">
        <f t="shared" si="25"/>
        <v>0</v>
      </c>
      <c r="AW96" s="56"/>
      <c r="AX96" s="56">
        <v>0</v>
      </c>
      <c r="AY96" s="56"/>
      <c r="AZ96" s="88">
        <v>3000</v>
      </c>
      <c r="BA96" s="56">
        <v>3000</v>
      </c>
      <c r="BB96" s="214"/>
      <c r="BC96" s="56"/>
      <c r="BD96" s="84">
        <f t="shared" si="26"/>
        <v>-4396</v>
      </c>
      <c r="BE96" s="56"/>
      <c r="BF96" s="56"/>
      <c r="BG96" s="56"/>
      <c r="BH96" s="72"/>
    </row>
    <row r="97" spans="1:60" ht="20.100000000000001" customHeight="1" outlineLevel="1">
      <c r="A97" s="77" t="s">
        <v>43</v>
      </c>
      <c r="B97" s="77" t="s">
        <v>816</v>
      </c>
      <c r="C97" s="77" t="s">
        <v>1109</v>
      </c>
      <c r="D97" s="78" t="s">
        <v>46</v>
      </c>
      <c r="E97" s="78" t="str">
        <f t="shared" si="22"/>
        <v>000</v>
      </c>
      <c r="F97" s="3">
        <v>662611</v>
      </c>
      <c r="G97" s="102" t="s">
        <v>828</v>
      </c>
      <c r="H97" s="87"/>
      <c r="I97" s="13">
        <v>149219</v>
      </c>
      <c r="J97" s="13">
        <v>174891</v>
      </c>
      <c r="L97" s="56">
        <v>176676</v>
      </c>
      <c r="M97" s="56"/>
      <c r="N97" s="56">
        <v>172500</v>
      </c>
      <c r="O97" s="56"/>
      <c r="P97" s="56">
        <v>172500</v>
      </c>
      <c r="Q97" s="56"/>
      <c r="R97" s="56">
        <v>172500</v>
      </c>
      <c r="S97" s="56"/>
      <c r="T97" s="56">
        <v>0</v>
      </c>
      <c r="U97" s="56"/>
      <c r="V97" s="56">
        <v>172500</v>
      </c>
      <c r="W97" s="56"/>
      <c r="X97" s="56">
        <v>301733.33</v>
      </c>
      <c r="Y97" s="56"/>
      <c r="Z97" s="56">
        <v>300000</v>
      </c>
      <c r="AA97" s="56"/>
      <c r="AB97" s="56">
        <v>0</v>
      </c>
      <c r="AC97" s="56"/>
      <c r="AD97" s="56">
        <v>0</v>
      </c>
      <c r="AE97" s="56"/>
      <c r="AF97" s="56">
        <f t="shared" si="23"/>
        <v>300000</v>
      </c>
      <c r="AG97" s="56">
        <v>0</v>
      </c>
      <c r="AH97" s="56">
        <v>0</v>
      </c>
      <c r="AI97" s="56"/>
      <c r="AJ97" s="56">
        <f t="shared" si="24"/>
        <v>300000</v>
      </c>
      <c r="AK97" s="85"/>
      <c r="AL97" s="56">
        <v>0</v>
      </c>
      <c r="AM97" s="56"/>
      <c r="AN97" s="88">
        <v>236949</v>
      </c>
      <c r="AO97" s="88">
        <v>0</v>
      </c>
      <c r="AP97" s="88">
        <v>271962.65999999997</v>
      </c>
      <c r="AQ97" s="56"/>
      <c r="AR97" s="56">
        <v>0</v>
      </c>
      <c r="AS97" s="56"/>
      <c r="AT97" s="56">
        <v>0</v>
      </c>
      <c r="AU97" s="56"/>
      <c r="AV97" s="56">
        <f t="shared" si="25"/>
        <v>271962.65999999997</v>
      </c>
      <c r="AW97" s="56"/>
      <c r="AX97" s="56">
        <v>0</v>
      </c>
      <c r="AY97" s="56"/>
      <c r="AZ97" s="88">
        <v>300000</v>
      </c>
      <c r="BA97" s="56">
        <v>300000</v>
      </c>
      <c r="BB97" s="214"/>
      <c r="BC97" s="56"/>
      <c r="BD97" s="84">
        <f t="shared" si="26"/>
        <v>35013.659999999974</v>
      </c>
      <c r="BE97" s="56"/>
      <c r="BF97" s="56"/>
      <c r="BG97" s="56"/>
      <c r="BH97" s="72"/>
    </row>
    <row r="98" spans="1:60" ht="20.100000000000001" customHeight="1" outlineLevel="1">
      <c r="A98" s="77" t="s">
        <v>43</v>
      </c>
      <c r="B98" s="77" t="s">
        <v>816</v>
      </c>
      <c r="C98" s="77" t="s">
        <v>1109</v>
      </c>
      <c r="D98" s="78" t="s">
        <v>46</v>
      </c>
      <c r="E98" s="78" t="str">
        <f t="shared" si="22"/>
        <v>000</v>
      </c>
      <c r="F98" s="170">
        <v>673221</v>
      </c>
      <c r="G98" s="102" t="s">
        <v>829</v>
      </c>
      <c r="H98" s="87"/>
      <c r="I98" s="13">
        <v>176018</v>
      </c>
      <c r="J98" s="13">
        <v>239367</v>
      </c>
      <c r="L98" s="56">
        <v>80614</v>
      </c>
      <c r="M98" s="56"/>
      <c r="N98" s="56">
        <v>250000</v>
      </c>
      <c r="O98" s="56"/>
      <c r="P98" s="56">
        <v>440062</v>
      </c>
      <c r="Q98" s="56"/>
      <c r="R98" s="56">
        <v>440062</v>
      </c>
      <c r="S98" s="56"/>
      <c r="T98" s="56">
        <v>0</v>
      </c>
      <c r="U98" s="56"/>
      <c r="V98" s="56">
        <v>440062</v>
      </c>
      <c r="W98" s="56"/>
      <c r="X98" s="56">
        <v>542822</v>
      </c>
      <c r="Y98" s="56"/>
      <c r="Z98" s="56">
        <v>750000</v>
      </c>
      <c r="AA98" s="56"/>
      <c r="AB98" s="56">
        <v>0</v>
      </c>
      <c r="AC98" s="56"/>
      <c r="AD98" s="56">
        <v>0</v>
      </c>
      <c r="AE98" s="56"/>
      <c r="AF98" s="56">
        <f t="shared" si="23"/>
        <v>750000</v>
      </c>
      <c r="AG98" s="56">
        <v>0</v>
      </c>
      <c r="AH98" s="56">
        <v>0</v>
      </c>
      <c r="AI98" s="56"/>
      <c r="AJ98" s="56">
        <f t="shared" si="24"/>
        <v>750000</v>
      </c>
      <c r="AK98" s="85"/>
      <c r="AL98" s="56">
        <v>0</v>
      </c>
      <c r="AM98" s="56"/>
      <c r="AN98" s="88">
        <v>564942</v>
      </c>
      <c r="AO98" s="88">
        <v>0</v>
      </c>
      <c r="AP98" s="88">
        <v>734380</v>
      </c>
      <c r="AQ98" s="56"/>
      <c r="AR98" s="56">
        <v>0</v>
      </c>
      <c r="AS98" s="56"/>
      <c r="AT98" s="56">
        <v>0</v>
      </c>
      <c r="AU98" s="56"/>
      <c r="AV98" s="56">
        <f t="shared" si="25"/>
        <v>734380</v>
      </c>
      <c r="AW98" s="56"/>
      <c r="AX98" s="56">
        <v>0</v>
      </c>
      <c r="AY98" s="56"/>
      <c r="AZ98" s="88">
        <v>0</v>
      </c>
      <c r="BA98" s="56">
        <v>0</v>
      </c>
      <c r="BB98" s="214"/>
      <c r="BC98" s="56"/>
      <c r="BD98" s="84">
        <f t="shared" si="26"/>
        <v>169438</v>
      </c>
      <c r="BE98" s="56"/>
      <c r="BF98" s="56"/>
      <c r="BG98" s="56"/>
      <c r="BH98" s="72"/>
    </row>
    <row r="99" spans="1:60" ht="20.100000000000001" customHeight="1" outlineLevel="1">
      <c r="A99" s="77" t="s">
        <v>43</v>
      </c>
      <c r="B99" s="77" t="s">
        <v>533</v>
      </c>
      <c r="C99" s="77" t="s">
        <v>1109</v>
      </c>
      <c r="D99" s="78" t="s">
        <v>46</v>
      </c>
      <c r="E99" s="78" t="str">
        <f t="shared" si="22"/>
        <v>000</v>
      </c>
      <c r="F99" s="3">
        <v>633521</v>
      </c>
      <c r="G99" s="102" t="s">
        <v>721</v>
      </c>
      <c r="H99" s="87"/>
      <c r="I99" s="13">
        <v>0</v>
      </c>
      <c r="J99" s="13">
        <v>0</v>
      </c>
      <c r="L99" s="56">
        <v>985</v>
      </c>
      <c r="M99" s="56"/>
      <c r="N99" s="56">
        <v>0</v>
      </c>
      <c r="O99" s="56"/>
      <c r="P99" s="56">
        <v>0</v>
      </c>
      <c r="Q99" s="56"/>
      <c r="R99" s="56">
        <v>0</v>
      </c>
      <c r="S99" s="56"/>
      <c r="T99" s="56">
        <v>0</v>
      </c>
      <c r="U99" s="56"/>
      <c r="V99" s="56">
        <v>0</v>
      </c>
      <c r="W99" s="56"/>
      <c r="X99" s="56">
        <f>42+2090</f>
        <v>2132</v>
      </c>
      <c r="Y99" s="56"/>
      <c r="Z99" s="56">
        <v>3000</v>
      </c>
      <c r="AA99" s="56"/>
      <c r="AB99" s="56">
        <v>0</v>
      </c>
      <c r="AC99" s="56"/>
      <c r="AD99" s="56">
        <v>0</v>
      </c>
      <c r="AE99" s="56"/>
      <c r="AF99" s="56">
        <f t="shared" si="23"/>
        <v>3000</v>
      </c>
      <c r="AG99" s="56">
        <v>0</v>
      </c>
      <c r="AH99" s="56">
        <v>0</v>
      </c>
      <c r="AI99" s="56"/>
      <c r="AJ99" s="56">
        <f t="shared" si="24"/>
        <v>3000</v>
      </c>
      <c r="AK99" s="85"/>
      <c r="AL99" s="56">
        <v>0</v>
      </c>
      <c r="AM99" s="56"/>
      <c r="AN99" s="88">
        <v>2051</v>
      </c>
      <c r="AO99" s="88">
        <v>0</v>
      </c>
      <c r="AP99" s="88">
        <v>1562.05</v>
      </c>
      <c r="AQ99" s="56"/>
      <c r="AR99" s="56">
        <v>0</v>
      </c>
      <c r="AS99" s="56"/>
      <c r="AT99" s="56">
        <v>0</v>
      </c>
      <c r="AU99" s="56"/>
      <c r="AV99" s="56">
        <f t="shared" si="25"/>
        <v>1562.05</v>
      </c>
      <c r="AW99" s="56"/>
      <c r="AX99" s="56">
        <v>0</v>
      </c>
      <c r="AY99" s="56"/>
      <c r="AZ99" s="88">
        <v>3000</v>
      </c>
      <c r="BA99" s="56">
        <v>3000</v>
      </c>
      <c r="BB99" s="214"/>
      <c r="BC99" s="56"/>
      <c r="BD99" s="84">
        <f t="shared" si="26"/>
        <v>-488.95000000000005</v>
      </c>
      <c r="BE99" s="56"/>
      <c r="BF99" s="56"/>
      <c r="BG99" s="56"/>
      <c r="BH99" s="72"/>
    </row>
    <row r="100" spans="1:60" ht="20.100000000000001" customHeight="1" outlineLevel="1">
      <c r="A100" s="77" t="s">
        <v>43</v>
      </c>
      <c r="B100" s="77" t="s">
        <v>533</v>
      </c>
      <c r="C100" s="77" t="s">
        <v>1109</v>
      </c>
      <c r="D100" s="78" t="s">
        <v>46</v>
      </c>
      <c r="E100" s="78" t="str">
        <f t="shared" si="22"/>
        <v>000</v>
      </c>
      <c r="F100" s="3">
        <v>633525</v>
      </c>
      <c r="G100" s="102" t="s">
        <v>723</v>
      </c>
      <c r="H100" s="87"/>
      <c r="I100" s="13">
        <v>17419</v>
      </c>
      <c r="J100" s="13">
        <v>13351</v>
      </c>
      <c r="L100" s="56">
        <v>15332</v>
      </c>
      <c r="M100" s="56"/>
      <c r="N100" s="56">
        <v>20000</v>
      </c>
      <c r="O100" s="56"/>
      <c r="P100" s="56">
        <v>20000</v>
      </c>
      <c r="Q100" s="56"/>
      <c r="R100" s="56">
        <v>20000</v>
      </c>
      <c r="S100" s="56"/>
      <c r="T100" s="56">
        <v>0</v>
      </c>
      <c r="U100" s="56"/>
      <c r="V100" s="56">
        <v>20000</v>
      </c>
      <c r="W100" s="56"/>
      <c r="X100" s="56">
        <v>19137</v>
      </c>
      <c r="Y100" s="56"/>
      <c r="Z100" s="56">
        <v>20000</v>
      </c>
      <c r="AA100" s="56"/>
      <c r="AB100" s="56">
        <v>0</v>
      </c>
      <c r="AC100" s="56"/>
      <c r="AD100" s="56">
        <v>0</v>
      </c>
      <c r="AE100" s="56"/>
      <c r="AF100" s="56">
        <f t="shared" si="23"/>
        <v>20000</v>
      </c>
      <c r="AG100" s="56">
        <v>0</v>
      </c>
      <c r="AH100" s="56">
        <v>0</v>
      </c>
      <c r="AI100" s="56"/>
      <c r="AJ100" s="56">
        <f t="shared" si="24"/>
        <v>20000</v>
      </c>
      <c r="AK100" s="85"/>
      <c r="AL100" s="56">
        <v>0</v>
      </c>
      <c r="AM100" s="56"/>
      <c r="AN100" s="88">
        <v>18850</v>
      </c>
      <c r="AO100" s="88">
        <v>0</v>
      </c>
      <c r="AP100" s="88">
        <v>18493</v>
      </c>
      <c r="AQ100" s="56"/>
      <c r="AR100" s="56">
        <v>0</v>
      </c>
      <c r="AS100" s="56"/>
      <c r="AT100" s="56">
        <v>0</v>
      </c>
      <c r="AU100" s="56"/>
      <c r="AV100" s="56">
        <f t="shared" si="25"/>
        <v>18493</v>
      </c>
      <c r="AW100" s="56"/>
      <c r="AX100" s="56">
        <v>0</v>
      </c>
      <c r="AY100" s="56"/>
      <c r="AZ100" s="88">
        <v>20000</v>
      </c>
      <c r="BA100" s="56">
        <v>20000</v>
      </c>
      <c r="BB100" s="214"/>
      <c r="BC100" s="56"/>
      <c r="BD100" s="84">
        <f t="shared" si="26"/>
        <v>-357</v>
      </c>
      <c r="BE100" s="56"/>
      <c r="BF100" s="56"/>
      <c r="BG100" s="56"/>
      <c r="BH100" s="72"/>
    </row>
    <row r="101" spans="1:60" ht="20.100000000000001" customHeight="1" outlineLevel="1">
      <c r="A101" s="77" t="s">
        <v>43</v>
      </c>
      <c r="B101" s="77" t="s">
        <v>176</v>
      </c>
      <c r="C101" s="77" t="s">
        <v>1109</v>
      </c>
      <c r="D101" s="78" t="s">
        <v>46</v>
      </c>
      <c r="E101" s="78" t="str">
        <f t="shared" si="22"/>
        <v>000</v>
      </c>
      <c r="F101" s="3">
        <v>683012</v>
      </c>
      <c r="G101" s="102" t="s">
        <v>830</v>
      </c>
      <c r="H101" s="87"/>
      <c r="I101" s="13">
        <v>53375</v>
      </c>
      <c r="J101" s="13">
        <v>79748</v>
      </c>
      <c r="L101" s="56">
        <v>82877</v>
      </c>
      <c r="M101" s="56"/>
      <c r="N101" s="56">
        <v>120000</v>
      </c>
      <c r="O101" s="56"/>
      <c r="P101" s="56">
        <v>120000</v>
      </c>
      <c r="Q101" s="56"/>
      <c r="R101" s="56">
        <v>120000</v>
      </c>
      <c r="S101" s="56"/>
      <c r="T101" s="56">
        <v>0</v>
      </c>
      <c r="U101" s="56"/>
      <c r="V101" s="56">
        <v>120000</v>
      </c>
      <c r="W101" s="56"/>
      <c r="X101" s="56">
        <v>94278.92</v>
      </c>
      <c r="Y101" s="56"/>
      <c r="Z101" s="56">
        <v>78000</v>
      </c>
      <c r="AA101" s="56"/>
      <c r="AB101" s="56">
        <v>0</v>
      </c>
      <c r="AC101" s="56"/>
      <c r="AD101" s="56">
        <v>0</v>
      </c>
      <c r="AE101" s="56"/>
      <c r="AF101" s="56">
        <f t="shared" si="23"/>
        <v>78000</v>
      </c>
      <c r="AG101" s="56">
        <v>0</v>
      </c>
      <c r="AH101" s="56">
        <v>0</v>
      </c>
      <c r="AI101" s="56"/>
      <c r="AJ101" s="56">
        <f t="shared" si="24"/>
        <v>78000</v>
      </c>
      <c r="AK101" s="85"/>
      <c r="AL101" s="56">
        <v>0</v>
      </c>
      <c r="AM101" s="56"/>
      <c r="AN101" s="88">
        <v>61451</v>
      </c>
      <c r="AO101" s="88">
        <v>0</v>
      </c>
      <c r="AP101" s="88">
        <v>35542.660000000003</v>
      </c>
      <c r="AQ101" s="56"/>
      <c r="AR101" s="56">
        <v>0</v>
      </c>
      <c r="AS101" s="56"/>
      <c r="AT101" s="56">
        <v>0</v>
      </c>
      <c r="AU101" s="56"/>
      <c r="AV101" s="56">
        <f t="shared" si="25"/>
        <v>35542.660000000003</v>
      </c>
      <c r="AW101" s="56"/>
      <c r="AX101" s="56">
        <v>0</v>
      </c>
      <c r="AY101" s="56"/>
      <c r="AZ101" s="88">
        <v>95000</v>
      </c>
      <c r="BA101" s="56">
        <v>95000</v>
      </c>
      <c r="BB101" s="214"/>
      <c r="BC101" s="56"/>
      <c r="BD101" s="84">
        <f t="shared" si="26"/>
        <v>-25908.339999999997</v>
      </c>
      <c r="BE101" s="56"/>
      <c r="BF101" s="56"/>
      <c r="BG101" s="56"/>
      <c r="BH101" s="72"/>
    </row>
    <row r="102" spans="1:60" ht="20.100000000000001" customHeight="1" outlineLevel="1">
      <c r="A102" s="77" t="s">
        <v>43</v>
      </c>
      <c r="B102" s="77" t="s">
        <v>176</v>
      </c>
      <c r="C102" s="77" t="s">
        <v>1109</v>
      </c>
      <c r="D102" s="78" t="s">
        <v>46</v>
      </c>
      <c r="E102" s="78" t="str">
        <f t="shared" si="22"/>
        <v>000</v>
      </c>
      <c r="F102" s="3">
        <v>691012</v>
      </c>
      <c r="G102" s="102" t="s">
        <v>831</v>
      </c>
      <c r="H102" s="87"/>
      <c r="I102" s="13">
        <v>1048044</v>
      </c>
      <c r="J102" s="13">
        <v>1235407</v>
      </c>
      <c r="L102" s="56">
        <v>1168210</v>
      </c>
      <c r="M102" s="56"/>
      <c r="N102" s="56">
        <v>1353391</v>
      </c>
      <c r="O102" s="56"/>
      <c r="P102" s="56">
        <v>1353391</v>
      </c>
      <c r="Q102" s="56"/>
      <c r="R102" s="56">
        <v>1353391</v>
      </c>
      <c r="S102" s="56"/>
      <c r="T102" s="56">
        <v>0</v>
      </c>
      <c r="U102" s="56"/>
      <c r="V102" s="56">
        <v>1353391</v>
      </c>
      <c r="W102" s="56"/>
      <c r="X102" s="56">
        <v>1342749</v>
      </c>
      <c r="Y102" s="56"/>
      <c r="Z102" s="56">
        <v>1434000</v>
      </c>
      <c r="AA102" s="56"/>
      <c r="AB102" s="56">
        <v>0</v>
      </c>
      <c r="AC102" s="56"/>
      <c r="AD102" s="56">
        <v>0</v>
      </c>
      <c r="AE102" s="56"/>
      <c r="AF102" s="56">
        <f t="shared" si="23"/>
        <v>1434000</v>
      </c>
      <c r="AG102" s="56">
        <v>0</v>
      </c>
      <c r="AH102" s="56">
        <v>0</v>
      </c>
      <c r="AI102" s="56"/>
      <c r="AJ102" s="56">
        <f t="shared" si="24"/>
        <v>1434000</v>
      </c>
      <c r="AK102" s="85"/>
      <c r="AL102" s="56">
        <v>0</v>
      </c>
      <c r="AM102" s="56"/>
      <c r="AN102" s="88">
        <v>1506701</v>
      </c>
      <c r="AO102" s="88">
        <v>0</v>
      </c>
      <c r="AP102" s="88">
        <v>1864389.3</v>
      </c>
      <c r="AQ102" s="56"/>
      <c r="AR102" s="56">
        <v>0</v>
      </c>
      <c r="AS102" s="56"/>
      <c r="AT102" s="56">
        <v>0</v>
      </c>
      <c r="AU102" s="56"/>
      <c r="AV102" s="56">
        <f t="shared" si="25"/>
        <v>1864389.3</v>
      </c>
      <c r="AW102" s="56"/>
      <c r="AX102" s="56">
        <v>0</v>
      </c>
      <c r="AY102" s="56"/>
      <c r="AZ102" s="88">
        <v>1950000</v>
      </c>
      <c r="BA102" s="56">
        <v>1950000</v>
      </c>
      <c r="BB102" s="214"/>
      <c r="BC102" s="56"/>
      <c r="BD102" s="84">
        <f t="shared" si="26"/>
        <v>357688.30000000005</v>
      </c>
      <c r="BE102" s="56"/>
      <c r="BF102" s="56"/>
      <c r="BG102" s="56"/>
      <c r="BH102" s="72"/>
    </row>
    <row r="103" spans="1:60" ht="20.100000000000001" customHeight="1">
      <c r="B103" s="77"/>
      <c r="C103" s="77"/>
      <c r="D103" s="90"/>
      <c r="E103" s="90"/>
      <c r="F103" s="3"/>
      <c r="G103" s="110" t="s">
        <v>832</v>
      </c>
      <c r="H103" s="87"/>
      <c r="I103" s="111">
        <v>9589820</v>
      </c>
      <c r="J103" s="111">
        <v>9344741</v>
      </c>
      <c r="L103" s="171">
        <v>12151804</v>
      </c>
      <c r="M103" s="172"/>
      <c r="N103" s="111">
        <v>11242146</v>
      </c>
      <c r="O103" s="172"/>
      <c r="P103" s="111">
        <v>11505449</v>
      </c>
      <c r="Q103" s="172"/>
      <c r="R103" s="111">
        <v>12572984</v>
      </c>
      <c r="S103" s="95"/>
      <c r="T103" s="94">
        <v>0</v>
      </c>
      <c r="U103" s="172"/>
      <c r="V103" s="111">
        <v>12572984</v>
      </c>
      <c r="W103" s="172"/>
      <c r="X103" s="171">
        <f>SUBTOTAL(9,X11:X102)</f>
        <v>13064666.760000002</v>
      </c>
      <c r="Y103" s="172"/>
      <c r="Z103" s="111">
        <f>SUBTOTAL(9,Z11:Z102)</f>
        <v>14010973</v>
      </c>
      <c r="AA103" s="172"/>
      <c r="AB103" s="111">
        <f>SUBTOTAL(9,AB11:AB102)</f>
        <v>0</v>
      </c>
      <c r="AC103" s="172"/>
      <c r="AD103" s="111">
        <f>SUBTOTAL(9,AD11:AD102)</f>
        <v>12141</v>
      </c>
      <c r="AE103" s="172"/>
      <c r="AF103" s="111">
        <f>SUBTOTAL(9,AF11:AF102)</f>
        <v>14023114</v>
      </c>
      <c r="AG103" s="111">
        <f>SUBTOTAL(9,AG11:AG102)</f>
        <v>-158835</v>
      </c>
      <c r="AH103" s="111">
        <f>SUBTOTAL(9,AH11:AH102)</f>
        <v>857250</v>
      </c>
      <c r="AI103" s="172"/>
      <c r="AJ103" s="111">
        <f>SUBTOTAL(9,AJ11:AJ102)</f>
        <v>14721529</v>
      </c>
      <c r="AK103" s="115"/>
      <c r="AL103" s="111">
        <f>SUBTOTAL(9,AL11:AL102)</f>
        <v>50000</v>
      </c>
      <c r="AM103" s="172"/>
      <c r="AN103" s="173">
        <f>SUBTOTAL(9,AN11:AN102)</f>
        <v>13830717</v>
      </c>
      <c r="AO103" s="173">
        <f>SUBTOTAL(9,AO11:AO102)</f>
        <v>0</v>
      </c>
      <c r="AP103" s="173">
        <f>SUBTOTAL(9,AP11:AP102)</f>
        <v>13317064.580000004</v>
      </c>
      <c r="AQ103" s="172"/>
      <c r="AR103" s="111">
        <f>SUBTOTAL(9,AR11:AR102)</f>
        <v>0</v>
      </c>
      <c r="AS103" s="172"/>
      <c r="AT103" s="111">
        <f>SUBTOTAL(9,AT11:AT102)</f>
        <v>2970.63</v>
      </c>
      <c r="AU103" s="172"/>
      <c r="AV103" s="111">
        <f>SUBTOTAL(9,AV11:AV102)</f>
        <v>13238052.850000003</v>
      </c>
      <c r="AW103" s="172"/>
      <c r="AX103" s="111">
        <f>SUBTOTAL(9,AX11:AX102)</f>
        <v>410853</v>
      </c>
      <c r="AY103" s="172"/>
      <c r="AZ103" s="173">
        <f>SUBTOTAL(9,AZ11:AZ102)</f>
        <v>11796800</v>
      </c>
      <c r="BA103" s="111">
        <f>SUBTOTAL(9,BA11:BA102)</f>
        <v>11925991</v>
      </c>
      <c r="BB103" s="214"/>
      <c r="BC103" s="56"/>
      <c r="BD103" s="98">
        <f t="shared" si="26"/>
        <v>-513652.4199999962</v>
      </c>
      <c r="BE103" s="172"/>
      <c r="BF103" s="172"/>
      <c r="BG103" s="172"/>
      <c r="BH103" s="174"/>
    </row>
  </sheetData>
  <autoFilter ref="A9:BH103"/>
  <mergeCells count="8">
    <mergeCell ref="A8:E8"/>
    <mergeCell ref="AG2:AH2"/>
    <mergeCell ref="AG3:AH3"/>
    <mergeCell ref="AG4:AH4"/>
    <mergeCell ref="AB4:AD4"/>
    <mergeCell ref="A6:F6"/>
    <mergeCell ref="A7:F7"/>
    <mergeCell ref="AB5:AD5"/>
  </mergeCells>
  <phoneticPr fontId="3" type="noConversion"/>
  <conditionalFormatting sqref="F1:F1048576">
    <cfRule type="cellIs" dxfId="7" priority="1" stopIfTrue="1" operator="between">
      <formula>610000</formula>
      <formula>619999</formula>
    </cfRule>
  </conditionalFormatting>
  <pageMargins left="0.54" right="0.25" top="0.24" bottom="0.49" header="0.25" footer="0"/>
  <pageSetup scale="77" fitToHeight="0" orientation="landscape" r:id="rId1"/>
  <headerFooter alignWithMargins="0">
    <oddFooter>&amp;C&amp;8Detail of Expenditures Budget By Department, Page &amp;P of &amp;N</oddFooter>
  </headerFooter>
  <legacyDrawing r:id="rId2"/>
</worksheet>
</file>

<file path=xl/worksheets/sheet31.xml><?xml version="1.0" encoding="utf-8"?>
<worksheet xmlns="http://schemas.openxmlformats.org/spreadsheetml/2006/main" xmlns:r="http://schemas.openxmlformats.org/officeDocument/2006/relationships">
  <sheetPr codeName="Sheet4" enableFormatConditionsCalculation="0">
    <tabColor indexed="17"/>
    <pageSetUpPr fitToPage="1"/>
  </sheetPr>
  <dimension ref="A1:BK111"/>
  <sheetViews>
    <sheetView zoomScale="87" zoomScaleNormal="90" workbookViewId="0">
      <pane xSplit="8" ySplit="9" topLeftCell="O10" activePane="bottomRight" state="frozen"/>
      <selection activeCell="A28" sqref="A28"/>
      <selection pane="topRight" activeCell="A28" sqref="A28"/>
      <selection pane="bottomLeft" activeCell="A28" sqref="A28"/>
      <selection pane="bottomRight"/>
    </sheetView>
  </sheetViews>
  <sheetFormatPr defaultRowHeight="12.75" outlineLevelRow="1" outlineLevelCol="1"/>
  <cols>
    <col min="1" max="1" width="7" style="39" customWidth="1" outlineLevel="1"/>
    <col min="2" max="2" width="6.140625" style="39" customWidth="1" outlineLevel="1"/>
    <col min="3" max="3" width="3.7109375" style="39" customWidth="1" outlineLevel="1"/>
    <col min="4" max="5" width="4.85546875" style="168" customWidth="1" outlineLevel="1"/>
    <col min="6" max="6" width="8.85546875" style="40" bestFit="1" customWidth="1" outlineLevel="1"/>
    <col min="7" max="7" width="28.5703125" style="4" customWidth="1"/>
    <col min="8" max="8" width="16.5703125" style="4" hidden="1" customWidth="1"/>
    <col min="9" max="10" width="15.140625" style="4" hidden="1" customWidth="1" collapsed="1"/>
    <col min="11" max="11" width="39.5703125" style="4" hidden="1" customWidth="1"/>
    <col min="12" max="12" width="15.140625" style="7" bestFit="1" customWidth="1" collapsed="1"/>
    <col min="13" max="13" width="31.7109375" style="7" hidden="1" customWidth="1"/>
    <col min="14" max="14" width="35.5703125" style="7" hidden="1" customWidth="1" collapsed="1"/>
    <col min="15" max="15" width="0.140625" style="7" customWidth="1"/>
    <col min="16" max="16" width="25.28515625" style="7" hidden="1" customWidth="1" outlineLevel="1" collapsed="1"/>
    <col min="17" max="17" width="23.42578125" style="7" hidden="1" customWidth="1" outlineLevel="1"/>
    <col min="18" max="18" width="20.5703125" style="7" hidden="1" customWidth="1" outlineLevel="1" collapsed="1"/>
    <col min="19" max="19" width="18" style="7" hidden="1" customWidth="1" outlineLevel="1"/>
    <col min="20" max="20" width="19.5703125" style="7" hidden="1" customWidth="1" outlineLevel="1"/>
    <col min="21" max="21" width="18.42578125" style="7" hidden="1" customWidth="1" outlineLevel="1"/>
    <col min="22" max="22" width="13.140625" style="7" hidden="1" customWidth="1"/>
    <col min="23" max="23" width="14.140625" style="7" hidden="1" customWidth="1"/>
    <col min="24" max="24" width="14.5703125" style="7" customWidth="1" collapsed="1"/>
    <col min="25" max="25" width="0.85546875" style="7" hidden="1" customWidth="1"/>
    <col min="26" max="26" width="16.140625" style="7" hidden="1" customWidth="1"/>
    <col min="27" max="27" width="0.140625" style="7" hidden="1" customWidth="1"/>
    <col min="28" max="28" width="16.140625" style="7" hidden="1" customWidth="1" outlineLevel="1"/>
    <col min="29" max="29" width="0.42578125" style="7" hidden="1" customWidth="1" outlineLevel="1"/>
    <col min="30" max="30" width="17.85546875" style="7" hidden="1" customWidth="1" outlineLevel="1"/>
    <col min="31" max="31" width="0.42578125" style="7" hidden="1" customWidth="1" outlineLevel="1"/>
    <col min="32" max="32" width="16.140625" style="7" hidden="1" customWidth="1" collapsed="1"/>
    <col min="33" max="33" width="16" style="7" hidden="1" customWidth="1" outlineLevel="1"/>
    <col min="34" max="34" width="17" style="7" hidden="1" customWidth="1" outlineLevel="1"/>
    <col min="35" max="35" width="10.5703125" style="7" hidden="1" customWidth="1" outlineLevel="1"/>
    <col min="36" max="36" width="16.140625" style="7" hidden="1" customWidth="1" collapsed="1"/>
    <col min="37" max="37" width="0.7109375" style="7" hidden="1" customWidth="1"/>
    <col min="38" max="38" width="16.140625" style="7" hidden="1" customWidth="1" outlineLevel="1"/>
    <col min="39" max="39" width="4.140625" style="7" hidden="1" customWidth="1" outlineLevel="1"/>
    <col min="40" max="40" width="16.140625" style="17" customWidth="1" collapsed="1"/>
    <col min="41" max="41" width="16.140625" style="17" hidden="1" customWidth="1" collapsed="1"/>
    <col min="42" max="42" width="16.140625" style="17" customWidth="1" collapsed="1"/>
    <col min="43" max="43" width="0.7109375" style="7" hidden="1" customWidth="1" outlineLevel="1"/>
    <col min="44" max="44" width="22.140625" style="7" hidden="1" customWidth="1" outlineLevel="1"/>
    <col min="45" max="45" width="0.42578125" style="7" hidden="1" customWidth="1" outlineLevel="1"/>
    <col min="46" max="46" width="17.85546875" style="7" hidden="1" customWidth="1" outlineLevel="1"/>
    <col min="47" max="47" width="0.42578125" style="7" hidden="1" customWidth="1" outlineLevel="1"/>
    <col min="48" max="48" width="18" style="7" hidden="1" customWidth="1" collapsed="1"/>
    <col min="49" max="49" width="0.5703125" style="7" hidden="1" customWidth="1"/>
    <col min="50" max="50" width="18" style="7" hidden="1" customWidth="1"/>
    <col min="51" max="51" width="0.5703125" style="7" customWidth="1"/>
    <col min="52" max="52" width="15.7109375" style="7" bestFit="1" customWidth="1"/>
    <col min="53" max="54" width="15.140625" style="7" customWidth="1"/>
    <col min="55" max="55" width="23.140625" style="7" customWidth="1"/>
    <col min="56" max="56" width="19.85546875" style="7" bestFit="1" customWidth="1"/>
    <col min="57" max="59" width="12.42578125" style="7" customWidth="1"/>
    <col min="60" max="60" width="3.85546875" style="76" customWidth="1"/>
    <col min="61" max="61" width="14.5703125" style="12" bestFit="1" customWidth="1"/>
  </cols>
  <sheetData>
    <row r="1" spans="1:61" ht="15">
      <c r="A1" s="1" t="s">
        <v>0</v>
      </c>
      <c r="B1" s="2"/>
      <c r="C1" s="2"/>
      <c r="D1" s="1"/>
      <c r="E1" s="1"/>
      <c r="F1" s="3"/>
      <c r="H1" s="5"/>
      <c r="I1" s="6"/>
      <c r="T1" s="8"/>
      <c r="Z1" s="9"/>
      <c r="AB1" s="9"/>
      <c r="AD1" s="9"/>
      <c r="AF1" s="9"/>
      <c r="AH1" s="10" t="e">
        <f>+#REF!</f>
        <v>#REF!</v>
      </c>
      <c r="AJ1" s="9"/>
      <c r="AK1" s="9"/>
      <c r="AN1" s="9"/>
      <c r="AO1" s="9"/>
      <c r="AP1" s="9"/>
      <c r="AR1" s="9"/>
      <c r="AT1" s="9"/>
      <c r="AV1" s="9"/>
      <c r="AW1" s="9"/>
      <c r="AX1" s="9"/>
      <c r="AY1" s="9"/>
      <c r="AZ1" s="9"/>
      <c r="BA1" s="9"/>
      <c r="BB1" s="9"/>
      <c r="BC1" s="9"/>
      <c r="BD1" s="9"/>
      <c r="BE1" s="9"/>
      <c r="BF1" s="9"/>
      <c r="BG1" s="9"/>
      <c r="BH1" s="11"/>
    </row>
    <row r="2" spans="1:61" ht="15">
      <c r="A2" s="1" t="s">
        <v>1053</v>
      </c>
      <c r="B2" s="2"/>
      <c r="C2" s="2"/>
      <c r="D2" s="1"/>
      <c r="E2" s="1"/>
      <c r="F2" s="3"/>
      <c r="H2" s="5"/>
      <c r="I2" s="13"/>
      <c r="J2" s="14"/>
      <c r="K2" s="14"/>
      <c r="L2" s="15"/>
      <c r="M2" s="15"/>
      <c r="N2" s="15"/>
      <c r="O2" s="15"/>
      <c r="P2" s="15"/>
      <c r="R2" s="15"/>
      <c r="T2" s="8"/>
      <c r="V2" s="15"/>
      <c r="X2" s="15"/>
      <c r="Z2" s="15"/>
      <c r="AB2" s="15"/>
      <c r="AD2" s="15"/>
      <c r="AF2" s="15"/>
      <c r="AG2" s="238" t="s">
        <v>1</v>
      </c>
      <c r="AH2" s="238"/>
      <c r="AI2" s="17"/>
      <c r="AJ2" s="18"/>
      <c r="AK2" s="15"/>
      <c r="AL2" s="10" t="e">
        <f>+#REF!</f>
        <v>#REF!</v>
      </c>
      <c r="AN2" s="18"/>
      <c r="AO2" s="18"/>
      <c r="AP2" s="18"/>
      <c r="AR2" s="15"/>
      <c r="AT2" s="15"/>
      <c r="AV2" s="15"/>
      <c r="AW2" s="15"/>
      <c r="AX2" s="15"/>
      <c r="AY2" s="15"/>
      <c r="AZ2" s="15"/>
      <c r="BA2" s="15"/>
      <c r="BB2" s="15"/>
      <c r="BC2" s="15"/>
      <c r="BD2" s="15"/>
      <c r="BE2" s="15"/>
      <c r="BF2" s="15"/>
      <c r="BG2" s="15"/>
      <c r="BH2" s="19"/>
    </row>
    <row r="3" spans="1:61">
      <c r="A3" s="20" t="str">
        <f>IF(G7=1,"DETAIL OF EXPENDITURES BUDGET BY DEPARTMENT WITH COMPARATIVE AMOUNTS", "SUMMARY OF EXPENDITURES BUDGET BY DEPARTMENT WITH COMPARATIVE AMOUNTS")</f>
        <v>DETAIL OF EXPENDITURES BUDGET BY DEPARTMENT WITH COMPARATIVE AMOUNTS</v>
      </c>
      <c r="B3" s="21"/>
      <c r="C3" s="21"/>
      <c r="D3" s="22"/>
      <c r="E3" s="22"/>
      <c r="F3" s="3"/>
      <c r="H3" s="5"/>
      <c r="I3" s="23"/>
      <c r="J3" s="15"/>
      <c r="L3" s="15"/>
      <c r="M3" s="10"/>
      <c r="N3" s="10"/>
      <c r="O3" s="10"/>
      <c r="P3" s="24"/>
      <c r="R3" s="24"/>
      <c r="V3" s="24"/>
      <c r="W3" s="24"/>
      <c r="X3" s="15"/>
      <c r="Y3" s="24"/>
      <c r="AA3" s="24"/>
      <c r="AB3" s="24" t="e">
        <f>+#REF!</f>
        <v>#REF!</v>
      </c>
      <c r="AC3" s="24"/>
      <c r="AD3" s="24" t="e">
        <f>+#REF!</f>
        <v>#REF!</v>
      </c>
      <c r="AE3" s="24"/>
      <c r="AF3" s="10" t="e">
        <f>+#REF!</f>
        <v>#REF!</v>
      </c>
      <c r="AG3" s="239" t="s">
        <v>2</v>
      </c>
      <c r="AH3" s="239"/>
      <c r="AI3" s="25"/>
      <c r="AJ3" s="25" t="e">
        <f>+#REF!</f>
        <v>#REF!</v>
      </c>
      <c r="AK3" s="24"/>
      <c r="AL3" s="16" t="s">
        <v>1</v>
      </c>
      <c r="AM3" s="25"/>
      <c r="AN3" s="25"/>
      <c r="AO3" s="25"/>
      <c r="AP3" s="25"/>
      <c r="AQ3" s="24"/>
      <c r="AR3" s="24" t="e">
        <f>+#REF!</f>
        <v>#REF!</v>
      </c>
      <c r="AS3" s="24"/>
      <c r="AT3" s="24" t="e">
        <f>+#REF!</f>
        <v>#REF!</v>
      </c>
      <c r="AU3" s="24"/>
      <c r="AV3" s="24" t="e">
        <f>+#REF!</f>
        <v>#REF!</v>
      </c>
      <c r="AW3" s="24"/>
      <c r="AX3" s="24" t="e">
        <f>+#REF!</f>
        <v>#REF!</v>
      </c>
      <c r="AY3" s="24"/>
      <c r="AZ3" s="24"/>
      <c r="BA3" s="24"/>
      <c r="BB3" s="24"/>
      <c r="BC3" s="24"/>
      <c r="BD3" s="26"/>
      <c r="BE3" s="26"/>
      <c r="BF3" s="26"/>
      <c r="BG3" s="26"/>
      <c r="BH3" s="27"/>
    </row>
    <row r="4" spans="1:61" ht="15">
      <c r="A4" s="28" t="s">
        <v>1070</v>
      </c>
      <c r="B4" s="29"/>
      <c r="C4" s="29"/>
      <c r="D4" s="28"/>
      <c r="E4" s="28"/>
      <c r="F4" s="3"/>
      <c r="H4" s="30"/>
      <c r="I4" s="31" t="e">
        <f>+#REF!</f>
        <v>#REF!</v>
      </c>
      <c r="J4" s="31" t="e">
        <f>+#REF!</f>
        <v>#REF!</v>
      </c>
      <c r="L4" s="31"/>
      <c r="M4" s="32"/>
      <c r="N4" s="33"/>
      <c r="O4" s="32"/>
      <c r="P4" s="33"/>
      <c r="R4" s="33"/>
      <c r="T4" s="33"/>
      <c r="X4" s="31"/>
      <c r="Z4" s="10"/>
      <c r="AB4" s="241"/>
      <c r="AC4" s="241"/>
      <c r="AD4" s="241"/>
      <c r="AE4" s="35"/>
      <c r="AF4" s="34"/>
      <c r="AG4" s="240"/>
      <c r="AH4" s="240"/>
      <c r="AI4" s="17"/>
      <c r="AJ4" s="16"/>
      <c r="AK4" s="24"/>
      <c r="AL4" s="16"/>
      <c r="AM4" s="17"/>
      <c r="AN4" s="31"/>
      <c r="AO4" s="31"/>
      <c r="AP4" s="31"/>
      <c r="AR4" s="34" t="s">
        <v>5</v>
      </c>
      <c r="AU4" s="35"/>
      <c r="AV4" s="34"/>
      <c r="AW4" s="34"/>
      <c r="AX4" s="34" t="s">
        <v>5</v>
      </c>
      <c r="AY4" s="34"/>
      <c r="AZ4" s="34"/>
      <c r="BA4" s="34"/>
      <c r="BB4" s="34"/>
      <c r="BC4" s="34"/>
      <c r="BD4" s="37"/>
      <c r="BE4" s="37"/>
      <c r="BF4" s="37"/>
      <c r="BG4" s="37"/>
      <c r="BH4" s="38"/>
    </row>
    <row r="5" spans="1:61" ht="15">
      <c r="B5" s="29"/>
      <c r="C5" s="29"/>
      <c r="D5" s="28"/>
      <c r="E5" s="28"/>
      <c r="G5" s="28"/>
      <c r="H5" s="5"/>
      <c r="I5" s="41" t="s">
        <v>6</v>
      </c>
      <c r="J5" s="42" t="s">
        <v>7</v>
      </c>
      <c r="L5" s="16" t="s">
        <v>8</v>
      </c>
      <c r="M5" s="16"/>
      <c r="N5" s="16" t="s">
        <v>9</v>
      </c>
      <c r="O5" s="16"/>
      <c r="P5" s="16" t="s">
        <v>9</v>
      </c>
      <c r="Q5" s="17"/>
      <c r="R5" s="43"/>
      <c r="S5" s="17"/>
      <c r="T5" s="16"/>
      <c r="U5" s="17"/>
      <c r="V5" s="16" t="s">
        <v>9</v>
      </c>
      <c r="X5" s="16" t="s">
        <v>9</v>
      </c>
      <c r="Z5" s="34" t="s">
        <v>1</v>
      </c>
      <c r="AB5" s="243" t="s">
        <v>10</v>
      </c>
      <c r="AC5" s="243"/>
      <c r="AD5" s="243"/>
      <c r="AE5" s="35"/>
      <c r="AF5" s="34" t="s">
        <v>1</v>
      </c>
      <c r="AG5" s="17"/>
      <c r="AH5" s="16" t="s">
        <v>11</v>
      </c>
      <c r="AI5" s="17"/>
      <c r="AJ5" s="16" t="s">
        <v>1</v>
      </c>
      <c r="AK5" s="24"/>
      <c r="AL5" s="43" t="s">
        <v>12</v>
      </c>
      <c r="AM5" s="17"/>
      <c r="AN5" s="16" t="s">
        <v>1</v>
      </c>
      <c r="AO5" s="45" t="s">
        <v>1</v>
      </c>
      <c r="AP5" s="46" t="s">
        <v>5</v>
      </c>
      <c r="AQ5" s="47"/>
      <c r="AR5" s="48" t="s">
        <v>10</v>
      </c>
      <c r="AS5" s="47"/>
      <c r="AT5" s="47"/>
      <c r="AU5" s="47"/>
      <c r="AV5" s="46" t="s">
        <v>5</v>
      </c>
      <c r="AW5" s="34"/>
      <c r="AX5" s="49" t="s">
        <v>3</v>
      </c>
      <c r="AY5" s="34"/>
      <c r="AZ5" s="34" t="s">
        <v>1054</v>
      </c>
      <c r="BA5" s="34" t="s">
        <v>1054</v>
      </c>
      <c r="BB5" s="34" t="s">
        <v>1069</v>
      </c>
      <c r="BC5" s="34"/>
      <c r="BD5" s="50" t="s">
        <v>13</v>
      </c>
      <c r="BE5" s="37"/>
      <c r="BF5" s="37"/>
      <c r="BG5" s="37"/>
      <c r="BH5" s="51"/>
    </row>
    <row r="6" spans="1:61">
      <c r="A6" s="242"/>
      <c r="B6" s="242"/>
      <c r="C6" s="242"/>
      <c r="D6" s="242"/>
      <c r="E6" s="242"/>
      <c r="F6" s="242"/>
      <c r="G6" s="22"/>
      <c r="H6" s="5"/>
      <c r="I6" s="52" t="s">
        <v>14</v>
      </c>
      <c r="J6" s="52" t="s">
        <v>14</v>
      </c>
      <c r="L6" s="43" t="s">
        <v>14</v>
      </c>
      <c r="M6" s="43"/>
      <c r="N6" s="43" t="s">
        <v>15</v>
      </c>
      <c r="O6" s="43"/>
      <c r="P6" s="43" t="s">
        <v>4</v>
      </c>
      <c r="Q6" s="17"/>
      <c r="R6" s="43" t="s">
        <v>4</v>
      </c>
      <c r="S6" s="43"/>
      <c r="T6" s="43" t="s">
        <v>16</v>
      </c>
      <c r="U6" s="43"/>
      <c r="V6" s="43" t="s">
        <v>4</v>
      </c>
      <c r="W6" s="43"/>
      <c r="X6" s="43" t="s">
        <v>14</v>
      </c>
      <c r="Y6" s="43"/>
      <c r="Z6" s="34" t="s">
        <v>17</v>
      </c>
      <c r="AA6" s="43"/>
      <c r="AB6" s="53" t="s">
        <v>16</v>
      </c>
      <c r="AC6" s="53"/>
      <c r="AD6" s="34"/>
      <c r="AE6" s="53"/>
      <c r="AF6" s="34" t="s">
        <v>17</v>
      </c>
      <c r="AG6" s="43" t="s">
        <v>16</v>
      </c>
      <c r="AH6" s="16" t="s">
        <v>18</v>
      </c>
      <c r="AI6" s="43"/>
      <c r="AJ6" s="16" t="s">
        <v>19</v>
      </c>
      <c r="AK6" s="24"/>
      <c r="AL6" s="43" t="s">
        <v>16</v>
      </c>
      <c r="AM6" s="43"/>
      <c r="AN6" s="43" t="s">
        <v>14</v>
      </c>
      <c r="AO6" s="45" t="s">
        <v>20</v>
      </c>
      <c r="AP6" s="43" t="s">
        <v>14</v>
      </c>
      <c r="AQ6" s="54"/>
      <c r="AR6" s="54" t="s">
        <v>16</v>
      </c>
      <c r="AS6" s="54"/>
      <c r="AT6" s="46"/>
      <c r="AU6" s="54"/>
      <c r="AV6" s="46" t="s">
        <v>19</v>
      </c>
      <c r="AW6" s="34"/>
      <c r="AX6" s="55" t="s">
        <v>16</v>
      </c>
      <c r="AY6" s="34"/>
      <c r="AZ6" s="46" t="s">
        <v>17</v>
      </c>
      <c r="BA6" s="34" t="s">
        <v>17</v>
      </c>
      <c r="BB6" s="34" t="s">
        <v>19</v>
      </c>
      <c r="BC6" s="56"/>
      <c r="BD6" s="50" t="s">
        <v>21</v>
      </c>
      <c r="BE6" s="37"/>
      <c r="BF6" s="37"/>
      <c r="BG6" s="37"/>
      <c r="BH6" s="57"/>
    </row>
    <row r="7" spans="1:61" ht="15">
      <c r="A7" s="237"/>
      <c r="B7" s="237"/>
      <c r="C7" s="237"/>
      <c r="D7" s="237"/>
      <c r="E7" s="237"/>
      <c r="F7" s="237"/>
      <c r="G7" s="59">
        <v>1</v>
      </c>
      <c r="H7" s="60"/>
      <c r="I7" s="52" t="s">
        <v>22</v>
      </c>
      <c r="J7" s="52" t="s">
        <v>22</v>
      </c>
      <c r="L7" s="43" t="s">
        <v>22</v>
      </c>
      <c r="M7" s="43"/>
      <c r="N7" s="43" t="s">
        <v>23</v>
      </c>
      <c r="O7" s="43"/>
      <c r="P7" s="43" t="s">
        <v>24</v>
      </c>
      <c r="Q7" s="43"/>
      <c r="R7" s="43" t="s">
        <v>24</v>
      </c>
      <c r="S7" s="43"/>
      <c r="T7" s="43" t="s">
        <v>25</v>
      </c>
      <c r="U7" s="43"/>
      <c r="V7" s="43" t="s">
        <v>24</v>
      </c>
      <c r="W7" s="43"/>
      <c r="X7" s="43" t="s">
        <v>22</v>
      </c>
      <c r="Y7" s="43"/>
      <c r="Z7" s="53" t="s">
        <v>15</v>
      </c>
      <c r="AA7" s="43"/>
      <c r="AB7" s="53" t="s">
        <v>26</v>
      </c>
      <c r="AC7" s="53"/>
      <c r="AD7" s="53"/>
      <c r="AE7" s="53"/>
      <c r="AF7" s="53" t="s">
        <v>4</v>
      </c>
      <c r="AG7" s="43" t="s">
        <v>26</v>
      </c>
      <c r="AH7" s="43" t="s">
        <v>27</v>
      </c>
      <c r="AI7" s="43"/>
      <c r="AJ7" s="43" t="s">
        <v>4</v>
      </c>
      <c r="AK7" s="24"/>
      <c r="AL7" s="43" t="s">
        <v>26</v>
      </c>
      <c r="AM7" s="43"/>
      <c r="AN7" s="43" t="s">
        <v>22</v>
      </c>
      <c r="AO7" s="61" t="s">
        <v>22</v>
      </c>
      <c r="AP7" s="43" t="s">
        <v>22</v>
      </c>
      <c r="AQ7" s="54"/>
      <c r="AR7" s="54" t="s">
        <v>26</v>
      </c>
      <c r="AS7" s="54"/>
      <c r="AT7" s="54"/>
      <c r="AU7" s="54"/>
      <c r="AV7" s="54" t="s">
        <v>4</v>
      </c>
      <c r="AW7" s="53"/>
      <c r="AX7" s="55" t="s">
        <v>26</v>
      </c>
      <c r="AY7" s="53"/>
      <c r="AZ7" s="54" t="s">
        <v>15</v>
      </c>
      <c r="BA7" s="53" t="s">
        <v>4</v>
      </c>
      <c r="BB7" s="34" t="s">
        <v>15</v>
      </c>
      <c r="BC7" s="56"/>
      <c r="BD7" s="50" t="s">
        <v>28</v>
      </c>
      <c r="BE7" s="62"/>
      <c r="BF7" s="62"/>
      <c r="BG7" s="62"/>
      <c r="BH7" s="57"/>
      <c r="BI7" s="63"/>
    </row>
    <row r="8" spans="1:61" ht="15">
      <c r="A8" s="237" t="s">
        <v>29</v>
      </c>
      <c r="B8" s="237"/>
      <c r="C8" s="237"/>
      <c r="D8" s="237"/>
      <c r="E8" s="58"/>
      <c r="F8" s="64" t="s">
        <v>30</v>
      </c>
      <c r="G8" s="64" t="s">
        <v>31</v>
      </c>
      <c r="H8" s="60"/>
      <c r="I8" s="65" t="s">
        <v>32</v>
      </c>
      <c r="J8" s="65" t="s">
        <v>32</v>
      </c>
      <c r="L8" s="66" t="s">
        <v>32</v>
      </c>
      <c r="M8" s="36"/>
      <c r="N8" s="36" t="s">
        <v>2</v>
      </c>
      <c r="O8" s="36"/>
      <c r="P8" s="36" t="s">
        <v>33</v>
      </c>
      <c r="Q8" s="36"/>
      <c r="R8" s="36" t="s">
        <v>34</v>
      </c>
      <c r="S8" s="36"/>
      <c r="T8" s="36" t="s">
        <v>35</v>
      </c>
      <c r="U8" s="36"/>
      <c r="V8" s="36" t="s">
        <v>36</v>
      </c>
      <c r="W8" s="36"/>
      <c r="X8" s="66" t="s">
        <v>32</v>
      </c>
      <c r="Y8" s="36"/>
      <c r="Z8" s="44" t="s">
        <v>24</v>
      </c>
      <c r="AA8" s="36"/>
      <c r="AB8" s="44" t="s">
        <v>35</v>
      </c>
      <c r="AC8" s="44"/>
      <c r="AD8" s="44" t="s">
        <v>37</v>
      </c>
      <c r="AE8" s="44"/>
      <c r="AF8" s="44" t="s">
        <v>38</v>
      </c>
      <c r="AG8" s="36" t="s">
        <v>35</v>
      </c>
      <c r="AH8" s="36" t="s">
        <v>39</v>
      </c>
      <c r="AI8" s="36"/>
      <c r="AJ8" s="36" t="s">
        <v>40</v>
      </c>
      <c r="AK8" s="24"/>
      <c r="AL8" s="36" t="s">
        <v>35</v>
      </c>
      <c r="AM8" s="36"/>
      <c r="AN8" s="36" t="s">
        <v>32</v>
      </c>
      <c r="AO8" s="67" t="s">
        <v>32</v>
      </c>
      <c r="AP8" s="36" t="s">
        <v>32</v>
      </c>
      <c r="AQ8" s="48"/>
      <c r="AR8" s="48" t="s">
        <v>35</v>
      </c>
      <c r="AS8" s="48"/>
      <c r="AT8" s="48" t="s">
        <v>37</v>
      </c>
      <c r="AU8" s="48"/>
      <c r="AV8" s="48" t="s">
        <v>38</v>
      </c>
      <c r="AW8" s="44"/>
      <c r="AX8" s="49" t="s">
        <v>35</v>
      </c>
      <c r="AY8" s="44"/>
      <c r="AZ8" s="48" t="s">
        <v>2</v>
      </c>
      <c r="BA8" s="44" t="s">
        <v>40</v>
      </c>
      <c r="BB8" s="44" t="s">
        <v>2</v>
      </c>
      <c r="BC8" s="56"/>
      <c r="BD8" s="50" t="s">
        <v>41</v>
      </c>
      <c r="BE8" s="68"/>
      <c r="BF8" s="68"/>
      <c r="BG8" s="68"/>
      <c r="BH8" s="69"/>
    </row>
    <row r="9" spans="1:61" ht="15">
      <c r="A9" s="58"/>
      <c r="B9" s="58"/>
      <c r="C9" s="58"/>
      <c r="D9" s="64"/>
      <c r="E9" s="64"/>
      <c r="F9" s="64"/>
      <c r="G9" s="70"/>
      <c r="H9" s="60"/>
      <c r="J9" s="71"/>
      <c r="AK9" s="24"/>
      <c r="BA9" s="34"/>
      <c r="BB9" s="34"/>
      <c r="BC9" s="56"/>
      <c r="BH9" s="72">
        <v>2</v>
      </c>
    </row>
    <row r="10" spans="1:61" outlineLevel="1">
      <c r="A10" s="75" t="s">
        <v>85</v>
      </c>
      <c r="B10" s="77"/>
      <c r="C10" s="77"/>
      <c r="D10" s="90"/>
      <c r="E10" s="90"/>
      <c r="F10" s="3"/>
      <c r="H10" s="87"/>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5"/>
      <c r="AL10" s="83"/>
      <c r="AM10" s="83"/>
      <c r="AN10" s="100"/>
      <c r="AO10" s="100"/>
      <c r="AP10" s="100"/>
      <c r="AQ10" s="83"/>
      <c r="AR10" s="83"/>
      <c r="AS10" s="83"/>
      <c r="AT10" s="83"/>
      <c r="AU10" s="83"/>
      <c r="AV10" s="83"/>
      <c r="AW10" s="83"/>
      <c r="AX10" s="83"/>
      <c r="AY10" s="83"/>
      <c r="AZ10" s="83"/>
      <c r="BA10" s="83"/>
      <c r="BB10" s="83"/>
      <c r="BC10" s="56"/>
      <c r="BD10" s="83"/>
      <c r="BE10" s="83"/>
      <c r="BF10" s="83"/>
      <c r="BG10" s="83"/>
      <c r="BH10" s="19"/>
    </row>
    <row r="11" spans="1:61" ht="20.100000000000001" customHeight="1" outlineLevel="1">
      <c r="A11" s="77" t="s">
        <v>43</v>
      </c>
      <c r="B11" s="77" t="s">
        <v>86</v>
      </c>
      <c r="C11" s="77" t="s">
        <v>1075</v>
      </c>
      <c r="D11" s="78" t="s">
        <v>46</v>
      </c>
      <c r="E11" s="90" t="str">
        <f>+D11</f>
        <v>000</v>
      </c>
      <c r="F11" s="3">
        <v>653051</v>
      </c>
      <c r="G11" s="102" t="s">
        <v>87</v>
      </c>
      <c r="H11" s="87"/>
      <c r="I11" s="82">
        <v>0</v>
      </c>
      <c r="J11" s="82">
        <v>0</v>
      </c>
      <c r="L11" s="83">
        <v>0</v>
      </c>
      <c r="M11" s="83"/>
      <c r="N11" s="83">
        <v>0</v>
      </c>
      <c r="O11" s="83"/>
      <c r="P11" s="83">
        <v>0</v>
      </c>
      <c r="Q11" s="83"/>
      <c r="R11" s="83">
        <v>0</v>
      </c>
      <c r="S11" s="83"/>
      <c r="T11" s="83">
        <v>0</v>
      </c>
      <c r="U11" s="83"/>
      <c r="V11" s="83">
        <v>0</v>
      </c>
      <c r="W11" s="83"/>
      <c r="X11" s="83">
        <v>0</v>
      </c>
      <c r="Y11" s="83"/>
      <c r="Z11" s="83">
        <v>0</v>
      </c>
      <c r="AA11" s="83"/>
      <c r="AB11" s="83">
        <v>0</v>
      </c>
      <c r="AC11" s="83"/>
      <c r="AD11" s="83">
        <v>0</v>
      </c>
      <c r="AE11" s="83"/>
      <c r="AF11" s="84">
        <f t="shared" ref="AF11:AF37" si="0">SUM(Z11:AE11)</f>
        <v>0</v>
      </c>
      <c r="AG11" s="83">
        <v>0</v>
      </c>
      <c r="AH11" s="83">
        <v>0</v>
      </c>
      <c r="AI11" s="83"/>
      <c r="AJ11" s="84">
        <f t="shared" ref="AJ11:AJ42" si="1">SUM(AE11:AI11)</f>
        <v>0</v>
      </c>
      <c r="AK11" s="85"/>
      <c r="AL11" s="83">
        <v>0</v>
      </c>
      <c r="AM11" s="83"/>
      <c r="AN11" s="86">
        <f>SUM(AI11:AM11)</f>
        <v>0</v>
      </c>
      <c r="AO11" s="86">
        <v>0</v>
      </c>
      <c r="AP11" s="86">
        <v>0</v>
      </c>
      <c r="AQ11" s="83"/>
      <c r="AR11" s="83">
        <v>0</v>
      </c>
      <c r="AS11" s="83"/>
      <c r="AT11" s="83">
        <v>0</v>
      </c>
      <c r="AU11" s="83"/>
      <c r="AV11" s="84">
        <f t="shared" ref="AV11:AV42" si="2">SUM(AP11:AU11)</f>
        <v>0</v>
      </c>
      <c r="AW11" s="84"/>
      <c r="AX11" s="84">
        <v>0</v>
      </c>
      <c r="AY11" s="84"/>
      <c r="AZ11" s="84">
        <v>0</v>
      </c>
      <c r="BA11" s="84">
        <v>0</v>
      </c>
      <c r="BB11" s="214"/>
      <c r="BC11" s="56"/>
      <c r="BD11" s="84">
        <f t="shared" ref="BD11:BD42" si="3">+AP11-AN11</f>
        <v>0</v>
      </c>
      <c r="BE11" s="84"/>
      <c r="BF11" s="84"/>
      <c r="BG11" s="84"/>
      <c r="BH11" s="19"/>
    </row>
    <row r="12" spans="1:61" ht="20.100000000000001" customHeight="1" outlineLevel="1">
      <c r="A12" s="77" t="s">
        <v>43</v>
      </c>
      <c r="B12" s="77" t="s">
        <v>86</v>
      </c>
      <c r="C12" s="77" t="str">
        <f>+C11</f>
        <v>BL·</v>
      </c>
      <c r="D12" s="78" t="s">
        <v>46</v>
      </c>
      <c r="E12" s="90" t="str">
        <f t="shared" ref="E12:E75" si="4">+D12</f>
        <v>000</v>
      </c>
      <c r="F12" s="3">
        <v>658211</v>
      </c>
      <c r="G12" s="102" t="s">
        <v>88</v>
      </c>
      <c r="H12" s="87"/>
      <c r="I12" s="13">
        <v>2554</v>
      </c>
      <c r="J12" s="13">
        <v>1038</v>
      </c>
      <c r="L12" s="56">
        <v>2374</v>
      </c>
      <c r="M12" s="56"/>
      <c r="N12" s="56">
        <v>2500</v>
      </c>
      <c r="O12" s="56"/>
      <c r="P12" s="56">
        <v>2500</v>
      </c>
      <c r="Q12" s="56"/>
      <c r="R12" s="56">
        <v>2500</v>
      </c>
      <c r="S12" s="56"/>
      <c r="T12" s="56">
        <v>0</v>
      </c>
      <c r="U12" s="56"/>
      <c r="V12" s="56">
        <v>2500</v>
      </c>
      <c r="W12" s="56"/>
      <c r="X12" s="56">
        <v>1911.34</v>
      </c>
      <c r="Y12" s="56"/>
      <c r="Z12" s="56">
        <v>2500</v>
      </c>
      <c r="AA12" s="56"/>
      <c r="AB12" s="56">
        <v>0</v>
      </c>
      <c r="AC12" s="56"/>
      <c r="AD12" s="56">
        <v>0</v>
      </c>
      <c r="AE12" s="56"/>
      <c r="AF12" s="56">
        <f t="shared" si="0"/>
        <v>2500</v>
      </c>
      <c r="AG12" s="56">
        <v>0</v>
      </c>
      <c r="AH12" s="56">
        <v>0</v>
      </c>
      <c r="AI12" s="56"/>
      <c r="AJ12" s="56">
        <f t="shared" si="1"/>
        <v>2500</v>
      </c>
      <c r="AK12" s="85"/>
      <c r="AL12" s="56">
        <v>0</v>
      </c>
      <c r="AM12" s="56"/>
      <c r="AN12" s="88">
        <v>2489.4</v>
      </c>
      <c r="AO12" s="88">
        <v>0</v>
      </c>
      <c r="AP12" s="88">
        <v>1693.61</v>
      </c>
      <c r="AQ12" s="56"/>
      <c r="AR12" s="56">
        <v>0</v>
      </c>
      <c r="AS12" s="56"/>
      <c r="AT12" s="56">
        <v>0</v>
      </c>
      <c r="AU12" s="56"/>
      <c r="AV12" s="56">
        <f t="shared" si="2"/>
        <v>1693.61</v>
      </c>
      <c r="AW12" s="56"/>
      <c r="AX12" s="56">
        <v>0</v>
      </c>
      <c r="AY12" s="56"/>
      <c r="AZ12" s="56">
        <v>2500</v>
      </c>
      <c r="BA12" s="56">
        <v>2500</v>
      </c>
      <c r="BB12" s="214"/>
      <c r="BC12" s="56"/>
      <c r="BD12" s="84">
        <f t="shared" si="3"/>
        <v>-795.79000000000019</v>
      </c>
      <c r="BE12" s="56"/>
      <c r="BF12" s="56"/>
      <c r="BG12" s="56"/>
      <c r="BH12" s="72"/>
    </row>
    <row r="13" spans="1:61" ht="20.100000000000001" customHeight="1" outlineLevel="1">
      <c r="A13" s="77" t="s">
        <v>43</v>
      </c>
      <c r="B13" s="77" t="s">
        <v>86</v>
      </c>
      <c r="C13" s="77" t="str">
        <f t="shared" ref="C13:C76" si="5">+C12</f>
        <v>BL·</v>
      </c>
      <c r="D13" s="78" t="s">
        <v>46</v>
      </c>
      <c r="E13" s="90" t="str">
        <f t="shared" si="4"/>
        <v>000</v>
      </c>
      <c r="F13" s="3">
        <v>661001</v>
      </c>
      <c r="G13" s="102" t="s">
        <v>89</v>
      </c>
      <c r="H13" s="87"/>
      <c r="I13" s="13">
        <v>4024</v>
      </c>
      <c r="J13" s="13">
        <v>10171</v>
      </c>
      <c r="L13" s="56">
        <v>1082</v>
      </c>
      <c r="M13" s="56"/>
      <c r="N13" s="56">
        <v>3000</v>
      </c>
      <c r="O13" s="56"/>
      <c r="P13" s="56">
        <v>3000</v>
      </c>
      <c r="Q13" s="56"/>
      <c r="R13" s="56">
        <v>3000</v>
      </c>
      <c r="S13" s="56"/>
      <c r="T13" s="56">
        <v>0</v>
      </c>
      <c r="U13" s="56"/>
      <c r="V13" s="56">
        <v>3000</v>
      </c>
      <c r="W13" s="56"/>
      <c r="X13" s="56">
        <v>1980.73</v>
      </c>
      <c r="Y13" s="56"/>
      <c r="Z13" s="56">
        <v>3000</v>
      </c>
      <c r="AA13" s="56"/>
      <c r="AB13" s="56">
        <v>0</v>
      </c>
      <c r="AC13" s="56"/>
      <c r="AD13" s="56">
        <v>0</v>
      </c>
      <c r="AE13" s="56"/>
      <c r="AF13" s="56">
        <f t="shared" si="0"/>
        <v>3000</v>
      </c>
      <c r="AG13" s="56">
        <v>0</v>
      </c>
      <c r="AH13" s="56">
        <v>0</v>
      </c>
      <c r="AI13" s="56"/>
      <c r="AJ13" s="56">
        <f t="shared" si="1"/>
        <v>3000</v>
      </c>
      <c r="AK13" s="85"/>
      <c r="AL13" s="56">
        <v>0</v>
      </c>
      <c r="AM13" s="56"/>
      <c r="AN13" s="88">
        <v>1534.8</v>
      </c>
      <c r="AO13" s="88">
        <v>0</v>
      </c>
      <c r="AP13" s="88">
        <v>1566.63</v>
      </c>
      <c r="AQ13" s="56"/>
      <c r="AR13" s="56">
        <v>0</v>
      </c>
      <c r="AS13" s="56"/>
      <c r="AT13" s="56">
        <v>0</v>
      </c>
      <c r="AU13" s="56"/>
      <c r="AV13" s="56">
        <f t="shared" si="2"/>
        <v>1566.63</v>
      </c>
      <c r="AW13" s="56"/>
      <c r="AX13" s="56">
        <v>0</v>
      </c>
      <c r="AY13" s="56"/>
      <c r="AZ13" s="56">
        <v>3000</v>
      </c>
      <c r="BA13" s="56">
        <v>3000</v>
      </c>
      <c r="BB13" s="214"/>
      <c r="BC13" s="56"/>
      <c r="BD13" s="84">
        <f t="shared" si="3"/>
        <v>31.830000000000155</v>
      </c>
      <c r="BE13" s="56"/>
      <c r="BF13" s="56"/>
      <c r="BG13" s="56"/>
      <c r="BH13" s="72"/>
    </row>
    <row r="14" spans="1:61" ht="20.100000000000001" customHeight="1" outlineLevel="1">
      <c r="A14" s="77" t="s">
        <v>43</v>
      </c>
      <c r="B14" s="77" t="s">
        <v>86</v>
      </c>
      <c r="C14" s="77" t="str">
        <f t="shared" si="5"/>
        <v>BL·</v>
      </c>
      <c r="D14" s="78" t="s">
        <v>46</v>
      </c>
      <c r="E14" s="90" t="str">
        <f t="shared" si="4"/>
        <v>000</v>
      </c>
      <c r="F14" s="3">
        <v>673001</v>
      </c>
      <c r="G14" s="102" t="s">
        <v>90</v>
      </c>
      <c r="H14" s="87"/>
      <c r="I14" s="13">
        <v>1893</v>
      </c>
      <c r="J14" s="13">
        <v>0</v>
      </c>
      <c r="L14" s="56">
        <v>0</v>
      </c>
      <c r="M14" s="56"/>
      <c r="N14" s="56">
        <v>0</v>
      </c>
      <c r="O14" s="56"/>
      <c r="P14" s="56">
        <v>0</v>
      </c>
      <c r="Q14" s="56"/>
      <c r="R14" s="56">
        <v>0</v>
      </c>
      <c r="S14" s="56"/>
      <c r="T14" s="56">
        <v>0</v>
      </c>
      <c r="U14" s="56"/>
      <c r="V14" s="56">
        <v>0</v>
      </c>
      <c r="W14" s="56"/>
      <c r="X14" s="56">
        <v>0</v>
      </c>
      <c r="Y14" s="56"/>
      <c r="Z14" s="56">
        <v>0</v>
      </c>
      <c r="AA14" s="56"/>
      <c r="AB14" s="56">
        <v>0</v>
      </c>
      <c r="AC14" s="56"/>
      <c r="AD14" s="56">
        <v>0</v>
      </c>
      <c r="AE14" s="56"/>
      <c r="AF14" s="56">
        <f t="shared" si="0"/>
        <v>0</v>
      </c>
      <c r="AG14" s="56">
        <v>0</v>
      </c>
      <c r="AH14" s="56">
        <v>0</v>
      </c>
      <c r="AI14" s="56"/>
      <c r="AJ14" s="56">
        <f t="shared" si="1"/>
        <v>0</v>
      </c>
      <c r="AK14" s="85"/>
      <c r="AL14" s="56">
        <v>0</v>
      </c>
      <c r="AM14" s="56"/>
      <c r="AN14" s="88">
        <f>SUM(AI14:AM14)</f>
        <v>0</v>
      </c>
      <c r="AO14" s="88">
        <v>0</v>
      </c>
      <c r="AP14" s="88">
        <v>0</v>
      </c>
      <c r="AQ14" s="56"/>
      <c r="AR14" s="56">
        <v>0</v>
      </c>
      <c r="AS14" s="56"/>
      <c r="AT14" s="56">
        <v>0</v>
      </c>
      <c r="AU14" s="56"/>
      <c r="AV14" s="56">
        <f t="shared" si="2"/>
        <v>0</v>
      </c>
      <c r="AW14" s="56"/>
      <c r="AX14" s="56">
        <v>0</v>
      </c>
      <c r="AY14" s="56"/>
      <c r="AZ14" s="56">
        <v>0</v>
      </c>
      <c r="BA14" s="56">
        <v>0</v>
      </c>
      <c r="BB14" s="214"/>
      <c r="BC14" s="56"/>
      <c r="BD14" s="84">
        <f t="shared" si="3"/>
        <v>0</v>
      </c>
      <c r="BE14" s="56"/>
      <c r="BF14" s="56"/>
      <c r="BG14" s="56"/>
      <c r="BH14" s="72"/>
    </row>
    <row r="15" spans="1:61" ht="20.100000000000001" customHeight="1" outlineLevel="1">
      <c r="A15" s="77" t="s">
        <v>43</v>
      </c>
      <c r="B15" s="77" t="s">
        <v>91</v>
      </c>
      <c r="C15" s="77" t="str">
        <f t="shared" si="5"/>
        <v>BL·</v>
      </c>
      <c r="D15" s="78" t="s">
        <v>46</v>
      </c>
      <c r="E15" s="90" t="str">
        <f t="shared" si="4"/>
        <v>000</v>
      </c>
      <c r="F15" s="3">
        <v>633411</v>
      </c>
      <c r="G15" s="102" t="s">
        <v>92</v>
      </c>
      <c r="H15" s="87"/>
      <c r="I15" s="13">
        <v>0</v>
      </c>
      <c r="J15" s="13">
        <v>0</v>
      </c>
      <c r="L15" s="56">
        <v>0</v>
      </c>
      <c r="M15" s="56"/>
      <c r="N15" s="56">
        <v>0</v>
      </c>
      <c r="O15" s="56"/>
      <c r="P15" s="56">
        <v>0</v>
      </c>
      <c r="Q15" s="56"/>
      <c r="R15" s="56">
        <v>0</v>
      </c>
      <c r="S15" s="56"/>
      <c r="T15" s="56">
        <v>0</v>
      </c>
      <c r="U15" s="56"/>
      <c r="V15" s="56">
        <v>0</v>
      </c>
      <c r="W15" s="56"/>
      <c r="X15" s="56">
        <v>0</v>
      </c>
      <c r="Y15" s="56"/>
      <c r="Z15" s="56">
        <v>0</v>
      </c>
      <c r="AA15" s="56"/>
      <c r="AB15" s="56">
        <v>0</v>
      </c>
      <c r="AC15" s="56"/>
      <c r="AD15" s="56">
        <v>0</v>
      </c>
      <c r="AE15" s="56"/>
      <c r="AF15" s="56">
        <f t="shared" si="0"/>
        <v>0</v>
      </c>
      <c r="AG15" s="56">
        <v>0</v>
      </c>
      <c r="AH15" s="56">
        <v>0</v>
      </c>
      <c r="AI15" s="56"/>
      <c r="AJ15" s="56">
        <f t="shared" si="1"/>
        <v>0</v>
      </c>
      <c r="AK15" s="85"/>
      <c r="AL15" s="56">
        <v>0</v>
      </c>
      <c r="AM15" s="56"/>
      <c r="AN15" s="88">
        <f>SUM(AI15:AM15)</f>
        <v>0</v>
      </c>
      <c r="AO15" s="88">
        <v>0</v>
      </c>
      <c r="AP15" s="88">
        <v>0</v>
      </c>
      <c r="AQ15" s="56"/>
      <c r="AR15" s="56">
        <v>0</v>
      </c>
      <c r="AS15" s="56"/>
      <c r="AT15" s="56">
        <v>0</v>
      </c>
      <c r="AU15" s="56"/>
      <c r="AV15" s="56">
        <f t="shared" si="2"/>
        <v>0</v>
      </c>
      <c r="AW15" s="56"/>
      <c r="AX15" s="56">
        <v>0</v>
      </c>
      <c r="AY15" s="56"/>
      <c r="AZ15" s="56">
        <v>0</v>
      </c>
      <c r="BA15" s="56">
        <v>0</v>
      </c>
      <c r="BB15" s="214"/>
      <c r="BC15" s="56"/>
      <c r="BD15" s="84">
        <f t="shared" si="3"/>
        <v>0</v>
      </c>
      <c r="BE15" s="56"/>
      <c r="BF15" s="56"/>
      <c r="BG15" s="56"/>
      <c r="BH15" s="72"/>
    </row>
    <row r="16" spans="1:61" ht="20.100000000000001" customHeight="1" outlineLevel="1">
      <c r="A16" s="77" t="s">
        <v>43</v>
      </c>
      <c r="B16" s="77" t="s">
        <v>91</v>
      </c>
      <c r="C16" s="77" t="str">
        <f t="shared" si="5"/>
        <v>BL·</v>
      </c>
      <c r="D16" s="78" t="s">
        <v>46</v>
      </c>
      <c r="E16" s="90" t="str">
        <f t="shared" si="4"/>
        <v>000</v>
      </c>
      <c r="F16" s="3">
        <v>634061</v>
      </c>
      <c r="G16" s="102" t="s">
        <v>93</v>
      </c>
      <c r="H16" s="87"/>
      <c r="I16" s="13">
        <v>166685</v>
      </c>
      <c r="J16" s="13">
        <v>142874</v>
      </c>
      <c r="L16" s="56">
        <v>183579</v>
      </c>
      <c r="M16" s="56"/>
      <c r="N16" s="56">
        <v>160000</v>
      </c>
      <c r="O16" s="56"/>
      <c r="P16" s="56">
        <v>165520</v>
      </c>
      <c r="Q16" s="56"/>
      <c r="R16" s="56">
        <v>180520</v>
      </c>
      <c r="S16" s="56"/>
      <c r="T16" s="56">
        <v>0</v>
      </c>
      <c r="U16" s="56"/>
      <c r="V16" s="56">
        <v>180520</v>
      </c>
      <c r="W16" s="56"/>
      <c r="X16" s="56">
        <v>177014.7</v>
      </c>
      <c r="Y16" s="56"/>
      <c r="Z16" s="56">
        <v>180520</v>
      </c>
      <c r="AA16" s="56"/>
      <c r="AB16" s="56">
        <v>0</v>
      </c>
      <c r="AC16" s="56"/>
      <c r="AD16" s="56">
        <v>0</v>
      </c>
      <c r="AE16" s="56"/>
      <c r="AF16" s="56">
        <f t="shared" si="0"/>
        <v>180520</v>
      </c>
      <c r="AG16" s="56">
        <v>0</v>
      </c>
      <c r="AH16" s="56">
        <v>0</v>
      </c>
      <c r="AI16" s="56"/>
      <c r="AJ16" s="56">
        <f t="shared" si="1"/>
        <v>180520</v>
      </c>
      <c r="AK16" s="85"/>
      <c r="AL16" s="56">
        <v>0</v>
      </c>
      <c r="AM16" s="56"/>
      <c r="AN16" s="88">
        <v>176735.53</v>
      </c>
      <c r="AO16" s="88">
        <v>0</v>
      </c>
      <c r="AP16" s="88">
        <v>180319.41</v>
      </c>
      <c r="AQ16" s="56"/>
      <c r="AR16" s="56">
        <v>0</v>
      </c>
      <c r="AS16" s="56"/>
      <c r="AT16" s="56">
        <v>0</v>
      </c>
      <c r="AU16" s="56"/>
      <c r="AV16" s="56">
        <f t="shared" si="2"/>
        <v>180319.41</v>
      </c>
      <c r="AW16" s="56"/>
      <c r="AX16" s="56">
        <v>0</v>
      </c>
      <c r="AY16" s="56"/>
      <c r="AZ16" s="56">
        <v>185000</v>
      </c>
      <c r="BA16" s="56">
        <v>185000</v>
      </c>
      <c r="BB16" s="214"/>
      <c r="BC16" s="56"/>
      <c r="BD16" s="84">
        <f t="shared" si="3"/>
        <v>3583.8800000000047</v>
      </c>
      <c r="BE16" s="56"/>
      <c r="BF16" s="56"/>
      <c r="BG16" s="56"/>
      <c r="BH16" s="72"/>
    </row>
    <row r="17" spans="1:60" ht="20.100000000000001" customHeight="1" outlineLevel="1">
      <c r="A17" s="77" t="s">
        <v>43</v>
      </c>
      <c r="B17" s="77" t="s">
        <v>91</v>
      </c>
      <c r="C17" s="77" t="str">
        <f t="shared" si="5"/>
        <v>BL·</v>
      </c>
      <c r="D17" s="78" t="s">
        <v>46</v>
      </c>
      <c r="E17" s="90" t="str">
        <f t="shared" si="4"/>
        <v>000</v>
      </c>
      <c r="F17" s="3">
        <v>634062</v>
      </c>
      <c r="G17" s="102" t="s">
        <v>94</v>
      </c>
      <c r="H17" s="87"/>
      <c r="I17" s="13">
        <v>3550</v>
      </c>
      <c r="J17" s="13">
        <v>8850</v>
      </c>
      <c r="L17" s="56">
        <v>3900</v>
      </c>
      <c r="M17" s="56"/>
      <c r="N17" s="56">
        <v>25000</v>
      </c>
      <c r="O17" s="56"/>
      <c r="P17" s="56">
        <v>25000</v>
      </c>
      <c r="Q17" s="56"/>
      <c r="R17" s="56">
        <v>25000</v>
      </c>
      <c r="S17" s="56"/>
      <c r="T17" s="56">
        <v>0</v>
      </c>
      <c r="U17" s="56"/>
      <c r="V17" s="56">
        <v>25000</v>
      </c>
      <c r="W17" s="56"/>
      <c r="X17" s="56">
        <v>0</v>
      </c>
      <c r="Y17" s="56"/>
      <c r="Z17" s="56">
        <v>25000</v>
      </c>
      <c r="AA17" s="56"/>
      <c r="AB17" s="56">
        <v>0</v>
      </c>
      <c r="AC17" s="56"/>
      <c r="AD17" s="56">
        <v>0</v>
      </c>
      <c r="AE17" s="56"/>
      <c r="AF17" s="56">
        <f t="shared" si="0"/>
        <v>25000</v>
      </c>
      <c r="AG17" s="56">
        <v>0</v>
      </c>
      <c r="AH17" s="56">
        <v>0</v>
      </c>
      <c r="AI17" s="56"/>
      <c r="AJ17" s="56">
        <f t="shared" si="1"/>
        <v>25000</v>
      </c>
      <c r="AK17" s="85"/>
      <c r="AL17" s="56">
        <v>0</v>
      </c>
      <c r="AM17" s="56"/>
      <c r="AN17" s="88">
        <v>0</v>
      </c>
      <c r="AO17" s="88">
        <v>0</v>
      </c>
      <c r="AP17" s="88">
        <v>7900</v>
      </c>
      <c r="AQ17" s="56"/>
      <c r="AR17" s="56">
        <v>0</v>
      </c>
      <c r="AS17" s="56"/>
      <c r="AT17" s="56">
        <v>0</v>
      </c>
      <c r="AU17" s="56"/>
      <c r="AV17" s="56">
        <f t="shared" si="2"/>
        <v>7900</v>
      </c>
      <c r="AW17" s="56"/>
      <c r="AX17" s="56">
        <v>0</v>
      </c>
      <c r="AY17" s="56"/>
      <c r="AZ17" s="56">
        <v>10000</v>
      </c>
      <c r="BA17" s="56">
        <v>10000</v>
      </c>
      <c r="BB17" s="214"/>
      <c r="BC17" s="56"/>
      <c r="BD17" s="84">
        <f t="shared" si="3"/>
        <v>7900</v>
      </c>
      <c r="BE17" s="56"/>
      <c r="BF17" s="56"/>
      <c r="BG17" s="56"/>
      <c r="BH17" s="72"/>
    </row>
    <row r="18" spans="1:60" ht="20.100000000000001" customHeight="1" outlineLevel="1">
      <c r="A18" s="77" t="s">
        <v>43</v>
      </c>
      <c r="B18" s="77" t="s">
        <v>91</v>
      </c>
      <c r="C18" s="77" t="str">
        <f t="shared" si="5"/>
        <v>BL·</v>
      </c>
      <c r="D18" s="78" t="s">
        <v>46</v>
      </c>
      <c r="E18" s="90" t="str">
        <f t="shared" si="4"/>
        <v>000</v>
      </c>
      <c r="F18" s="3">
        <v>643011</v>
      </c>
      <c r="G18" s="102" t="s">
        <v>95</v>
      </c>
      <c r="H18" s="87"/>
      <c r="I18" s="13">
        <v>45215</v>
      </c>
      <c r="J18" s="13">
        <v>20523</v>
      </c>
      <c r="L18" s="56">
        <v>19716</v>
      </c>
      <c r="M18" s="56"/>
      <c r="N18" s="56">
        <v>15000</v>
      </c>
      <c r="O18" s="56"/>
      <c r="P18" s="56">
        <v>15000</v>
      </c>
      <c r="Q18" s="56"/>
      <c r="R18" s="56">
        <v>30000</v>
      </c>
      <c r="S18" s="56"/>
      <c r="T18" s="56">
        <v>0</v>
      </c>
      <c r="U18" s="56"/>
      <c r="V18" s="56">
        <v>30000</v>
      </c>
      <c r="W18" s="56"/>
      <c r="X18" s="56">
        <v>21811.200000000001</v>
      </c>
      <c r="Y18" s="56"/>
      <c r="Z18" s="56">
        <v>30000</v>
      </c>
      <c r="AA18" s="56"/>
      <c r="AB18" s="56">
        <v>0</v>
      </c>
      <c r="AC18" s="56"/>
      <c r="AD18" s="56">
        <v>0</v>
      </c>
      <c r="AE18" s="56"/>
      <c r="AF18" s="56">
        <f t="shared" si="0"/>
        <v>30000</v>
      </c>
      <c r="AG18" s="56">
        <v>0</v>
      </c>
      <c r="AH18" s="56">
        <v>0</v>
      </c>
      <c r="AI18" s="56"/>
      <c r="AJ18" s="56">
        <f t="shared" si="1"/>
        <v>30000</v>
      </c>
      <c r="AK18" s="85"/>
      <c r="AL18" s="56">
        <v>0</v>
      </c>
      <c r="AM18" s="56"/>
      <c r="AN18" s="88">
        <v>2542.17</v>
      </c>
      <c r="AO18" s="88">
        <v>0</v>
      </c>
      <c r="AP18" s="88">
        <v>0</v>
      </c>
      <c r="AQ18" s="56"/>
      <c r="AR18" s="56">
        <v>0</v>
      </c>
      <c r="AS18" s="56"/>
      <c r="AT18" s="56">
        <v>0</v>
      </c>
      <c r="AU18" s="56"/>
      <c r="AV18" s="56">
        <f t="shared" si="2"/>
        <v>0</v>
      </c>
      <c r="AW18" s="56"/>
      <c r="AX18" s="56">
        <v>0</v>
      </c>
      <c r="AY18" s="56"/>
      <c r="AZ18" s="56">
        <v>30000</v>
      </c>
      <c r="BA18" s="56">
        <v>30000</v>
      </c>
      <c r="BB18" s="214"/>
      <c r="BC18" s="56"/>
      <c r="BD18" s="84">
        <f t="shared" si="3"/>
        <v>-2542.17</v>
      </c>
      <c r="BE18" s="56"/>
      <c r="BF18" s="56"/>
      <c r="BG18" s="56"/>
      <c r="BH18" s="72"/>
    </row>
    <row r="19" spans="1:60" ht="20.100000000000001" customHeight="1" outlineLevel="1">
      <c r="A19" s="77" t="s">
        <v>43</v>
      </c>
      <c r="B19" s="77" t="s">
        <v>91</v>
      </c>
      <c r="C19" s="77" t="str">
        <f t="shared" si="5"/>
        <v>BL·</v>
      </c>
      <c r="D19" s="78" t="s">
        <v>46</v>
      </c>
      <c r="E19" s="90" t="str">
        <f t="shared" si="4"/>
        <v>000</v>
      </c>
      <c r="F19" s="3">
        <v>643012</v>
      </c>
      <c r="G19" s="102" t="s">
        <v>96</v>
      </c>
      <c r="H19" s="87"/>
      <c r="I19" s="13">
        <v>0</v>
      </c>
      <c r="J19" s="13">
        <v>1032</v>
      </c>
      <c r="L19" s="56">
        <v>0</v>
      </c>
      <c r="M19" s="56"/>
      <c r="N19" s="56">
        <v>24000</v>
      </c>
      <c r="O19" s="56"/>
      <c r="P19" s="56">
        <v>24000</v>
      </c>
      <c r="Q19" s="56"/>
      <c r="R19" s="56">
        <v>24000</v>
      </c>
      <c r="S19" s="56"/>
      <c r="T19" s="56">
        <v>0</v>
      </c>
      <c r="U19" s="56"/>
      <c r="V19" s="56">
        <v>24000</v>
      </c>
      <c r="W19" s="56"/>
      <c r="X19" s="56">
        <v>0</v>
      </c>
      <c r="Y19" s="56"/>
      <c r="Z19" s="56">
        <v>24000</v>
      </c>
      <c r="AA19" s="56"/>
      <c r="AB19" s="56">
        <v>0</v>
      </c>
      <c r="AC19" s="56"/>
      <c r="AD19" s="56">
        <v>0</v>
      </c>
      <c r="AE19" s="56"/>
      <c r="AF19" s="56">
        <f t="shared" si="0"/>
        <v>24000</v>
      </c>
      <c r="AG19" s="56">
        <v>0</v>
      </c>
      <c r="AH19" s="56">
        <v>0</v>
      </c>
      <c r="AI19" s="56"/>
      <c r="AJ19" s="56">
        <f t="shared" si="1"/>
        <v>24000</v>
      </c>
      <c r="AK19" s="85"/>
      <c r="AL19" s="56">
        <v>0</v>
      </c>
      <c r="AM19" s="56"/>
      <c r="AN19" s="88">
        <v>3405</v>
      </c>
      <c r="AO19" s="88">
        <v>0</v>
      </c>
      <c r="AP19" s="88">
        <v>0</v>
      </c>
      <c r="AQ19" s="56"/>
      <c r="AR19" s="56">
        <v>0</v>
      </c>
      <c r="AS19" s="56"/>
      <c r="AT19" s="56">
        <v>0</v>
      </c>
      <c r="AU19" s="56"/>
      <c r="AV19" s="56">
        <f t="shared" si="2"/>
        <v>0</v>
      </c>
      <c r="AW19" s="56"/>
      <c r="AX19" s="56">
        <v>0</v>
      </c>
      <c r="AY19" s="56"/>
      <c r="AZ19" s="56">
        <v>24000</v>
      </c>
      <c r="BA19" s="56">
        <v>24000</v>
      </c>
      <c r="BB19" s="214"/>
      <c r="BC19" s="56"/>
      <c r="BD19" s="84">
        <f t="shared" si="3"/>
        <v>-3405</v>
      </c>
      <c r="BE19" s="56"/>
      <c r="BF19" s="56"/>
      <c r="BG19" s="56"/>
      <c r="BH19" s="72"/>
    </row>
    <row r="20" spans="1:60" ht="20.100000000000001" customHeight="1" outlineLevel="1">
      <c r="A20" s="77" t="s">
        <v>43</v>
      </c>
      <c r="B20" s="77" t="s">
        <v>91</v>
      </c>
      <c r="C20" s="77" t="str">
        <f t="shared" si="5"/>
        <v>BL·</v>
      </c>
      <c r="D20" s="78" t="s">
        <v>46</v>
      </c>
      <c r="E20" s="90" t="str">
        <f t="shared" si="4"/>
        <v>000</v>
      </c>
      <c r="F20" s="3">
        <v>653051</v>
      </c>
      <c r="G20" s="102" t="s">
        <v>71</v>
      </c>
      <c r="H20" s="87"/>
      <c r="I20" s="13">
        <v>803</v>
      </c>
      <c r="J20" s="13">
        <v>972</v>
      </c>
      <c r="L20" s="56">
        <v>2947</v>
      </c>
      <c r="M20" s="56"/>
      <c r="N20" s="56">
        <v>2800</v>
      </c>
      <c r="O20" s="56"/>
      <c r="P20" s="56">
        <v>2800</v>
      </c>
      <c r="Q20" s="56"/>
      <c r="R20" s="56">
        <v>2800</v>
      </c>
      <c r="S20" s="56"/>
      <c r="T20" s="56">
        <v>0</v>
      </c>
      <c r="U20" s="56"/>
      <c r="V20" s="56">
        <v>2800</v>
      </c>
      <c r="W20" s="56"/>
      <c r="X20" s="56">
        <v>1246.33</v>
      </c>
      <c r="Y20" s="56"/>
      <c r="Z20" s="56">
        <v>2800</v>
      </c>
      <c r="AA20" s="56"/>
      <c r="AB20" s="56">
        <v>0</v>
      </c>
      <c r="AC20" s="56"/>
      <c r="AD20" s="56">
        <v>0</v>
      </c>
      <c r="AE20" s="56"/>
      <c r="AF20" s="56">
        <f t="shared" si="0"/>
        <v>2800</v>
      </c>
      <c r="AG20" s="56">
        <v>0</v>
      </c>
      <c r="AH20" s="56">
        <v>0</v>
      </c>
      <c r="AI20" s="56"/>
      <c r="AJ20" s="56">
        <f t="shared" si="1"/>
        <v>2800</v>
      </c>
      <c r="AK20" s="85"/>
      <c r="AL20" s="56">
        <v>0</v>
      </c>
      <c r="AM20" s="56"/>
      <c r="AN20" s="88">
        <v>923.64</v>
      </c>
      <c r="AO20" s="88">
        <v>0</v>
      </c>
      <c r="AP20" s="88">
        <v>430.79</v>
      </c>
      <c r="AQ20" s="56"/>
      <c r="AR20" s="56">
        <v>0</v>
      </c>
      <c r="AS20" s="56"/>
      <c r="AT20" s="56">
        <v>0</v>
      </c>
      <c r="AU20" s="56"/>
      <c r="AV20" s="56">
        <f t="shared" si="2"/>
        <v>430.79</v>
      </c>
      <c r="AW20" s="56"/>
      <c r="AX20" s="56">
        <v>0</v>
      </c>
      <c r="AY20" s="56"/>
      <c r="AZ20" s="56">
        <v>2800</v>
      </c>
      <c r="BA20" s="56">
        <v>2800</v>
      </c>
      <c r="BB20" s="214"/>
      <c r="BC20" s="56"/>
      <c r="BD20" s="84">
        <f t="shared" si="3"/>
        <v>-492.84999999999997</v>
      </c>
      <c r="BE20" s="56"/>
      <c r="BF20" s="56"/>
      <c r="BG20" s="56"/>
      <c r="BH20" s="72"/>
    </row>
    <row r="21" spans="1:60" ht="20.100000000000001" customHeight="1" outlineLevel="1">
      <c r="A21" s="77" t="s">
        <v>43</v>
      </c>
      <c r="B21" s="77" t="s">
        <v>91</v>
      </c>
      <c r="C21" s="77" t="str">
        <f t="shared" si="5"/>
        <v>BL·</v>
      </c>
      <c r="D21" s="78" t="s">
        <v>46</v>
      </c>
      <c r="E21" s="90" t="str">
        <f t="shared" si="4"/>
        <v>000</v>
      </c>
      <c r="F21" s="3">
        <v>658211</v>
      </c>
      <c r="G21" s="102" t="s">
        <v>72</v>
      </c>
      <c r="H21" s="87"/>
      <c r="I21" s="13">
        <v>1134</v>
      </c>
      <c r="J21" s="13">
        <v>30</v>
      </c>
      <c r="L21" s="56">
        <v>1302</v>
      </c>
      <c r="M21" s="56"/>
      <c r="N21" s="56">
        <v>2500</v>
      </c>
      <c r="O21" s="56"/>
      <c r="P21" s="56">
        <v>2500</v>
      </c>
      <c r="Q21" s="56"/>
      <c r="R21" s="56">
        <v>2500</v>
      </c>
      <c r="S21" s="56"/>
      <c r="T21" s="56">
        <v>0</v>
      </c>
      <c r="U21" s="56"/>
      <c r="V21" s="56">
        <v>2500</v>
      </c>
      <c r="W21" s="56"/>
      <c r="X21" s="56">
        <v>289.67</v>
      </c>
      <c r="Y21" s="56"/>
      <c r="Z21" s="56">
        <v>2500</v>
      </c>
      <c r="AA21" s="56"/>
      <c r="AB21" s="56">
        <v>0</v>
      </c>
      <c r="AC21" s="56"/>
      <c r="AD21" s="56">
        <v>0</v>
      </c>
      <c r="AE21" s="56"/>
      <c r="AF21" s="56">
        <f t="shared" si="0"/>
        <v>2500</v>
      </c>
      <c r="AG21" s="56">
        <v>0</v>
      </c>
      <c r="AH21" s="56">
        <v>0</v>
      </c>
      <c r="AI21" s="56"/>
      <c r="AJ21" s="56">
        <f t="shared" si="1"/>
        <v>2500</v>
      </c>
      <c r="AK21" s="85"/>
      <c r="AL21" s="56">
        <v>0</v>
      </c>
      <c r="AM21" s="56"/>
      <c r="AN21" s="88">
        <v>606.04</v>
      </c>
      <c r="AO21" s="88">
        <v>0</v>
      </c>
      <c r="AP21" s="88">
        <v>0</v>
      </c>
      <c r="AQ21" s="56"/>
      <c r="AR21" s="56">
        <v>0</v>
      </c>
      <c r="AS21" s="56"/>
      <c r="AT21" s="56">
        <v>0</v>
      </c>
      <c r="AU21" s="56"/>
      <c r="AV21" s="56">
        <f t="shared" si="2"/>
        <v>0</v>
      </c>
      <c r="AW21" s="56"/>
      <c r="AX21" s="56">
        <v>0</v>
      </c>
      <c r="AY21" s="56"/>
      <c r="AZ21" s="56">
        <v>2500</v>
      </c>
      <c r="BA21" s="56">
        <v>2500</v>
      </c>
      <c r="BB21" s="214"/>
      <c r="BC21" s="56"/>
      <c r="BD21" s="84">
        <f t="shared" si="3"/>
        <v>-606.04</v>
      </c>
      <c r="BE21" s="56"/>
      <c r="BF21" s="56"/>
      <c r="BG21" s="56"/>
      <c r="BH21" s="72"/>
    </row>
    <row r="22" spans="1:60" ht="20.100000000000001" customHeight="1" outlineLevel="1">
      <c r="A22" s="77" t="s">
        <v>43</v>
      </c>
      <c r="B22" s="77" t="s">
        <v>91</v>
      </c>
      <c r="C22" s="77" t="str">
        <f t="shared" si="5"/>
        <v>BL·</v>
      </c>
      <c r="D22" s="78" t="s">
        <v>46</v>
      </c>
      <c r="E22" s="90" t="str">
        <f t="shared" si="4"/>
        <v>000</v>
      </c>
      <c r="F22" s="3">
        <v>661001</v>
      </c>
      <c r="G22" s="102" t="s">
        <v>73</v>
      </c>
      <c r="H22" s="87"/>
      <c r="I22" s="13">
        <v>17710</v>
      </c>
      <c r="J22" s="13">
        <v>17477</v>
      </c>
      <c r="L22" s="56">
        <v>16841</v>
      </c>
      <c r="M22" s="56"/>
      <c r="N22" s="56">
        <v>20800</v>
      </c>
      <c r="O22" s="56"/>
      <c r="P22" s="56">
        <v>20968</v>
      </c>
      <c r="Q22" s="56"/>
      <c r="R22" s="56">
        <v>20968</v>
      </c>
      <c r="S22" s="56"/>
      <c r="T22" s="56">
        <v>0</v>
      </c>
      <c r="U22" s="56"/>
      <c r="V22" s="56">
        <v>20968</v>
      </c>
      <c r="W22" s="56"/>
      <c r="X22" s="56">
        <v>18402.66</v>
      </c>
      <c r="Y22" s="56"/>
      <c r="Z22" s="56">
        <v>20000</v>
      </c>
      <c r="AA22" s="56"/>
      <c r="AB22" s="56">
        <v>0</v>
      </c>
      <c r="AC22" s="56"/>
      <c r="AD22" s="56">
        <v>188.9</v>
      </c>
      <c r="AE22" s="56"/>
      <c r="AF22" s="56">
        <f t="shared" si="0"/>
        <v>20188.900000000001</v>
      </c>
      <c r="AG22" s="56">
        <v>0</v>
      </c>
      <c r="AH22" s="56">
        <v>0</v>
      </c>
      <c r="AI22" s="56"/>
      <c r="AJ22" s="56">
        <f t="shared" si="1"/>
        <v>20188.900000000001</v>
      </c>
      <c r="AK22" s="85"/>
      <c r="AL22" s="56">
        <v>0</v>
      </c>
      <c r="AM22" s="56"/>
      <c r="AN22" s="88">
        <v>15261.07</v>
      </c>
      <c r="AO22" s="88">
        <v>0</v>
      </c>
      <c r="AP22" s="88">
        <v>20496.560000000001</v>
      </c>
      <c r="AQ22" s="56"/>
      <c r="AR22" s="56">
        <v>0</v>
      </c>
      <c r="AS22" s="56"/>
      <c r="AT22" s="56">
        <v>0</v>
      </c>
      <c r="AU22" s="56"/>
      <c r="AV22" s="56">
        <f t="shared" si="2"/>
        <v>20496.560000000001</v>
      </c>
      <c r="AW22" s="56"/>
      <c r="AX22" s="56">
        <v>0</v>
      </c>
      <c r="AY22" s="56"/>
      <c r="AZ22" s="56">
        <v>20000</v>
      </c>
      <c r="BA22" s="56">
        <v>20392</v>
      </c>
      <c r="BB22" s="214"/>
      <c r="BC22" s="56"/>
      <c r="BD22" s="84">
        <f t="shared" si="3"/>
        <v>5235.4900000000016</v>
      </c>
      <c r="BE22" s="56"/>
      <c r="BF22" s="56"/>
      <c r="BG22" s="56"/>
      <c r="BH22" s="72"/>
    </row>
    <row r="23" spans="1:60" ht="20.100000000000001" customHeight="1" outlineLevel="1">
      <c r="A23" s="77" t="s">
        <v>43</v>
      </c>
      <c r="B23" s="77" t="s">
        <v>91</v>
      </c>
      <c r="C23" s="77" t="str">
        <f t="shared" si="5"/>
        <v>BL·</v>
      </c>
      <c r="D23" s="78" t="s">
        <v>46</v>
      </c>
      <c r="E23" s="90" t="str">
        <f t="shared" si="4"/>
        <v>000</v>
      </c>
      <c r="F23" s="3">
        <v>661002</v>
      </c>
      <c r="G23" s="102" t="s">
        <v>97</v>
      </c>
      <c r="H23" s="87"/>
      <c r="I23" s="13">
        <v>51033</v>
      </c>
      <c r="J23" s="13">
        <v>42125</v>
      </c>
      <c r="L23" s="56">
        <v>37985</v>
      </c>
      <c r="M23" s="56"/>
      <c r="N23" s="56">
        <v>65000</v>
      </c>
      <c r="O23" s="56"/>
      <c r="P23" s="56">
        <v>65050</v>
      </c>
      <c r="Q23" s="56"/>
      <c r="R23" s="56">
        <v>65050</v>
      </c>
      <c r="S23" s="56"/>
      <c r="T23" s="56">
        <v>0</v>
      </c>
      <c r="U23" s="56"/>
      <c r="V23" s="56">
        <v>65050</v>
      </c>
      <c r="W23" s="56"/>
      <c r="X23" s="56">
        <v>46829.11</v>
      </c>
      <c r="Y23" s="56"/>
      <c r="Z23" s="56">
        <v>65000</v>
      </c>
      <c r="AA23" s="56"/>
      <c r="AB23" s="56">
        <v>0</v>
      </c>
      <c r="AC23" s="56"/>
      <c r="AD23" s="56">
        <v>0</v>
      </c>
      <c r="AE23" s="56"/>
      <c r="AF23" s="56">
        <f t="shared" si="0"/>
        <v>65000</v>
      </c>
      <c r="AG23" s="56">
        <v>0</v>
      </c>
      <c r="AH23" s="56">
        <v>0</v>
      </c>
      <c r="AI23" s="56"/>
      <c r="AJ23" s="56">
        <f t="shared" si="1"/>
        <v>65000</v>
      </c>
      <c r="AK23" s="85"/>
      <c r="AL23" s="56">
        <v>0</v>
      </c>
      <c r="AM23" s="56"/>
      <c r="AN23" s="88">
        <v>54879.51</v>
      </c>
      <c r="AO23" s="88">
        <v>0</v>
      </c>
      <c r="AP23" s="88">
        <v>26889.119999999999</v>
      </c>
      <c r="AQ23" s="56"/>
      <c r="AR23" s="56">
        <v>0</v>
      </c>
      <c r="AS23" s="56"/>
      <c r="AT23" s="56">
        <v>0</v>
      </c>
      <c r="AU23" s="56"/>
      <c r="AV23" s="56">
        <f t="shared" si="2"/>
        <v>26889.119999999999</v>
      </c>
      <c r="AW23" s="56"/>
      <c r="AX23" s="56">
        <v>0</v>
      </c>
      <c r="AY23" s="56"/>
      <c r="AZ23" s="56">
        <v>50000</v>
      </c>
      <c r="BA23" s="56">
        <v>50418</v>
      </c>
      <c r="BB23" s="214"/>
      <c r="BC23" s="56"/>
      <c r="BD23" s="84">
        <f t="shared" si="3"/>
        <v>-27990.390000000003</v>
      </c>
      <c r="BE23" s="56"/>
      <c r="BF23" s="56"/>
      <c r="BG23" s="56"/>
      <c r="BH23" s="72"/>
    </row>
    <row r="24" spans="1:60" ht="20.100000000000001" customHeight="1" outlineLevel="1">
      <c r="A24" s="77" t="s">
        <v>43</v>
      </c>
      <c r="B24" s="77" t="s">
        <v>91</v>
      </c>
      <c r="C24" s="77" t="str">
        <f t="shared" si="5"/>
        <v>BL·</v>
      </c>
      <c r="D24" s="78" t="s">
        <v>46</v>
      </c>
      <c r="E24" s="90" t="str">
        <f t="shared" si="4"/>
        <v>000</v>
      </c>
      <c r="F24" s="3">
        <v>661061</v>
      </c>
      <c r="G24" s="102" t="s">
        <v>98</v>
      </c>
      <c r="H24" s="87"/>
      <c r="I24" s="13">
        <v>523448</v>
      </c>
      <c r="J24" s="13">
        <v>626881</v>
      </c>
      <c r="L24" s="56">
        <v>639775</v>
      </c>
      <c r="M24" s="56"/>
      <c r="N24" s="56">
        <v>450000</v>
      </c>
      <c r="O24" s="56"/>
      <c r="P24" s="56">
        <v>450017</v>
      </c>
      <c r="Q24" s="56"/>
      <c r="R24" s="56">
        <v>450017</v>
      </c>
      <c r="S24" s="56"/>
      <c r="T24" s="56">
        <v>0</v>
      </c>
      <c r="U24" s="56"/>
      <c r="V24" s="56">
        <v>450017</v>
      </c>
      <c r="W24" s="56"/>
      <c r="X24" s="56">
        <v>679224.38</v>
      </c>
      <c r="Y24" s="56"/>
      <c r="Z24" s="56">
        <v>600000</v>
      </c>
      <c r="AA24" s="56"/>
      <c r="AB24" s="56">
        <v>0</v>
      </c>
      <c r="AC24" s="56"/>
      <c r="AD24" s="56">
        <v>1533</v>
      </c>
      <c r="AE24" s="56"/>
      <c r="AF24" s="56">
        <f t="shared" si="0"/>
        <v>601533</v>
      </c>
      <c r="AG24" s="56">
        <v>0</v>
      </c>
      <c r="AH24" s="56">
        <v>0</v>
      </c>
      <c r="AI24" s="56"/>
      <c r="AJ24" s="56">
        <f t="shared" si="1"/>
        <v>601533</v>
      </c>
      <c r="AK24" s="85"/>
      <c r="AL24" s="56">
        <v>0</v>
      </c>
      <c r="AM24" s="56"/>
      <c r="AN24" s="88">
        <v>614658.14</v>
      </c>
      <c r="AO24" s="88">
        <v>0</v>
      </c>
      <c r="AP24" s="88">
        <v>754557.33</v>
      </c>
      <c r="AQ24" s="56"/>
      <c r="AR24" s="56">
        <v>0</v>
      </c>
      <c r="AS24" s="56"/>
      <c r="AT24" s="56">
        <v>0</v>
      </c>
      <c r="AU24" s="56"/>
      <c r="AV24" s="56">
        <f t="shared" si="2"/>
        <v>754557.33</v>
      </c>
      <c r="AW24" s="56"/>
      <c r="AX24" s="56">
        <v>0</v>
      </c>
      <c r="AY24" s="56"/>
      <c r="AZ24" s="56">
        <v>675000</v>
      </c>
      <c r="BA24" s="56">
        <v>675000</v>
      </c>
      <c r="BB24" s="214"/>
      <c r="BC24" s="56"/>
      <c r="BD24" s="84">
        <f t="shared" si="3"/>
        <v>139899.18999999994</v>
      </c>
      <c r="BE24" s="56"/>
      <c r="BF24" s="56"/>
      <c r="BG24" s="56"/>
      <c r="BH24" s="72"/>
    </row>
    <row r="25" spans="1:60" ht="20.100000000000001" customHeight="1" outlineLevel="1">
      <c r="A25" s="77" t="s">
        <v>43</v>
      </c>
      <c r="B25" s="77" t="s">
        <v>91</v>
      </c>
      <c r="C25" s="77" t="str">
        <f t="shared" si="5"/>
        <v>BL·</v>
      </c>
      <c r="D25" s="78" t="s">
        <v>46</v>
      </c>
      <c r="E25" s="90" t="str">
        <f t="shared" si="4"/>
        <v>000</v>
      </c>
      <c r="F25" s="3">
        <v>661062</v>
      </c>
      <c r="G25" s="102" t="s">
        <v>99</v>
      </c>
      <c r="H25" s="87"/>
      <c r="I25" s="13">
        <v>27616</v>
      </c>
      <c r="J25" s="13">
        <v>25876</v>
      </c>
      <c r="L25" s="56">
        <v>27655</v>
      </c>
      <c r="M25" s="56"/>
      <c r="N25" s="56">
        <v>25000</v>
      </c>
      <c r="O25" s="56"/>
      <c r="P25" s="56">
        <v>25000</v>
      </c>
      <c r="Q25" s="56"/>
      <c r="R25" s="56">
        <v>25000</v>
      </c>
      <c r="S25" s="56"/>
      <c r="T25" s="56">
        <v>0</v>
      </c>
      <c r="U25" s="56"/>
      <c r="V25" s="56">
        <v>25000</v>
      </c>
      <c r="W25" s="56"/>
      <c r="X25" s="56">
        <v>24851.16</v>
      </c>
      <c r="Y25" s="56"/>
      <c r="Z25" s="56">
        <v>28000</v>
      </c>
      <c r="AA25" s="56"/>
      <c r="AB25" s="56">
        <v>0</v>
      </c>
      <c r="AC25" s="56"/>
      <c r="AD25" s="56">
        <v>2218.66</v>
      </c>
      <c r="AE25" s="56"/>
      <c r="AF25" s="56">
        <f t="shared" si="0"/>
        <v>30218.66</v>
      </c>
      <c r="AG25" s="56">
        <v>0</v>
      </c>
      <c r="AH25" s="56">
        <v>0</v>
      </c>
      <c r="AI25" s="56"/>
      <c r="AJ25" s="56">
        <f t="shared" si="1"/>
        <v>30218.66</v>
      </c>
      <c r="AK25" s="85"/>
      <c r="AL25" s="56">
        <v>0</v>
      </c>
      <c r="AM25" s="56"/>
      <c r="AN25" s="88">
        <v>23672.28</v>
      </c>
      <c r="AO25" s="88">
        <v>0</v>
      </c>
      <c r="AP25" s="88">
        <v>27982.14</v>
      </c>
      <c r="AQ25" s="56"/>
      <c r="AR25" s="56">
        <v>0</v>
      </c>
      <c r="AS25" s="56"/>
      <c r="AT25" s="56">
        <v>0</v>
      </c>
      <c r="AU25" s="56"/>
      <c r="AV25" s="56">
        <f t="shared" si="2"/>
        <v>27982.14</v>
      </c>
      <c r="AW25" s="56"/>
      <c r="AX25" s="56">
        <v>0</v>
      </c>
      <c r="AY25" s="56"/>
      <c r="AZ25" s="56">
        <v>35000</v>
      </c>
      <c r="BA25" s="56">
        <v>35000</v>
      </c>
      <c r="BB25" s="214"/>
      <c r="BC25" s="56"/>
      <c r="BD25" s="84">
        <f t="shared" si="3"/>
        <v>4309.8600000000006</v>
      </c>
      <c r="BE25" s="56"/>
      <c r="BF25" s="56"/>
      <c r="BG25" s="56"/>
      <c r="BH25" s="72"/>
    </row>
    <row r="26" spans="1:60" ht="20.100000000000001" customHeight="1" outlineLevel="1">
      <c r="A26" s="77" t="s">
        <v>43</v>
      </c>
      <c r="B26" s="77" t="s">
        <v>91</v>
      </c>
      <c r="C26" s="77" t="str">
        <f t="shared" si="5"/>
        <v>BL·</v>
      </c>
      <c r="D26" s="78" t="s">
        <v>46</v>
      </c>
      <c r="E26" s="90" t="str">
        <f t="shared" si="4"/>
        <v>000</v>
      </c>
      <c r="F26" s="3">
        <v>661063</v>
      </c>
      <c r="G26" s="102" t="s">
        <v>100</v>
      </c>
      <c r="H26" s="87"/>
      <c r="I26" s="13"/>
      <c r="J26" s="13"/>
      <c r="L26" s="56">
        <v>0</v>
      </c>
      <c r="M26" s="56"/>
      <c r="N26" s="56"/>
      <c r="O26" s="56"/>
      <c r="P26" s="56"/>
      <c r="Q26" s="56"/>
      <c r="R26" s="56"/>
      <c r="S26" s="56"/>
      <c r="T26" s="56"/>
      <c r="U26" s="56"/>
      <c r="V26" s="56"/>
      <c r="W26" s="56"/>
      <c r="X26" s="56">
        <v>476.5</v>
      </c>
      <c r="Y26" s="56"/>
      <c r="Z26" s="56">
        <v>0</v>
      </c>
      <c r="AA26" s="56"/>
      <c r="AB26" s="56">
        <v>0</v>
      </c>
      <c r="AC26" s="56"/>
      <c r="AD26" s="56">
        <v>0</v>
      </c>
      <c r="AE26" s="56"/>
      <c r="AF26" s="56">
        <f t="shared" si="0"/>
        <v>0</v>
      </c>
      <c r="AG26" s="56">
        <v>0</v>
      </c>
      <c r="AH26" s="56">
        <v>0</v>
      </c>
      <c r="AI26" s="56"/>
      <c r="AJ26" s="56">
        <f t="shared" si="1"/>
        <v>0</v>
      </c>
      <c r="AK26" s="85"/>
      <c r="AL26" s="56">
        <v>0</v>
      </c>
      <c r="AM26" s="56"/>
      <c r="AN26" s="88">
        <v>20039.95</v>
      </c>
      <c r="AO26" s="88">
        <v>0</v>
      </c>
      <c r="AP26" s="88">
        <v>42325.86</v>
      </c>
      <c r="AQ26" s="56"/>
      <c r="AR26" s="56">
        <v>0</v>
      </c>
      <c r="AS26" s="56"/>
      <c r="AT26" s="56">
        <v>0</v>
      </c>
      <c r="AU26" s="56"/>
      <c r="AV26" s="56">
        <f t="shared" si="2"/>
        <v>42325.86</v>
      </c>
      <c r="AW26" s="56"/>
      <c r="AX26" s="56">
        <v>-1331</v>
      </c>
      <c r="AY26" s="56"/>
      <c r="AZ26" s="56">
        <v>43669</v>
      </c>
      <c r="BA26" s="56">
        <v>43669</v>
      </c>
      <c r="BB26" s="214"/>
      <c r="BC26" s="56"/>
      <c r="BD26" s="84">
        <f t="shared" si="3"/>
        <v>22285.91</v>
      </c>
      <c r="BE26" s="56"/>
      <c r="BF26" s="56"/>
      <c r="BG26" s="56"/>
      <c r="BH26" s="72"/>
    </row>
    <row r="27" spans="1:60" ht="20.100000000000001" customHeight="1" outlineLevel="1">
      <c r="A27" s="77" t="s">
        <v>43</v>
      </c>
      <c r="B27" s="77" t="s">
        <v>91</v>
      </c>
      <c r="C27" s="77" t="str">
        <f t="shared" si="5"/>
        <v>BL·</v>
      </c>
      <c r="D27" s="78" t="s">
        <v>46</v>
      </c>
      <c r="E27" s="90" t="str">
        <f t="shared" si="4"/>
        <v>000</v>
      </c>
      <c r="F27" s="3">
        <v>661065</v>
      </c>
      <c r="G27" s="102" t="s">
        <v>101</v>
      </c>
      <c r="H27" s="87"/>
      <c r="I27" s="13">
        <v>80144</v>
      </c>
      <c r="J27" s="13">
        <v>133118</v>
      </c>
      <c r="L27" s="56">
        <v>17098</v>
      </c>
      <c r="M27" s="56"/>
      <c r="N27" s="56">
        <v>130000</v>
      </c>
      <c r="O27" s="56"/>
      <c r="P27" s="56">
        <v>133565</v>
      </c>
      <c r="Q27" s="56"/>
      <c r="R27" s="56">
        <v>133565</v>
      </c>
      <c r="S27" s="56"/>
      <c r="T27" s="56">
        <v>0</v>
      </c>
      <c r="U27" s="56"/>
      <c r="V27" s="56">
        <v>133565</v>
      </c>
      <c r="W27" s="56"/>
      <c r="X27" s="56">
        <v>61711.19</v>
      </c>
      <c r="Y27" s="56"/>
      <c r="Z27" s="56">
        <v>130000</v>
      </c>
      <c r="AA27" s="56"/>
      <c r="AB27" s="56">
        <v>0</v>
      </c>
      <c r="AC27" s="56"/>
      <c r="AD27" s="56"/>
      <c r="AE27" s="56"/>
      <c r="AF27" s="56">
        <f t="shared" si="0"/>
        <v>130000</v>
      </c>
      <c r="AG27" s="56">
        <v>0</v>
      </c>
      <c r="AH27" s="56">
        <v>0</v>
      </c>
      <c r="AI27" s="56"/>
      <c r="AJ27" s="56">
        <f t="shared" si="1"/>
        <v>130000</v>
      </c>
      <c r="AK27" s="85"/>
      <c r="AL27" s="56">
        <v>0</v>
      </c>
      <c r="AM27" s="56"/>
      <c r="AN27" s="88">
        <v>118733.42</v>
      </c>
      <c r="AO27" s="88">
        <v>0</v>
      </c>
      <c r="AP27" s="88">
        <f>34235.89+110.91</f>
        <v>34346.800000000003</v>
      </c>
      <c r="AQ27" s="56"/>
      <c r="AR27" s="56">
        <v>0</v>
      </c>
      <c r="AS27" s="56"/>
      <c r="AT27" s="56">
        <v>0</v>
      </c>
      <c r="AU27" s="56"/>
      <c r="AV27" s="56">
        <f t="shared" si="2"/>
        <v>34346.800000000003</v>
      </c>
      <c r="AW27" s="56"/>
      <c r="AX27" s="56">
        <v>0</v>
      </c>
      <c r="AY27" s="56"/>
      <c r="AZ27" s="56">
        <v>80000</v>
      </c>
      <c r="BA27" s="56">
        <v>80000</v>
      </c>
      <c r="BB27" s="214"/>
      <c r="BC27" s="56"/>
      <c r="BD27" s="84">
        <f t="shared" si="3"/>
        <v>-84386.62</v>
      </c>
      <c r="BE27" s="56"/>
      <c r="BF27" s="56"/>
      <c r="BG27" s="56"/>
      <c r="BH27" s="72"/>
    </row>
    <row r="28" spans="1:60" ht="20.100000000000001" customHeight="1" outlineLevel="1">
      <c r="A28" s="77" t="s">
        <v>43</v>
      </c>
      <c r="B28" s="77" t="s">
        <v>91</v>
      </c>
      <c r="C28" s="77" t="str">
        <f t="shared" si="5"/>
        <v>BL·</v>
      </c>
      <c r="D28" s="78" t="s">
        <v>46</v>
      </c>
      <c r="E28" s="90" t="str">
        <f t="shared" si="4"/>
        <v>000</v>
      </c>
      <c r="F28" s="3">
        <v>661066</v>
      </c>
      <c r="G28" s="102" t="s">
        <v>102</v>
      </c>
      <c r="H28" s="87"/>
      <c r="I28" s="13">
        <v>283196</v>
      </c>
      <c r="J28" s="13">
        <v>306174</v>
      </c>
      <c r="L28" s="56">
        <v>541657</v>
      </c>
      <c r="M28" s="56"/>
      <c r="N28" s="56">
        <v>333000</v>
      </c>
      <c r="O28" s="56"/>
      <c r="P28" s="56">
        <v>333634</v>
      </c>
      <c r="Q28" s="56"/>
      <c r="R28" s="56">
        <v>333634</v>
      </c>
      <c r="S28" s="56"/>
      <c r="T28" s="56">
        <v>0</v>
      </c>
      <c r="U28" s="56"/>
      <c r="V28" s="56">
        <v>333634</v>
      </c>
      <c r="W28" s="56"/>
      <c r="X28" s="56">
        <f>544427.36+8869.24</f>
        <v>553296.6</v>
      </c>
      <c r="Y28" s="56"/>
      <c r="Z28" s="56">
        <v>400000</v>
      </c>
      <c r="AA28" s="56"/>
      <c r="AB28" s="56">
        <v>0</v>
      </c>
      <c r="AC28" s="56"/>
      <c r="AD28" s="56">
        <v>813.96</v>
      </c>
      <c r="AE28" s="56"/>
      <c r="AF28" s="56">
        <f t="shared" si="0"/>
        <v>400813.96</v>
      </c>
      <c r="AG28" s="56">
        <v>0</v>
      </c>
      <c r="AH28" s="56">
        <v>0</v>
      </c>
      <c r="AI28" s="56"/>
      <c r="AJ28" s="56">
        <f t="shared" si="1"/>
        <v>400813.96</v>
      </c>
      <c r="AK28" s="85"/>
      <c r="AL28" s="56">
        <v>0</v>
      </c>
      <c r="AM28" s="56"/>
      <c r="AN28" s="88">
        <v>500664.23</v>
      </c>
      <c r="AO28" s="88">
        <v>0</v>
      </c>
      <c r="AP28" s="88">
        <v>522402.92</v>
      </c>
      <c r="AQ28" s="56"/>
      <c r="AR28" s="56">
        <v>0</v>
      </c>
      <c r="AS28" s="56"/>
      <c r="AT28" s="56">
        <v>0</v>
      </c>
      <c r="AU28" s="56"/>
      <c r="AV28" s="56">
        <f t="shared" si="2"/>
        <v>522402.92</v>
      </c>
      <c r="AW28" s="56"/>
      <c r="AX28" s="56">
        <v>0</v>
      </c>
      <c r="AY28" s="56"/>
      <c r="AZ28" s="56">
        <v>450000</v>
      </c>
      <c r="BA28" s="56">
        <v>450000</v>
      </c>
      <c r="BB28" s="214"/>
      <c r="BC28" s="56"/>
      <c r="BD28" s="84">
        <f t="shared" si="3"/>
        <v>21738.690000000002</v>
      </c>
      <c r="BE28" s="56"/>
      <c r="BF28" s="56"/>
      <c r="BG28" s="56"/>
      <c r="BH28" s="72"/>
    </row>
    <row r="29" spans="1:60" ht="20.100000000000001" customHeight="1" outlineLevel="1">
      <c r="A29" s="77" t="s">
        <v>43</v>
      </c>
      <c r="B29" s="77" t="s">
        <v>91</v>
      </c>
      <c r="C29" s="77" t="str">
        <f t="shared" si="5"/>
        <v>BL·</v>
      </c>
      <c r="D29" s="78" t="s">
        <v>46</v>
      </c>
      <c r="E29" s="90" t="str">
        <f t="shared" si="4"/>
        <v>000</v>
      </c>
      <c r="F29" s="3">
        <v>661067</v>
      </c>
      <c r="G29" s="102" t="s">
        <v>103</v>
      </c>
      <c r="H29" s="87"/>
      <c r="I29" s="13">
        <v>415568</v>
      </c>
      <c r="J29" s="13">
        <v>277173</v>
      </c>
      <c r="L29" s="56">
        <v>291427</v>
      </c>
      <c r="M29" s="56"/>
      <c r="N29" s="56">
        <v>300000</v>
      </c>
      <c r="O29" s="56"/>
      <c r="P29" s="56">
        <v>300191</v>
      </c>
      <c r="Q29" s="56"/>
      <c r="R29" s="56">
        <v>350191</v>
      </c>
      <c r="S29" s="56"/>
      <c r="T29" s="56">
        <v>0</v>
      </c>
      <c r="U29" s="56"/>
      <c r="V29" s="56">
        <v>350191</v>
      </c>
      <c r="W29" s="56"/>
      <c r="X29" s="56">
        <v>256029.16</v>
      </c>
      <c r="Y29" s="56"/>
      <c r="Z29" s="56">
        <v>350000</v>
      </c>
      <c r="AA29" s="56"/>
      <c r="AB29" s="56">
        <v>0</v>
      </c>
      <c r="AC29" s="56"/>
      <c r="AD29" s="56"/>
      <c r="AE29" s="56"/>
      <c r="AF29" s="56">
        <f t="shared" si="0"/>
        <v>350000</v>
      </c>
      <c r="AG29" s="56">
        <v>0</v>
      </c>
      <c r="AH29" s="56">
        <v>0</v>
      </c>
      <c r="AI29" s="56"/>
      <c r="AJ29" s="56">
        <f t="shared" si="1"/>
        <v>350000</v>
      </c>
      <c r="AK29" s="85"/>
      <c r="AL29" s="56">
        <v>0</v>
      </c>
      <c r="AM29" s="56"/>
      <c r="AN29" s="88">
        <v>231989.72</v>
      </c>
      <c r="AO29" s="88">
        <v>0</v>
      </c>
      <c r="AP29" s="88">
        <v>413792.39</v>
      </c>
      <c r="AQ29" s="56"/>
      <c r="AR29" s="56">
        <v>0</v>
      </c>
      <c r="AS29" s="56"/>
      <c r="AT29" s="56">
        <v>0</v>
      </c>
      <c r="AU29" s="56"/>
      <c r="AV29" s="56">
        <f t="shared" si="2"/>
        <v>413792.39</v>
      </c>
      <c r="AW29" s="56"/>
      <c r="AX29" s="56">
        <v>0</v>
      </c>
      <c r="AY29" s="56"/>
      <c r="AZ29" s="56">
        <v>200000</v>
      </c>
      <c r="BA29" s="56">
        <v>286999</v>
      </c>
      <c r="BB29" s="214"/>
      <c r="BC29" s="56"/>
      <c r="BD29" s="84">
        <f t="shared" si="3"/>
        <v>181802.67</v>
      </c>
      <c r="BE29" s="56"/>
      <c r="BF29" s="56"/>
      <c r="BG29" s="56"/>
      <c r="BH29" s="72"/>
    </row>
    <row r="30" spans="1:60" ht="20.100000000000001" customHeight="1" outlineLevel="1">
      <c r="A30" s="77" t="s">
        <v>43</v>
      </c>
      <c r="B30" s="77" t="s">
        <v>91</v>
      </c>
      <c r="C30" s="77" t="str">
        <f t="shared" si="5"/>
        <v>BL·</v>
      </c>
      <c r="D30" s="78" t="s">
        <v>46</v>
      </c>
      <c r="E30" s="90" t="str">
        <f t="shared" si="4"/>
        <v>000</v>
      </c>
      <c r="F30" s="3">
        <v>661068</v>
      </c>
      <c r="G30" s="102" t="s">
        <v>104</v>
      </c>
      <c r="H30" s="87"/>
      <c r="I30" s="13">
        <v>114382</v>
      </c>
      <c r="J30" s="13">
        <v>110409</v>
      </c>
      <c r="L30" s="56">
        <v>141259</v>
      </c>
      <c r="M30" s="56"/>
      <c r="N30" s="56">
        <v>300000</v>
      </c>
      <c r="O30" s="56"/>
      <c r="P30" s="56">
        <v>300000</v>
      </c>
      <c r="Q30" s="56"/>
      <c r="R30" s="56">
        <v>330000</v>
      </c>
      <c r="S30" s="56"/>
      <c r="T30" s="56">
        <v>0</v>
      </c>
      <c r="U30" s="56"/>
      <c r="V30" s="56">
        <v>330000</v>
      </c>
      <c r="W30" s="56"/>
      <c r="X30" s="56">
        <v>151428.04999999999</v>
      </c>
      <c r="Y30" s="56"/>
      <c r="Z30" s="56">
        <v>330000</v>
      </c>
      <c r="AA30" s="56"/>
      <c r="AB30" s="56">
        <v>0</v>
      </c>
      <c r="AC30" s="56"/>
      <c r="AD30" s="56"/>
      <c r="AE30" s="56"/>
      <c r="AF30" s="56">
        <f t="shared" si="0"/>
        <v>330000</v>
      </c>
      <c r="AG30" s="56">
        <v>0</v>
      </c>
      <c r="AH30" s="56">
        <v>0</v>
      </c>
      <c r="AI30" s="56"/>
      <c r="AJ30" s="56">
        <f t="shared" si="1"/>
        <v>330000</v>
      </c>
      <c r="AK30" s="85"/>
      <c r="AL30" s="56">
        <v>0</v>
      </c>
      <c r="AM30" s="56"/>
      <c r="AN30" s="88">
        <v>123435.4</v>
      </c>
      <c r="AO30" s="88">
        <v>0</v>
      </c>
      <c r="AP30" s="88">
        <v>99074.96</v>
      </c>
      <c r="AQ30" s="56"/>
      <c r="AR30" s="56">
        <v>0</v>
      </c>
      <c r="AS30" s="56"/>
      <c r="AT30" s="56">
        <v>0</v>
      </c>
      <c r="AU30" s="56"/>
      <c r="AV30" s="56">
        <f t="shared" si="2"/>
        <v>99074.96</v>
      </c>
      <c r="AW30" s="56"/>
      <c r="AX30" s="56">
        <v>0</v>
      </c>
      <c r="AY30" s="56"/>
      <c r="AZ30" s="56">
        <v>200000</v>
      </c>
      <c r="BA30" s="56">
        <v>200000</v>
      </c>
      <c r="BB30" s="214"/>
      <c r="BC30" s="56"/>
      <c r="BD30" s="84">
        <f t="shared" si="3"/>
        <v>-24360.439999999988</v>
      </c>
      <c r="BE30" s="56"/>
      <c r="BF30" s="56"/>
      <c r="BG30" s="56"/>
      <c r="BH30" s="72"/>
    </row>
    <row r="31" spans="1:60" ht="20.100000000000001" customHeight="1" outlineLevel="1">
      <c r="A31" s="77" t="s">
        <v>43</v>
      </c>
      <c r="B31" s="77" t="s">
        <v>91</v>
      </c>
      <c r="C31" s="77" t="str">
        <f t="shared" si="5"/>
        <v>BL·</v>
      </c>
      <c r="D31" s="78" t="s">
        <v>46</v>
      </c>
      <c r="E31" s="90" t="str">
        <f t="shared" si="4"/>
        <v>000</v>
      </c>
      <c r="F31" s="3">
        <v>661069</v>
      </c>
      <c r="G31" s="102" t="s">
        <v>105</v>
      </c>
      <c r="H31" s="87"/>
      <c r="I31" s="13">
        <v>39262</v>
      </c>
      <c r="J31" s="13">
        <v>29169</v>
      </c>
      <c r="L31" s="56">
        <v>44585</v>
      </c>
      <c r="M31" s="56"/>
      <c r="N31" s="56">
        <v>37000</v>
      </c>
      <c r="O31" s="56"/>
      <c r="P31" s="56">
        <v>37300</v>
      </c>
      <c r="Q31" s="56"/>
      <c r="R31" s="56">
        <v>37300</v>
      </c>
      <c r="S31" s="56"/>
      <c r="T31" s="56">
        <v>0</v>
      </c>
      <c r="U31" s="56"/>
      <c r="V31" s="56">
        <v>37300</v>
      </c>
      <c r="W31" s="56"/>
      <c r="X31" s="56">
        <v>55575.93</v>
      </c>
      <c r="Y31" s="56"/>
      <c r="Z31" s="56">
        <v>37000</v>
      </c>
      <c r="AA31" s="56"/>
      <c r="AB31" s="56">
        <v>0</v>
      </c>
      <c r="AC31" s="56"/>
      <c r="AD31" s="56"/>
      <c r="AE31" s="56"/>
      <c r="AF31" s="56">
        <f t="shared" si="0"/>
        <v>37000</v>
      </c>
      <c r="AG31" s="56">
        <v>0</v>
      </c>
      <c r="AH31" s="56">
        <v>0</v>
      </c>
      <c r="AI31" s="56"/>
      <c r="AJ31" s="56">
        <f t="shared" si="1"/>
        <v>37000</v>
      </c>
      <c r="AK31" s="85"/>
      <c r="AL31" s="56">
        <v>0</v>
      </c>
      <c r="AM31" s="56"/>
      <c r="AN31" s="88">
        <v>51776.14</v>
      </c>
      <c r="AO31" s="88">
        <v>0</v>
      </c>
      <c r="AP31" s="88">
        <v>44710.29</v>
      </c>
      <c r="AQ31" s="56"/>
      <c r="AR31" s="56">
        <v>0</v>
      </c>
      <c r="AS31" s="56"/>
      <c r="AT31" s="56">
        <v>0</v>
      </c>
      <c r="AU31" s="56"/>
      <c r="AV31" s="56">
        <f t="shared" si="2"/>
        <v>44710.29</v>
      </c>
      <c r="AW31" s="56"/>
      <c r="AX31" s="56">
        <v>0</v>
      </c>
      <c r="AY31" s="56"/>
      <c r="AZ31" s="56">
        <v>40000</v>
      </c>
      <c r="BA31" s="56">
        <v>40000</v>
      </c>
      <c r="BB31" s="214"/>
      <c r="BC31" s="56"/>
      <c r="BD31" s="84">
        <f t="shared" si="3"/>
        <v>-7065.8499999999985</v>
      </c>
      <c r="BE31" s="56"/>
      <c r="BF31" s="56"/>
      <c r="BG31" s="56"/>
      <c r="BH31" s="72"/>
    </row>
    <row r="32" spans="1:60" ht="20.100000000000001" customHeight="1" outlineLevel="1">
      <c r="A32" s="77" t="s">
        <v>43</v>
      </c>
      <c r="B32" s="77" t="s">
        <v>91</v>
      </c>
      <c r="C32" s="77" t="str">
        <f t="shared" si="5"/>
        <v>BL·</v>
      </c>
      <c r="D32" s="78" t="s">
        <v>46</v>
      </c>
      <c r="E32" s="90" t="str">
        <f t="shared" si="4"/>
        <v>000</v>
      </c>
      <c r="F32" s="3">
        <v>661071</v>
      </c>
      <c r="G32" s="102" t="s">
        <v>106</v>
      </c>
      <c r="H32" s="87"/>
      <c r="I32" s="13">
        <v>69736</v>
      </c>
      <c r="J32" s="13">
        <v>47357</v>
      </c>
      <c r="L32" s="56">
        <v>17442</v>
      </c>
      <c r="M32" s="56"/>
      <c r="N32" s="56">
        <v>50000</v>
      </c>
      <c r="O32" s="56"/>
      <c r="P32" s="56">
        <v>51330</v>
      </c>
      <c r="Q32" s="56"/>
      <c r="R32" s="56">
        <v>51330</v>
      </c>
      <c r="S32" s="56"/>
      <c r="T32" s="56">
        <v>0</v>
      </c>
      <c r="U32" s="56"/>
      <c r="V32" s="56">
        <v>51330</v>
      </c>
      <c r="W32" s="56"/>
      <c r="X32" s="56">
        <v>21769.35</v>
      </c>
      <c r="Y32" s="56"/>
      <c r="Z32" s="56">
        <v>50000</v>
      </c>
      <c r="AA32" s="56"/>
      <c r="AB32" s="56">
        <v>0</v>
      </c>
      <c r="AC32" s="56"/>
      <c r="AD32" s="56"/>
      <c r="AE32" s="56"/>
      <c r="AF32" s="56">
        <f t="shared" si="0"/>
        <v>50000</v>
      </c>
      <c r="AG32" s="56">
        <v>0</v>
      </c>
      <c r="AH32" s="56">
        <v>0</v>
      </c>
      <c r="AI32" s="56"/>
      <c r="AJ32" s="56">
        <f t="shared" si="1"/>
        <v>50000</v>
      </c>
      <c r="AK32" s="85"/>
      <c r="AL32" s="56">
        <v>0</v>
      </c>
      <c r="AM32" s="56"/>
      <c r="AN32" s="88">
        <v>47464.639999999999</v>
      </c>
      <c r="AO32" s="88">
        <v>0</v>
      </c>
      <c r="AP32" s="88">
        <v>38273.15</v>
      </c>
      <c r="AQ32" s="56"/>
      <c r="AR32" s="56">
        <v>0</v>
      </c>
      <c r="AS32" s="56"/>
      <c r="AT32" s="56">
        <v>0</v>
      </c>
      <c r="AU32" s="56"/>
      <c r="AV32" s="56">
        <f t="shared" si="2"/>
        <v>38273.15</v>
      </c>
      <c r="AW32" s="56"/>
      <c r="AX32" s="56">
        <v>0</v>
      </c>
      <c r="AY32" s="56"/>
      <c r="AZ32" s="56">
        <v>50000</v>
      </c>
      <c r="BA32" s="56">
        <v>50000</v>
      </c>
      <c r="BB32" s="214"/>
      <c r="BC32" s="56"/>
      <c r="BD32" s="84">
        <f t="shared" si="3"/>
        <v>-9191.489999999998</v>
      </c>
      <c r="BE32" s="56"/>
      <c r="BF32" s="56"/>
      <c r="BG32" s="56"/>
      <c r="BH32" s="72"/>
    </row>
    <row r="33" spans="1:60" ht="20.100000000000001" customHeight="1" outlineLevel="1">
      <c r="A33" s="77" t="s">
        <v>43</v>
      </c>
      <c r="B33" s="77" t="s">
        <v>91</v>
      </c>
      <c r="C33" s="77" t="str">
        <f t="shared" si="5"/>
        <v>BL·</v>
      </c>
      <c r="D33" s="78" t="s">
        <v>46</v>
      </c>
      <c r="E33" s="90" t="str">
        <f t="shared" si="4"/>
        <v>000</v>
      </c>
      <c r="F33" s="3">
        <v>661072</v>
      </c>
      <c r="G33" s="102" t="s">
        <v>107</v>
      </c>
      <c r="H33" s="87"/>
      <c r="I33" s="13">
        <v>135180</v>
      </c>
      <c r="J33" s="13">
        <v>154679</v>
      </c>
      <c r="L33" s="56">
        <v>149328</v>
      </c>
      <c r="M33" s="56"/>
      <c r="N33" s="56">
        <v>125000</v>
      </c>
      <c r="O33" s="56"/>
      <c r="P33" s="56">
        <v>125872</v>
      </c>
      <c r="Q33" s="56"/>
      <c r="R33" s="56">
        <v>125872</v>
      </c>
      <c r="S33" s="56"/>
      <c r="T33" s="56">
        <v>0</v>
      </c>
      <c r="U33" s="56"/>
      <c r="V33" s="56">
        <v>125872</v>
      </c>
      <c r="W33" s="56"/>
      <c r="X33" s="56">
        <v>226394.78</v>
      </c>
      <c r="Y33" s="56"/>
      <c r="Z33" s="56">
        <v>165000</v>
      </c>
      <c r="AA33" s="56"/>
      <c r="AB33" s="56">
        <v>0</v>
      </c>
      <c r="AC33" s="56"/>
      <c r="AD33" s="56">
        <v>53.87</v>
      </c>
      <c r="AE33" s="56"/>
      <c r="AF33" s="56">
        <f t="shared" si="0"/>
        <v>165053.87</v>
      </c>
      <c r="AG33" s="56">
        <v>0</v>
      </c>
      <c r="AH33" s="56">
        <v>0</v>
      </c>
      <c r="AI33" s="56"/>
      <c r="AJ33" s="56">
        <f t="shared" si="1"/>
        <v>165053.87</v>
      </c>
      <c r="AK33" s="85"/>
      <c r="AL33" s="56">
        <v>0</v>
      </c>
      <c r="AM33" s="56"/>
      <c r="AN33" s="88">
        <v>244153.26</v>
      </c>
      <c r="AO33" s="88">
        <v>0</v>
      </c>
      <c r="AP33" s="88">
        <v>200323.02</v>
      </c>
      <c r="AQ33" s="56"/>
      <c r="AR33" s="56">
        <v>0</v>
      </c>
      <c r="AS33" s="56"/>
      <c r="AT33" s="56">
        <v>0</v>
      </c>
      <c r="AU33" s="56"/>
      <c r="AV33" s="56">
        <f t="shared" si="2"/>
        <v>200323.02</v>
      </c>
      <c r="AW33" s="56"/>
      <c r="AX33" s="56">
        <v>0</v>
      </c>
      <c r="AY33" s="56"/>
      <c r="AZ33" s="56">
        <v>165000</v>
      </c>
      <c r="BA33" s="56">
        <v>165014</v>
      </c>
      <c r="BB33" s="214"/>
      <c r="BC33" s="56"/>
      <c r="BD33" s="84">
        <f t="shared" si="3"/>
        <v>-43830.24000000002</v>
      </c>
      <c r="BE33" s="56"/>
      <c r="BF33" s="56"/>
      <c r="BG33" s="56"/>
      <c r="BH33" s="72"/>
    </row>
    <row r="34" spans="1:60" ht="20.100000000000001" customHeight="1" outlineLevel="1">
      <c r="A34" s="77" t="s">
        <v>43</v>
      </c>
      <c r="B34" s="77" t="s">
        <v>91</v>
      </c>
      <c r="C34" s="77" t="str">
        <f t="shared" si="5"/>
        <v>BL·</v>
      </c>
      <c r="D34" s="78" t="s">
        <v>46</v>
      </c>
      <c r="E34" s="90" t="str">
        <f t="shared" si="4"/>
        <v>000</v>
      </c>
      <c r="F34" s="3">
        <v>661073</v>
      </c>
      <c r="G34" s="102" t="s">
        <v>108</v>
      </c>
      <c r="H34" s="87"/>
      <c r="I34" s="13">
        <v>213841</v>
      </c>
      <c r="J34" s="13">
        <v>190239</v>
      </c>
      <c r="L34" s="56">
        <v>345207</v>
      </c>
      <c r="M34" s="56"/>
      <c r="N34" s="56">
        <v>230000</v>
      </c>
      <c r="O34" s="56"/>
      <c r="P34" s="56">
        <v>230667</v>
      </c>
      <c r="Q34" s="56"/>
      <c r="R34" s="56">
        <v>230667</v>
      </c>
      <c r="S34" s="56"/>
      <c r="T34" s="56">
        <v>0</v>
      </c>
      <c r="U34" s="56"/>
      <c r="V34" s="56">
        <v>230667</v>
      </c>
      <c r="W34" s="56"/>
      <c r="X34" s="56">
        <v>237605.95</v>
      </c>
      <c r="Y34" s="56"/>
      <c r="Z34" s="56">
        <v>230000</v>
      </c>
      <c r="AA34" s="56"/>
      <c r="AB34" s="56">
        <v>0</v>
      </c>
      <c r="AC34" s="56"/>
      <c r="AD34" s="56">
        <v>12</v>
      </c>
      <c r="AE34" s="56"/>
      <c r="AF34" s="56">
        <f t="shared" si="0"/>
        <v>230012</v>
      </c>
      <c r="AG34" s="56">
        <v>0</v>
      </c>
      <c r="AH34" s="56">
        <v>0</v>
      </c>
      <c r="AI34" s="56"/>
      <c r="AJ34" s="56">
        <f t="shared" si="1"/>
        <v>230012</v>
      </c>
      <c r="AK34" s="85"/>
      <c r="AL34" s="56">
        <v>0</v>
      </c>
      <c r="AM34" s="56"/>
      <c r="AN34" s="88">
        <v>370662.15</v>
      </c>
      <c r="AO34" s="88">
        <v>0</v>
      </c>
      <c r="AP34" s="88">
        <v>199731.98</v>
      </c>
      <c r="AQ34" s="56"/>
      <c r="AR34" s="56">
        <v>0</v>
      </c>
      <c r="AS34" s="56"/>
      <c r="AT34" s="56">
        <v>0</v>
      </c>
      <c r="AU34" s="56"/>
      <c r="AV34" s="56">
        <f t="shared" si="2"/>
        <v>199731.98</v>
      </c>
      <c r="AW34" s="56"/>
      <c r="AX34" s="56">
        <v>0</v>
      </c>
      <c r="AY34" s="56"/>
      <c r="AZ34" s="56">
        <v>250000</v>
      </c>
      <c r="BA34" s="56">
        <v>250000</v>
      </c>
      <c r="BB34" s="214"/>
      <c r="BC34" s="56"/>
      <c r="BD34" s="84">
        <f t="shared" si="3"/>
        <v>-170930.17</v>
      </c>
      <c r="BE34" s="56"/>
      <c r="BF34" s="56"/>
      <c r="BG34" s="56"/>
      <c r="BH34" s="72"/>
    </row>
    <row r="35" spans="1:60" ht="20.100000000000001" customHeight="1" outlineLevel="1">
      <c r="A35" s="77" t="s">
        <v>43</v>
      </c>
      <c r="B35" s="77" t="s">
        <v>91</v>
      </c>
      <c r="C35" s="77" t="str">
        <f t="shared" si="5"/>
        <v>BL·</v>
      </c>
      <c r="D35" s="78" t="s">
        <v>46</v>
      </c>
      <c r="E35" s="90" t="str">
        <f t="shared" si="4"/>
        <v>000</v>
      </c>
      <c r="F35" s="3">
        <v>661074</v>
      </c>
      <c r="G35" s="102" t="s">
        <v>109</v>
      </c>
      <c r="H35" s="87"/>
      <c r="I35" s="13">
        <v>475618</v>
      </c>
      <c r="J35" s="13">
        <v>452387</v>
      </c>
      <c r="L35" s="56">
        <v>516995</v>
      </c>
      <c r="M35" s="56"/>
      <c r="N35" s="56">
        <v>500000</v>
      </c>
      <c r="O35" s="56"/>
      <c r="P35" s="56">
        <v>508605</v>
      </c>
      <c r="Q35" s="56"/>
      <c r="R35" s="56">
        <v>508605</v>
      </c>
      <c r="S35" s="56"/>
      <c r="T35" s="56">
        <v>0</v>
      </c>
      <c r="U35" s="56"/>
      <c r="V35" s="56">
        <v>508605</v>
      </c>
      <c r="W35" s="56"/>
      <c r="X35" s="56">
        <v>532202.88</v>
      </c>
      <c r="Y35" s="56"/>
      <c r="Z35" s="56">
        <v>500000</v>
      </c>
      <c r="AA35" s="56"/>
      <c r="AB35" s="56">
        <v>0</v>
      </c>
      <c r="AC35" s="56"/>
      <c r="AD35" s="56">
        <v>26.88</v>
      </c>
      <c r="AE35" s="56"/>
      <c r="AF35" s="56">
        <f t="shared" si="0"/>
        <v>500026.88</v>
      </c>
      <c r="AG35" s="56">
        <v>0</v>
      </c>
      <c r="AH35" s="56">
        <v>0</v>
      </c>
      <c r="AI35" s="56"/>
      <c r="AJ35" s="56">
        <f t="shared" si="1"/>
        <v>500026.88</v>
      </c>
      <c r="AK35" s="85"/>
      <c r="AL35" s="56">
        <v>0</v>
      </c>
      <c r="AM35" s="56"/>
      <c r="AN35" s="88">
        <v>583725.77</v>
      </c>
      <c r="AO35" s="88">
        <v>0</v>
      </c>
      <c r="AP35" s="88">
        <v>669139.55000000005</v>
      </c>
      <c r="AQ35" s="56"/>
      <c r="AR35" s="56">
        <v>0</v>
      </c>
      <c r="AS35" s="56"/>
      <c r="AT35" s="56">
        <v>0</v>
      </c>
      <c r="AU35" s="56"/>
      <c r="AV35" s="56">
        <f t="shared" si="2"/>
        <v>669139.55000000005</v>
      </c>
      <c r="AW35" s="56"/>
      <c r="AX35" s="56">
        <v>0</v>
      </c>
      <c r="AY35" s="56"/>
      <c r="AZ35" s="56">
        <v>600000</v>
      </c>
      <c r="BA35" s="56">
        <v>614842</v>
      </c>
      <c r="BB35" s="214"/>
      <c r="BC35" s="56"/>
      <c r="BD35" s="84">
        <f t="shared" si="3"/>
        <v>85413.780000000028</v>
      </c>
      <c r="BE35" s="56"/>
      <c r="BF35" s="56"/>
      <c r="BG35" s="56"/>
      <c r="BH35" s="72"/>
    </row>
    <row r="36" spans="1:60" ht="20.100000000000001" customHeight="1" outlineLevel="1">
      <c r="A36" s="77" t="s">
        <v>43</v>
      </c>
      <c r="B36" s="77" t="s">
        <v>91</v>
      </c>
      <c r="C36" s="77" t="str">
        <f t="shared" si="5"/>
        <v>BL·</v>
      </c>
      <c r="D36" s="78" t="s">
        <v>46</v>
      </c>
      <c r="E36" s="90" t="str">
        <f t="shared" si="4"/>
        <v>000</v>
      </c>
      <c r="F36" s="3">
        <v>661075</v>
      </c>
      <c r="G36" s="102" t="s">
        <v>110</v>
      </c>
      <c r="H36" s="87"/>
      <c r="I36" s="13">
        <v>50352</v>
      </c>
      <c r="J36" s="13">
        <v>62348</v>
      </c>
      <c r="L36" s="56">
        <v>60258</v>
      </c>
      <c r="M36" s="56"/>
      <c r="N36" s="56">
        <v>61000</v>
      </c>
      <c r="O36" s="56"/>
      <c r="P36" s="56">
        <v>62015</v>
      </c>
      <c r="Q36" s="56"/>
      <c r="R36" s="56">
        <v>62015</v>
      </c>
      <c r="S36" s="56"/>
      <c r="T36" s="56">
        <v>0</v>
      </c>
      <c r="U36" s="56"/>
      <c r="V36" s="56">
        <v>62015</v>
      </c>
      <c r="W36" s="56"/>
      <c r="X36" s="56">
        <v>71480.479999999996</v>
      </c>
      <c r="Y36" s="56"/>
      <c r="Z36" s="56">
        <v>62000</v>
      </c>
      <c r="AA36" s="56"/>
      <c r="AB36" s="56">
        <v>0</v>
      </c>
      <c r="AC36" s="56"/>
      <c r="AD36" s="56"/>
      <c r="AE36" s="56"/>
      <c r="AF36" s="56">
        <f t="shared" si="0"/>
        <v>62000</v>
      </c>
      <c r="AG36" s="56">
        <v>0</v>
      </c>
      <c r="AH36" s="56">
        <v>0</v>
      </c>
      <c r="AI36" s="56"/>
      <c r="AJ36" s="56">
        <f t="shared" si="1"/>
        <v>62000</v>
      </c>
      <c r="AK36" s="85"/>
      <c r="AL36" s="56">
        <v>0</v>
      </c>
      <c r="AM36" s="56"/>
      <c r="AN36" s="88">
        <v>45647.519999999997</v>
      </c>
      <c r="AO36" s="88">
        <v>0</v>
      </c>
      <c r="AP36" s="88">
        <v>44425.04</v>
      </c>
      <c r="AQ36" s="56"/>
      <c r="AR36" s="56">
        <v>0</v>
      </c>
      <c r="AS36" s="56"/>
      <c r="AT36" s="56">
        <v>0</v>
      </c>
      <c r="AU36" s="56"/>
      <c r="AV36" s="56">
        <f t="shared" si="2"/>
        <v>44425.04</v>
      </c>
      <c r="AW36" s="56"/>
      <c r="AX36" s="56">
        <v>0</v>
      </c>
      <c r="AY36" s="56"/>
      <c r="AZ36" s="56">
        <v>62000</v>
      </c>
      <c r="BA36" s="56">
        <v>62000</v>
      </c>
      <c r="BB36" s="214"/>
      <c r="BC36" s="56"/>
      <c r="BD36" s="84">
        <f t="shared" si="3"/>
        <v>-1222.4799999999959</v>
      </c>
      <c r="BE36" s="56"/>
      <c r="BF36" s="56"/>
      <c r="BG36" s="56"/>
      <c r="BH36" s="72"/>
    </row>
    <row r="37" spans="1:60" ht="20.100000000000001" customHeight="1" outlineLevel="1">
      <c r="A37" s="77" t="s">
        <v>43</v>
      </c>
      <c r="B37" s="77" t="s">
        <v>91</v>
      </c>
      <c r="C37" s="77" t="str">
        <f t="shared" si="5"/>
        <v>BL·</v>
      </c>
      <c r="D37" s="78" t="s">
        <v>46</v>
      </c>
      <c r="E37" s="90" t="str">
        <f t="shared" si="4"/>
        <v>000</v>
      </c>
      <c r="F37" s="3">
        <v>661076</v>
      </c>
      <c r="G37" s="102" t="s">
        <v>111</v>
      </c>
      <c r="H37" s="87"/>
      <c r="I37" s="13">
        <v>75114</v>
      </c>
      <c r="J37" s="13">
        <v>82031</v>
      </c>
      <c r="L37" s="56">
        <v>124055</v>
      </c>
      <c r="M37" s="56"/>
      <c r="N37" s="56">
        <v>150000</v>
      </c>
      <c r="O37" s="56"/>
      <c r="P37" s="56">
        <v>151152</v>
      </c>
      <c r="Q37" s="56"/>
      <c r="R37" s="56">
        <v>151152</v>
      </c>
      <c r="S37" s="56"/>
      <c r="T37" s="56">
        <v>0</v>
      </c>
      <c r="U37" s="56"/>
      <c r="V37" s="56">
        <v>151152</v>
      </c>
      <c r="W37" s="56"/>
      <c r="X37" s="56">
        <v>161629.41</v>
      </c>
      <c r="Y37" s="56"/>
      <c r="Z37" s="56">
        <v>151500</v>
      </c>
      <c r="AA37" s="56"/>
      <c r="AB37" s="56">
        <v>0</v>
      </c>
      <c r="AC37" s="56"/>
      <c r="AD37" s="56"/>
      <c r="AE37" s="56"/>
      <c r="AF37" s="56">
        <f t="shared" si="0"/>
        <v>151500</v>
      </c>
      <c r="AG37" s="56">
        <v>0</v>
      </c>
      <c r="AH37" s="56">
        <v>0</v>
      </c>
      <c r="AI37" s="56"/>
      <c r="AJ37" s="56">
        <f t="shared" si="1"/>
        <v>151500</v>
      </c>
      <c r="AK37" s="85"/>
      <c r="AL37" s="56">
        <v>0</v>
      </c>
      <c r="AM37" s="56"/>
      <c r="AN37" s="88">
        <v>166236.03</v>
      </c>
      <c r="AO37" s="88">
        <v>0</v>
      </c>
      <c r="AP37" s="88">
        <v>96888.23</v>
      </c>
      <c r="AQ37" s="56"/>
      <c r="AR37" s="56">
        <v>0</v>
      </c>
      <c r="AS37" s="56"/>
      <c r="AT37" s="56">
        <v>0</v>
      </c>
      <c r="AU37" s="56"/>
      <c r="AV37" s="56">
        <f t="shared" si="2"/>
        <v>96888.23</v>
      </c>
      <c r="AW37" s="56"/>
      <c r="AX37" s="56">
        <v>0</v>
      </c>
      <c r="AY37" s="56"/>
      <c r="AZ37" s="56">
        <v>151500</v>
      </c>
      <c r="BA37" s="56">
        <v>151500</v>
      </c>
      <c r="BB37" s="214"/>
      <c r="BC37" s="56"/>
      <c r="BD37" s="84">
        <f t="shared" si="3"/>
        <v>-69347.8</v>
      </c>
      <c r="BE37" s="56"/>
      <c r="BF37" s="56"/>
      <c r="BG37" s="56"/>
      <c r="BH37" s="72"/>
    </row>
    <row r="38" spans="1:60" ht="20.100000000000001" customHeight="1" outlineLevel="1">
      <c r="A38" s="77" t="s">
        <v>43</v>
      </c>
      <c r="B38" s="77" t="s">
        <v>91</v>
      </c>
      <c r="C38" s="77" t="str">
        <f t="shared" si="5"/>
        <v>BL·</v>
      </c>
      <c r="D38" s="78" t="s">
        <v>46</v>
      </c>
      <c r="E38" s="90" t="str">
        <f t="shared" si="4"/>
        <v>000</v>
      </c>
      <c r="F38" s="3">
        <v>661077</v>
      </c>
      <c r="G38" s="102" t="s">
        <v>112</v>
      </c>
      <c r="H38" s="87"/>
      <c r="I38" s="13"/>
      <c r="J38" s="13"/>
      <c r="L38" s="56">
        <v>0</v>
      </c>
      <c r="M38" s="56"/>
      <c r="N38" s="56"/>
      <c r="O38" s="56"/>
      <c r="P38" s="56"/>
      <c r="Q38" s="56"/>
      <c r="R38" s="56"/>
      <c r="S38" s="56"/>
      <c r="T38" s="56"/>
      <c r="U38" s="56"/>
      <c r="V38" s="56"/>
      <c r="W38" s="56"/>
      <c r="X38" s="56">
        <v>1913.02</v>
      </c>
      <c r="Y38" s="56"/>
      <c r="Z38" s="56">
        <v>0</v>
      </c>
      <c r="AA38" s="56"/>
      <c r="AB38" s="56"/>
      <c r="AC38" s="56"/>
      <c r="AD38" s="56"/>
      <c r="AE38" s="56"/>
      <c r="AF38" s="56">
        <v>0</v>
      </c>
      <c r="AG38" s="56">
        <v>0</v>
      </c>
      <c r="AH38" s="56">
        <v>0</v>
      </c>
      <c r="AI38" s="56"/>
      <c r="AJ38" s="56">
        <f t="shared" si="1"/>
        <v>0</v>
      </c>
      <c r="AK38" s="85"/>
      <c r="AL38" s="56">
        <v>0</v>
      </c>
      <c r="AM38" s="56"/>
      <c r="AN38" s="88">
        <f>SUM(AI38:AM38)</f>
        <v>0</v>
      </c>
      <c r="AO38" s="88">
        <v>0</v>
      </c>
      <c r="AP38" s="88">
        <v>80.66</v>
      </c>
      <c r="AQ38" s="56"/>
      <c r="AR38" s="56"/>
      <c r="AS38" s="56"/>
      <c r="AT38" s="56">
        <v>0</v>
      </c>
      <c r="AU38" s="56"/>
      <c r="AV38" s="56">
        <f t="shared" si="2"/>
        <v>80.66</v>
      </c>
      <c r="AW38" s="56"/>
      <c r="AX38" s="56">
        <v>0</v>
      </c>
      <c r="AY38" s="56"/>
      <c r="AZ38" s="56">
        <v>0</v>
      </c>
      <c r="BA38" s="56">
        <v>0</v>
      </c>
      <c r="BB38" s="214"/>
      <c r="BC38" s="56"/>
      <c r="BD38" s="84">
        <f t="shared" si="3"/>
        <v>80.66</v>
      </c>
      <c r="BE38" s="56"/>
      <c r="BF38" s="56"/>
      <c r="BG38" s="56"/>
      <c r="BH38" s="72"/>
    </row>
    <row r="39" spans="1:60" ht="20.100000000000001" customHeight="1" outlineLevel="1">
      <c r="A39" s="77" t="s">
        <v>43</v>
      </c>
      <c r="B39" s="77" t="s">
        <v>91</v>
      </c>
      <c r="C39" s="77" t="str">
        <f t="shared" si="5"/>
        <v>BL·</v>
      </c>
      <c r="D39" s="78" t="s">
        <v>46</v>
      </c>
      <c r="E39" s="90" t="str">
        <f t="shared" si="4"/>
        <v>000</v>
      </c>
      <c r="F39" s="3">
        <v>661078</v>
      </c>
      <c r="G39" s="102" t="s">
        <v>113</v>
      </c>
      <c r="H39" s="87"/>
      <c r="I39" s="13">
        <v>38321</v>
      </c>
      <c r="J39" s="13">
        <v>45239</v>
      </c>
      <c r="L39" s="56">
        <v>120133</v>
      </c>
      <c r="M39" s="56"/>
      <c r="N39" s="56">
        <v>100000</v>
      </c>
      <c r="O39" s="56"/>
      <c r="P39" s="56">
        <v>100000</v>
      </c>
      <c r="Q39" s="56"/>
      <c r="R39" s="56">
        <v>100000</v>
      </c>
      <c r="S39" s="56"/>
      <c r="T39" s="56">
        <v>0</v>
      </c>
      <c r="U39" s="56"/>
      <c r="V39" s="56">
        <v>100000</v>
      </c>
      <c r="W39" s="56"/>
      <c r="X39" s="56">
        <v>27352.560000000001</v>
      </c>
      <c r="Y39" s="56"/>
      <c r="Z39" s="56">
        <v>100000</v>
      </c>
      <c r="AA39" s="56"/>
      <c r="AB39" s="56">
        <v>0</v>
      </c>
      <c r="AC39" s="56"/>
      <c r="AD39" s="56"/>
      <c r="AE39" s="56"/>
      <c r="AF39" s="56">
        <f t="shared" ref="AF39:AF48" si="6">SUM(Z39:AE39)</f>
        <v>100000</v>
      </c>
      <c r="AG39" s="56">
        <v>0</v>
      </c>
      <c r="AH39" s="56">
        <v>0</v>
      </c>
      <c r="AI39" s="56"/>
      <c r="AJ39" s="56">
        <f t="shared" si="1"/>
        <v>100000</v>
      </c>
      <c r="AK39" s="85"/>
      <c r="AL39" s="56">
        <v>0</v>
      </c>
      <c r="AM39" s="56"/>
      <c r="AN39" s="88">
        <v>41671.879999999997</v>
      </c>
      <c r="AO39" s="88">
        <v>0</v>
      </c>
      <c r="AP39" s="88">
        <v>56250.03</v>
      </c>
      <c r="AQ39" s="56"/>
      <c r="AR39" s="56">
        <v>0</v>
      </c>
      <c r="AS39" s="56"/>
      <c r="AT39" s="56">
        <v>0</v>
      </c>
      <c r="AU39" s="56"/>
      <c r="AV39" s="56">
        <f t="shared" si="2"/>
        <v>56250.03</v>
      </c>
      <c r="AW39" s="56"/>
      <c r="AX39" s="56">
        <v>0</v>
      </c>
      <c r="AY39" s="56"/>
      <c r="AZ39" s="56">
        <v>20000</v>
      </c>
      <c r="BA39" s="56">
        <v>20000</v>
      </c>
      <c r="BB39" s="214"/>
      <c r="BC39" s="56"/>
      <c r="BD39" s="84">
        <f t="shared" si="3"/>
        <v>14578.150000000001</v>
      </c>
      <c r="BE39" s="56"/>
      <c r="BF39" s="56"/>
      <c r="BG39" s="56"/>
      <c r="BH39" s="72"/>
    </row>
    <row r="40" spans="1:60" ht="20.100000000000001" customHeight="1" outlineLevel="1">
      <c r="A40" s="77" t="s">
        <v>43</v>
      </c>
      <c r="B40" s="77" t="s">
        <v>91</v>
      </c>
      <c r="C40" s="77" t="str">
        <f t="shared" si="5"/>
        <v>BL·</v>
      </c>
      <c r="D40" s="78" t="s">
        <v>46</v>
      </c>
      <c r="E40" s="90" t="str">
        <f t="shared" si="4"/>
        <v>000</v>
      </c>
      <c r="F40" s="3">
        <v>661079</v>
      </c>
      <c r="G40" s="102" t="s">
        <v>114</v>
      </c>
      <c r="H40" s="87"/>
      <c r="I40" s="13">
        <v>60523</v>
      </c>
      <c r="J40" s="13">
        <v>191896</v>
      </c>
      <c r="L40" s="56">
        <v>160402</v>
      </c>
      <c r="M40" s="56"/>
      <c r="N40" s="56">
        <v>185000</v>
      </c>
      <c r="O40" s="56"/>
      <c r="P40" s="56">
        <v>185000</v>
      </c>
      <c r="Q40" s="56"/>
      <c r="R40" s="56">
        <v>185000</v>
      </c>
      <c r="S40" s="56"/>
      <c r="T40" s="56">
        <v>0</v>
      </c>
      <c r="U40" s="56"/>
      <c r="V40" s="56">
        <v>185000</v>
      </c>
      <c r="W40" s="56"/>
      <c r="X40" s="56">
        <v>198906.79</v>
      </c>
      <c r="Y40" s="56"/>
      <c r="Z40" s="56">
        <v>185000</v>
      </c>
      <c r="AA40" s="56"/>
      <c r="AB40" s="56">
        <v>0</v>
      </c>
      <c r="AC40" s="56"/>
      <c r="AD40" s="56"/>
      <c r="AE40" s="56"/>
      <c r="AF40" s="56">
        <f t="shared" si="6"/>
        <v>185000</v>
      </c>
      <c r="AG40" s="56">
        <v>0</v>
      </c>
      <c r="AH40" s="56">
        <v>0</v>
      </c>
      <c r="AI40" s="56"/>
      <c r="AJ40" s="56">
        <f t="shared" si="1"/>
        <v>185000</v>
      </c>
      <c r="AK40" s="85"/>
      <c r="AL40" s="56">
        <v>0</v>
      </c>
      <c r="AM40" s="56"/>
      <c r="AN40" s="88">
        <v>116861.88</v>
      </c>
      <c r="AO40" s="88">
        <v>0</v>
      </c>
      <c r="AP40" s="88">
        <v>160049.26</v>
      </c>
      <c r="AQ40" s="56"/>
      <c r="AR40" s="56">
        <v>0</v>
      </c>
      <c r="AS40" s="56"/>
      <c r="AT40" s="56">
        <v>0</v>
      </c>
      <c r="AU40" s="56"/>
      <c r="AV40" s="56">
        <f t="shared" si="2"/>
        <v>160049.26</v>
      </c>
      <c r="AW40" s="56"/>
      <c r="AX40" s="56">
        <v>0</v>
      </c>
      <c r="AY40" s="56"/>
      <c r="AZ40" s="56">
        <v>185000</v>
      </c>
      <c r="BA40" s="56">
        <v>185000</v>
      </c>
      <c r="BB40" s="214"/>
      <c r="BC40" s="56"/>
      <c r="BD40" s="84">
        <f t="shared" si="3"/>
        <v>43187.380000000005</v>
      </c>
      <c r="BE40" s="56"/>
      <c r="BF40" s="56"/>
      <c r="BG40" s="56"/>
      <c r="BH40" s="72"/>
    </row>
    <row r="41" spans="1:60" ht="20.100000000000001" customHeight="1" outlineLevel="1">
      <c r="A41" s="77" t="s">
        <v>43</v>
      </c>
      <c r="B41" s="77" t="s">
        <v>91</v>
      </c>
      <c r="C41" s="77" t="str">
        <f t="shared" si="5"/>
        <v>BL·</v>
      </c>
      <c r="D41" s="78" t="s">
        <v>46</v>
      </c>
      <c r="E41" s="90" t="str">
        <f t="shared" si="4"/>
        <v>000</v>
      </c>
      <c r="F41" s="3">
        <v>661081</v>
      </c>
      <c r="G41" s="102" t="s">
        <v>115</v>
      </c>
      <c r="H41" s="87"/>
      <c r="I41" s="13">
        <v>63903</v>
      </c>
      <c r="J41" s="13">
        <v>65612</v>
      </c>
      <c r="L41" s="56">
        <v>39320</v>
      </c>
      <c r="M41" s="56"/>
      <c r="N41" s="56">
        <v>50000</v>
      </c>
      <c r="O41" s="56"/>
      <c r="P41" s="56">
        <v>51924</v>
      </c>
      <c r="Q41" s="56"/>
      <c r="R41" s="56">
        <v>51924</v>
      </c>
      <c r="S41" s="56"/>
      <c r="T41" s="56">
        <v>0</v>
      </c>
      <c r="U41" s="56"/>
      <c r="V41" s="56">
        <v>51924</v>
      </c>
      <c r="W41" s="56"/>
      <c r="X41" s="56">
        <v>55372.18</v>
      </c>
      <c r="Y41" s="56"/>
      <c r="Z41" s="56">
        <v>52000</v>
      </c>
      <c r="AA41" s="56"/>
      <c r="AB41" s="56">
        <v>0</v>
      </c>
      <c r="AC41" s="56"/>
      <c r="AD41" s="56"/>
      <c r="AE41" s="56"/>
      <c r="AF41" s="56">
        <f t="shared" si="6"/>
        <v>52000</v>
      </c>
      <c r="AG41" s="56">
        <v>0</v>
      </c>
      <c r="AH41" s="56">
        <v>0</v>
      </c>
      <c r="AI41" s="56"/>
      <c r="AJ41" s="56">
        <f t="shared" si="1"/>
        <v>52000</v>
      </c>
      <c r="AK41" s="85"/>
      <c r="AL41" s="56">
        <v>0</v>
      </c>
      <c r="AM41" s="56"/>
      <c r="AN41" s="88">
        <v>50810.55</v>
      </c>
      <c r="AO41" s="88">
        <v>0</v>
      </c>
      <c r="AP41" s="88">
        <v>60280.83</v>
      </c>
      <c r="AQ41" s="56"/>
      <c r="AR41" s="56">
        <v>0</v>
      </c>
      <c r="AS41" s="56"/>
      <c r="AT41" s="56">
        <v>0</v>
      </c>
      <c r="AU41" s="56"/>
      <c r="AV41" s="56">
        <f t="shared" si="2"/>
        <v>60280.83</v>
      </c>
      <c r="AW41" s="56"/>
      <c r="AX41" s="56">
        <v>0</v>
      </c>
      <c r="AY41" s="56"/>
      <c r="AZ41" s="56">
        <v>52000</v>
      </c>
      <c r="BA41" s="56">
        <v>52000</v>
      </c>
      <c r="BB41" s="214"/>
      <c r="BC41" s="56"/>
      <c r="BD41" s="84">
        <f t="shared" si="3"/>
        <v>9470.2799999999988</v>
      </c>
      <c r="BE41" s="56"/>
      <c r="BF41" s="56"/>
      <c r="BG41" s="56"/>
      <c r="BH41" s="72"/>
    </row>
    <row r="42" spans="1:60" ht="20.100000000000001" customHeight="1" outlineLevel="1">
      <c r="A42" s="77" t="s">
        <v>43</v>
      </c>
      <c r="B42" s="77" t="s">
        <v>91</v>
      </c>
      <c r="C42" s="77" t="str">
        <f t="shared" si="5"/>
        <v>BL·</v>
      </c>
      <c r="D42" s="78" t="s">
        <v>46</v>
      </c>
      <c r="E42" s="90" t="str">
        <f t="shared" si="4"/>
        <v>000</v>
      </c>
      <c r="F42" s="3">
        <v>661082</v>
      </c>
      <c r="G42" s="102" t="s">
        <v>116</v>
      </c>
      <c r="H42" s="87"/>
      <c r="I42" s="13">
        <v>0</v>
      </c>
      <c r="J42" s="13">
        <v>0</v>
      </c>
      <c r="L42" s="56">
        <v>0</v>
      </c>
      <c r="M42" s="56"/>
      <c r="N42" s="56">
        <v>20000</v>
      </c>
      <c r="O42" s="56"/>
      <c r="P42" s="56">
        <v>20000</v>
      </c>
      <c r="Q42" s="56"/>
      <c r="R42" s="56">
        <v>20000</v>
      </c>
      <c r="S42" s="56"/>
      <c r="T42" s="56">
        <v>0</v>
      </c>
      <c r="U42" s="56"/>
      <c r="V42" s="56">
        <v>20000</v>
      </c>
      <c r="W42" s="56"/>
      <c r="X42" s="56">
        <v>0</v>
      </c>
      <c r="Y42" s="56"/>
      <c r="Z42" s="56">
        <v>20000</v>
      </c>
      <c r="AA42" s="56"/>
      <c r="AB42" s="56">
        <v>0</v>
      </c>
      <c r="AC42" s="56"/>
      <c r="AD42" s="56"/>
      <c r="AE42" s="56"/>
      <c r="AF42" s="56">
        <f t="shared" si="6"/>
        <v>20000</v>
      </c>
      <c r="AG42" s="56">
        <v>0</v>
      </c>
      <c r="AH42" s="56">
        <v>0</v>
      </c>
      <c r="AI42" s="56"/>
      <c r="AJ42" s="56">
        <f t="shared" si="1"/>
        <v>20000</v>
      </c>
      <c r="AK42" s="85"/>
      <c r="AL42" s="56">
        <v>0</v>
      </c>
      <c r="AM42" s="56"/>
      <c r="AN42" s="88">
        <v>0</v>
      </c>
      <c r="AO42" s="88">
        <v>0</v>
      </c>
      <c r="AP42" s="88">
        <v>0</v>
      </c>
      <c r="AQ42" s="56"/>
      <c r="AR42" s="56">
        <v>0</v>
      </c>
      <c r="AS42" s="56"/>
      <c r="AT42" s="56">
        <v>0</v>
      </c>
      <c r="AU42" s="56"/>
      <c r="AV42" s="56">
        <f t="shared" si="2"/>
        <v>0</v>
      </c>
      <c r="AW42" s="56"/>
      <c r="AX42" s="56">
        <v>0</v>
      </c>
      <c r="AY42" s="56"/>
      <c r="AZ42" s="56">
        <v>20000</v>
      </c>
      <c r="BA42" s="56">
        <v>20000</v>
      </c>
      <c r="BB42" s="214"/>
      <c r="BC42" s="56"/>
      <c r="BD42" s="84">
        <f t="shared" si="3"/>
        <v>0</v>
      </c>
      <c r="BE42" s="56"/>
      <c r="BF42" s="56"/>
      <c r="BG42" s="56"/>
      <c r="BH42" s="72"/>
    </row>
    <row r="43" spans="1:60" ht="20.100000000000001" customHeight="1" outlineLevel="1">
      <c r="A43" s="77" t="s">
        <v>43</v>
      </c>
      <c r="B43" s="77" t="s">
        <v>91</v>
      </c>
      <c r="C43" s="77" t="str">
        <f t="shared" si="5"/>
        <v>BL·</v>
      </c>
      <c r="D43" s="78" t="s">
        <v>46</v>
      </c>
      <c r="E43" s="90" t="str">
        <f t="shared" si="4"/>
        <v>000</v>
      </c>
      <c r="F43" s="3">
        <v>661083</v>
      </c>
      <c r="G43" s="102" t="s">
        <v>117</v>
      </c>
      <c r="H43" s="87"/>
      <c r="I43" s="13">
        <v>26982</v>
      </c>
      <c r="J43" s="13">
        <v>36692</v>
      </c>
      <c r="L43" s="56">
        <v>26263</v>
      </c>
      <c r="M43" s="56"/>
      <c r="N43" s="56">
        <v>26070</v>
      </c>
      <c r="O43" s="56"/>
      <c r="P43" s="56">
        <v>26277</v>
      </c>
      <c r="Q43" s="56"/>
      <c r="R43" s="56">
        <v>26277</v>
      </c>
      <c r="S43" s="56"/>
      <c r="T43" s="56">
        <v>0</v>
      </c>
      <c r="U43" s="56"/>
      <c r="V43" s="56">
        <v>26277</v>
      </c>
      <c r="W43" s="56"/>
      <c r="X43" s="56">
        <v>47253.120000000003</v>
      </c>
      <c r="Y43" s="56"/>
      <c r="Z43" s="56">
        <v>26500</v>
      </c>
      <c r="AA43" s="56"/>
      <c r="AB43" s="56">
        <v>0</v>
      </c>
      <c r="AC43" s="56"/>
      <c r="AD43" s="56"/>
      <c r="AE43" s="56"/>
      <c r="AF43" s="56">
        <f t="shared" si="6"/>
        <v>26500</v>
      </c>
      <c r="AG43" s="56">
        <v>0</v>
      </c>
      <c r="AH43" s="56">
        <v>0</v>
      </c>
      <c r="AI43" s="56"/>
      <c r="AJ43" s="56">
        <f t="shared" ref="AJ43:AJ74" si="7">SUM(AE43:AI43)</f>
        <v>26500</v>
      </c>
      <c r="AK43" s="85"/>
      <c r="AL43" s="56">
        <v>0</v>
      </c>
      <c r="AM43" s="56"/>
      <c r="AN43" s="88">
        <v>28654.47</v>
      </c>
      <c r="AO43" s="88">
        <v>0</v>
      </c>
      <c r="AP43" s="88">
        <v>34248.980000000003</v>
      </c>
      <c r="AQ43" s="56"/>
      <c r="AR43" s="56">
        <v>0</v>
      </c>
      <c r="AS43" s="56"/>
      <c r="AT43" s="56">
        <v>0</v>
      </c>
      <c r="AU43" s="56"/>
      <c r="AV43" s="56">
        <f t="shared" ref="AV43:AV74" si="8">SUM(AP43:AU43)</f>
        <v>34248.980000000003</v>
      </c>
      <c r="AW43" s="56"/>
      <c r="AX43" s="56">
        <v>0</v>
      </c>
      <c r="AY43" s="56"/>
      <c r="AZ43" s="56">
        <v>26500</v>
      </c>
      <c r="BA43" s="56">
        <v>26500</v>
      </c>
      <c r="BB43" s="214"/>
      <c r="BC43" s="56"/>
      <c r="BD43" s="84">
        <f t="shared" ref="BD43:BD74" si="9">+AP43-AN43</f>
        <v>5594.510000000002</v>
      </c>
      <c r="BE43" s="56"/>
      <c r="BF43" s="56"/>
      <c r="BG43" s="56"/>
      <c r="BH43" s="72"/>
    </row>
    <row r="44" spans="1:60" ht="20.100000000000001" customHeight="1" outlineLevel="1">
      <c r="A44" s="77" t="s">
        <v>43</v>
      </c>
      <c r="B44" s="77" t="s">
        <v>91</v>
      </c>
      <c r="C44" s="77" t="str">
        <f t="shared" si="5"/>
        <v>BL·</v>
      </c>
      <c r="D44" s="78" t="s">
        <v>46</v>
      </c>
      <c r="E44" s="90" t="str">
        <f t="shared" si="4"/>
        <v>000</v>
      </c>
      <c r="F44" s="3">
        <v>661084</v>
      </c>
      <c r="G44" s="102" t="s">
        <v>118</v>
      </c>
      <c r="H44" s="87"/>
      <c r="I44" s="13">
        <v>520485</v>
      </c>
      <c r="J44" s="13">
        <v>335409</v>
      </c>
      <c r="L44" s="56">
        <v>504990</v>
      </c>
      <c r="M44" s="56"/>
      <c r="N44" s="56">
        <v>325000</v>
      </c>
      <c r="O44" s="56"/>
      <c r="P44" s="56">
        <v>328280</v>
      </c>
      <c r="Q44" s="56"/>
      <c r="R44" s="56">
        <v>378280</v>
      </c>
      <c r="S44" s="56"/>
      <c r="T44" s="56">
        <v>0</v>
      </c>
      <c r="U44" s="56"/>
      <c r="V44" s="56">
        <v>378280</v>
      </c>
      <c r="W44" s="56"/>
      <c r="X44" s="56">
        <v>503800.54</v>
      </c>
      <c r="Y44" s="56"/>
      <c r="Z44" s="56">
        <v>450000</v>
      </c>
      <c r="AA44" s="56"/>
      <c r="AB44" s="56">
        <v>0</v>
      </c>
      <c r="AC44" s="56"/>
      <c r="AD44" s="56"/>
      <c r="AE44" s="56"/>
      <c r="AF44" s="56">
        <f t="shared" si="6"/>
        <v>450000</v>
      </c>
      <c r="AG44" s="56">
        <v>0</v>
      </c>
      <c r="AH44" s="56">
        <v>0</v>
      </c>
      <c r="AI44" s="56"/>
      <c r="AJ44" s="56">
        <f t="shared" si="7"/>
        <v>450000</v>
      </c>
      <c r="AK44" s="85"/>
      <c r="AL44" s="56">
        <v>0</v>
      </c>
      <c r="AM44" s="56"/>
      <c r="AN44" s="88">
        <v>385346.8</v>
      </c>
      <c r="AO44" s="88">
        <v>0</v>
      </c>
      <c r="AP44" s="88">
        <v>531107.4</v>
      </c>
      <c r="AQ44" s="56"/>
      <c r="AR44" s="56">
        <v>0</v>
      </c>
      <c r="AS44" s="56"/>
      <c r="AT44" s="56">
        <v>0</v>
      </c>
      <c r="AU44" s="56"/>
      <c r="AV44" s="56">
        <f t="shared" si="8"/>
        <v>531107.4</v>
      </c>
      <c r="AW44" s="56"/>
      <c r="AX44" s="56">
        <v>0</v>
      </c>
      <c r="AY44" s="56"/>
      <c r="AZ44" s="56">
        <v>450000</v>
      </c>
      <c r="BA44" s="56">
        <v>450000</v>
      </c>
      <c r="BB44" s="214"/>
      <c r="BC44" s="56"/>
      <c r="BD44" s="84">
        <f t="shared" si="9"/>
        <v>145760.60000000003</v>
      </c>
      <c r="BE44" s="56"/>
      <c r="BF44" s="56"/>
      <c r="BG44" s="56"/>
      <c r="BH44" s="72"/>
    </row>
    <row r="45" spans="1:60" ht="20.100000000000001" customHeight="1" outlineLevel="1">
      <c r="A45" s="77" t="s">
        <v>43</v>
      </c>
      <c r="B45" s="77" t="s">
        <v>91</v>
      </c>
      <c r="C45" s="77" t="str">
        <f t="shared" si="5"/>
        <v>BL·</v>
      </c>
      <c r="D45" s="78" t="s">
        <v>46</v>
      </c>
      <c r="E45" s="90" t="str">
        <f t="shared" si="4"/>
        <v>000</v>
      </c>
      <c r="F45" s="3">
        <v>661085</v>
      </c>
      <c r="G45" s="102" t="s">
        <v>119</v>
      </c>
      <c r="H45" s="87"/>
      <c r="I45" s="13">
        <v>148031</v>
      </c>
      <c r="J45" s="13">
        <v>198555</v>
      </c>
      <c r="L45" s="56">
        <v>231529</v>
      </c>
      <c r="M45" s="56"/>
      <c r="N45" s="56">
        <v>150000</v>
      </c>
      <c r="O45" s="56"/>
      <c r="P45" s="56">
        <v>150093</v>
      </c>
      <c r="Q45" s="56"/>
      <c r="R45" s="56">
        <v>150093</v>
      </c>
      <c r="S45" s="56"/>
      <c r="T45" s="56">
        <v>0</v>
      </c>
      <c r="U45" s="56"/>
      <c r="V45" s="56">
        <v>150093</v>
      </c>
      <c r="W45" s="56"/>
      <c r="X45" s="56">
        <v>109359.41</v>
      </c>
      <c r="Y45" s="56"/>
      <c r="Z45" s="56">
        <v>150093</v>
      </c>
      <c r="AA45" s="56"/>
      <c r="AB45" s="56">
        <v>0</v>
      </c>
      <c r="AC45" s="56"/>
      <c r="AD45" s="56"/>
      <c r="AE45" s="56"/>
      <c r="AF45" s="56">
        <f t="shared" si="6"/>
        <v>150093</v>
      </c>
      <c r="AG45" s="56">
        <v>0</v>
      </c>
      <c r="AH45" s="56">
        <v>0</v>
      </c>
      <c r="AI45" s="56"/>
      <c r="AJ45" s="56">
        <f t="shared" si="7"/>
        <v>150093</v>
      </c>
      <c r="AK45" s="85"/>
      <c r="AL45" s="56">
        <v>0</v>
      </c>
      <c r="AM45" s="56"/>
      <c r="AN45" s="88">
        <v>128584.8</v>
      </c>
      <c r="AO45" s="88">
        <v>0</v>
      </c>
      <c r="AP45" s="88">
        <v>177361.88</v>
      </c>
      <c r="AQ45" s="56"/>
      <c r="AR45" s="56">
        <v>0</v>
      </c>
      <c r="AS45" s="56"/>
      <c r="AT45" s="56">
        <v>0</v>
      </c>
      <c r="AU45" s="56"/>
      <c r="AV45" s="56">
        <f t="shared" si="8"/>
        <v>177361.88</v>
      </c>
      <c r="AW45" s="56"/>
      <c r="AX45" s="56">
        <v>0</v>
      </c>
      <c r="AY45" s="56"/>
      <c r="AZ45" s="56">
        <v>175000</v>
      </c>
      <c r="BA45" s="56">
        <v>175000</v>
      </c>
      <c r="BB45" s="214"/>
      <c r="BC45" s="56"/>
      <c r="BD45" s="84">
        <f t="shared" si="9"/>
        <v>48777.08</v>
      </c>
      <c r="BE45" s="56"/>
      <c r="BF45" s="56"/>
      <c r="BG45" s="56"/>
      <c r="BH45" s="72"/>
    </row>
    <row r="46" spans="1:60" ht="20.100000000000001" customHeight="1" outlineLevel="1">
      <c r="A46" s="77" t="s">
        <v>43</v>
      </c>
      <c r="B46" s="77" t="s">
        <v>91</v>
      </c>
      <c r="C46" s="77" t="str">
        <f t="shared" si="5"/>
        <v>BL·</v>
      </c>
      <c r="D46" s="78" t="s">
        <v>46</v>
      </c>
      <c r="E46" s="90" t="str">
        <f t="shared" si="4"/>
        <v>000</v>
      </c>
      <c r="F46" s="3">
        <v>673072</v>
      </c>
      <c r="G46" s="102" t="s">
        <v>120</v>
      </c>
      <c r="H46" s="87"/>
      <c r="I46" s="13"/>
      <c r="J46" s="13"/>
      <c r="L46" s="56">
        <v>0</v>
      </c>
      <c r="M46" s="56"/>
      <c r="N46" s="56">
        <v>0</v>
      </c>
      <c r="O46" s="56"/>
      <c r="P46" s="56">
        <v>0</v>
      </c>
      <c r="Q46" s="56"/>
      <c r="R46" s="56">
        <v>0</v>
      </c>
      <c r="S46" s="56"/>
      <c r="T46" s="56">
        <v>0</v>
      </c>
      <c r="U46" s="56"/>
      <c r="V46" s="56">
        <v>0</v>
      </c>
      <c r="W46" s="56"/>
      <c r="X46" s="56">
        <v>66437.78</v>
      </c>
      <c r="Y46" s="56"/>
      <c r="Z46" s="56">
        <v>0</v>
      </c>
      <c r="AA46" s="56"/>
      <c r="AB46" s="56">
        <v>0</v>
      </c>
      <c r="AC46" s="56"/>
      <c r="AD46" s="56"/>
      <c r="AE46" s="56"/>
      <c r="AF46" s="56">
        <f t="shared" si="6"/>
        <v>0</v>
      </c>
      <c r="AG46" s="56">
        <v>0</v>
      </c>
      <c r="AH46" s="56">
        <v>0</v>
      </c>
      <c r="AI46" s="56"/>
      <c r="AJ46" s="56">
        <f t="shared" si="7"/>
        <v>0</v>
      </c>
      <c r="AK46" s="85"/>
      <c r="AL46" s="56">
        <v>0</v>
      </c>
      <c r="AM46" s="56"/>
      <c r="AN46" s="88">
        <f>SUM(AI46:AM46)</f>
        <v>0</v>
      </c>
      <c r="AO46" s="88">
        <v>0</v>
      </c>
      <c r="AP46" s="88">
        <v>0</v>
      </c>
      <c r="AQ46" s="56"/>
      <c r="AR46" s="56">
        <v>0</v>
      </c>
      <c r="AS46" s="56"/>
      <c r="AT46" s="56">
        <v>0</v>
      </c>
      <c r="AU46" s="56"/>
      <c r="AV46" s="56">
        <f t="shared" si="8"/>
        <v>0</v>
      </c>
      <c r="AW46" s="56"/>
      <c r="AX46" s="56">
        <v>0</v>
      </c>
      <c r="AY46" s="56"/>
      <c r="AZ46" s="56">
        <v>0</v>
      </c>
      <c r="BA46" s="56">
        <v>0</v>
      </c>
      <c r="BB46" s="214"/>
      <c r="BC46" s="56"/>
      <c r="BD46" s="84">
        <f t="shared" si="9"/>
        <v>0</v>
      </c>
      <c r="BE46" s="56"/>
      <c r="BF46" s="56"/>
      <c r="BG46" s="56"/>
      <c r="BH46" s="72"/>
    </row>
    <row r="47" spans="1:60" ht="20.100000000000001" customHeight="1" outlineLevel="1">
      <c r="A47" s="77" t="s">
        <v>43</v>
      </c>
      <c r="B47" s="77" t="s">
        <v>91</v>
      </c>
      <c r="C47" s="77" t="str">
        <f t="shared" si="5"/>
        <v>BL·</v>
      </c>
      <c r="D47" s="78" t="s">
        <v>46</v>
      </c>
      <c r="E47" s="90" t="str">
        <f t="shared" si="4"/>
        <v>000</v>
      </c>
      <c r="F47" s="3">
        <v>661087</v>
      </c>
      <c r="G47" s="102" t="s">
        <v>121</v>
      </c>
      <c r="H47" s="87"/>
      <c r="I47" s="13">
        <v>93073</v>
      </c>
      <c r="J47" s="13">
        <v>103192</v>
      </c>
      <c r="L47" s="56">
        <v>84942</v>
      </c>
      <c r="M47" s="56"/>
      <c r="N47" s="56">
        <v>80000</v>
      </c>
      <c r="O47" s="56"/>
      <c r="P47" s="56">
        <v>80610</v>
      </c>
      <c r="Q47" s="56"/>
      <c r="R47" s="56">
        <v>80610</v>
      </c>
      <c r="S47" s="56"/>
      <c r="T47" s="56">
        <v>0</v>
      </c>
      <c r="U47" s="56"/>
      <c r="V47" s="56">
        <v>80610</v>
      </c>
      <c r="W47" s="56"/>
      <c r="X47" s="56">
        <v>75997.63</v>
      </c>
      <c r="Y47" s="56"/>
      <c r="Z47" s="56">
        <v>80000</v>
      </c>
      <c r="AA47" s="56"/>
      <c r="AB47" s="89">
        <v>15000</v>
      </c>
      <c r="AC47" s="56"/>
      <c r="AD47" s="56"/>
      <c r="AE47" s="56"/>
      <c r="AF47" s="56">
        <f t="shared" si="6"/>
        <v>95000</v>
      </c>
      <c r="AG47" s="56">
        <v>0</v>
      </c>
      <c r="AH47" s="56">
        <v>0</v>
      </c>
      <c r="AI47" s="56"/>
      <c r="AJ47" s="56">
        <f t="shared" si="7"/>
        <v>95000</v>
      </c>
      <c r="AK47" s="85"/>
      <c r="AL47" s="89">
        <v>66000</v>
      </c>
      <c r="AM47" s="56"/>
      <c r="AN47" s="88">
        <v>240758.89</v>
      </c>
      <c r="AO47" s="88">
        <v>0</v>
      </c>
      <c r="AP47" s="88">
        <v>309498.5</v>
      </c>
      <c r="AQ47" s="56"/>
      <c r="AR47" s="56">
        <v>0</v>
      </c>
      <c r="AS47" s="56"/>
      <c r="AT47" s="56">
        <v>9833.85</v>
      </c>
      <c r="AU47" s="56"/>
      <c r="AV47" s="56">
        <f t="shared" si="8"/>
        <v>319332.34999999998</v>
      </c>
      <c r="AW47" s="56"/>
      <c r="AX47" s="56">
        <v>0</v>
      </c>
      <c r="AY47" s="56"/>
      <c r="AZ47" s="56">
        <v>189833.85</v>
      </c>
      <c r="BA47" s="56">
        <v>189834</v>
      </c>
      <c r="BB47" s="214"/>
      <c r="BC47" s="56"/>
      <c r="BD47" s="84">
        <f t="shared" si="9"/>
        <v>68739.609999999986</v>
      </c>
      <c r="BE47" s="56"/>
      <c r="BF47" s="56"/>
      <c r="BG47" s="56"/>
      <c r="BH47" s="72"/>
    </row>
    <row r="48" spans="1:60" ht="20.100000000000001" customHeight="1" outlineLevel="1">
      <c r="A48" s="77" t="s">
        <v>43</v>
      </c>
      <c r="B48" s="77" t="s">
        <v>91</v>
      </c>
      <c r="C48" s="77" t="str">
        <f t="shared" si="5"/>
        <v>BL·</v>
      </c>
      <c r="D48" s="78" t="s">
        <v>46</v>
      </c>
      <c r="E48" s="90" t="str">
        <f t="shared" si="4"/>
        <v>000</v>
      </c>
      <c r="F48" s="3">
        <v>661088</v>
      </c>
      <c r="G48" s="102" t="s">
        <v>122</v>
      </c>
      <c r="H48" s="87"/>
      <c r="I48" s="13">
        <v>15</v>
      </c>
      <c r="J48" s="13">
        <v>0</v>
      </c>
      <c r="L48" s="56">
        <v>0</v>
      </c>
      <c r="M48" s="56"/>
      <c r="N48" s="56">
        <v>12000</v>
      </c>
      <c r="O48" s="56"/>
      <c r="P48" s="56">
        <v>12000</v>
      </c>
      <c r="Q48" s="56"/>
      <c r="R48" s="56">
        <v>12000</v>
      </c>
      <c r="S48" s="56"/>
      <c r="T48" s="56">
        <v>0</v>
      </c>
      <c r="U48" s="56"/>
      <c r="V48" s="56">
        <v>12000</v>
      </c>
      <c r="W48" s="56"/>
      <c r="X48" s="56">
        <v>0</v>
      </c>
      <c r="Y48" s="56"/>
      <c r="Z48" s="56">
        <v>12000</v>
      </c>
      <c r="AA48" s="56"/>
      <c r="AB48" s="56">
        <v>0</v>
      </c>
      <c r="AC48" s="56"/>
      <c r="AD48" s="56"/>
      <c r="AE48" s="56"/>
      <c r="AF48" s="56">
        <f t="shared" si="6"/>
        <v>12000</v>
      </c>
      <c r="AG48" s="56">
        <v>0</v>
      </c>
      <c r="AH48" s="56">
        <v>0</v>
      </c>
      <c r="AI48" s="56"/>
      <c r="AJ48" s="56">
        <f t="shared" si="7"/>
        <v>12000</v>
      </c>
      <c r="AK48" s="85"/>
      <c r="AL48" s="56">
        <v>0</v>
      </c>
      <c r="AM48" s="56"/>
      <c r="AN48" s="88">
        <v>0</v>
      </c>
      <c r="AO48" s="88">
        <v>0</v>
      </c>
      <c r="AP48" s="88">
        <v>0</v>
      </c>
      <c r="AQ48" s="56"/>
      <c r="AR48" s="56">
        <v>0</v>
      </c>
      <c r="AS48" s="56"/>
      <c r="AT48" s="56">
        <v>0</v>
      </c>
      <c r="AU48" s="56"/>
      <c r="AV48" s="56">
        <f t="shared" si="8"/>
        <v>0</v>
      </c>
      <c r="AW48" s="56"/>
      <c r="AX48" s="56">
        <v>0</v>
      </c>
      <c r="AY48" s="56"/>
      <c r="AZ48" s="56">
        <v>0</v>
      </c>
      <c r="BA48" s="56">
        <v>0</v>
      </c>
      <c r="BB48" s="214"/>
      <c r="BC48" s="56"/>
      <c r="BD48" s="84">
        <f t="shared" si="9"/>
        <v>0</v>
      </c>
      <c r="BE48" s="56"/>
      <c r="BF48" s="56"/>
      <c r="BG48" s="56"/>
      <c r="BH48" s="72"/>
    </row>
    <row r="49" spans="1:62" ht="20.100000000000001" customHeight="1" outlineLevel="1">
      <c r="A49" s="77" t="s">
        <v>43</v>
      </c>
      <c r="B49" s="77" t="s">
        <v>91</v>
      </c>
      <c r="C49" s="77" t="str">
        <f t="shared" si="5"/>
        <v>BL·</v>
      </c>
      <c r="D49" s="78" t="s">
        <v>46</v>
      </c>
      <c r="E49" s="90" t="str">
        <f t="shared" si="4"/>
        <v>000</v>
      </c>
      <c r="F49" s="3">
        <v>661089</v>
      </c>
      <c r="G49" s="102" t="s">
        <v>123</v>
      </c>
      <c r="H49" s="87"/>
      <c r="I49" s="13"/>
      <c r="J49" s="13"/>
      <c r="L49" s="56">
        <v>0</v>
      </c>
      <c r="M49" s="56"/>
      <c r="N49" s="56"/>
      <c r="O49" s="56"/>
      <c r="P49" s="56"/>
      <c r="Q49" s="56"/>
      <c r="R49" s="56"/>
      <c r="S49" s="56"/>
      <c r="T49" s="56"/>
      <c r="U49" s="56"/>
      <c r="V49" s="56"/>
      <c r="W49" s="56"/>
      <c r="X49" s="56">
        <v>0</v>
      </c>
      <c r="Y49" s="56"/>
      <c r="Z49" s="56">
        <v>0</v>
      </c>
      <c r="AA49" s="56"/>
      <c r="AB49" s="56"/>
      <c r="AC49" s="56"/>
      <c r="AD49" s="56"/>
      <c r="AE49" s="56"/>
      <c r="AF49" s="56">
        <v>0</v>
      </c>
      <c r="AG49" s="56">
        <v>45000</v>
      </c>
      <c r="AH49" s="56">
        <v>0</v>
      </c>
      <c r="AI49" s="56"/>
      <c r="AJ49" s="56">
        <f t="shared" si="7"/>
        <v>45000</v>
      </c>
      <c r="AK49" s="85"/>
      <c r="AL49" s="56">
        <v>100000</v>
      </c>
      <c r="AM49" s="56"/>
      <c r="AN49" s="88">
        <f>123515.94+496</f>
        <v>124011.94</v>
      </c>
      <c r="AO49" s="88">
        <v>0</v>
      </c>
      <c r="AP49" s="88">
        <v>84135.53</v>
      </c>
      <c r="AQ49" s="56"/>
      <c r="AR49" s="56"/>
      <c r="AS49" s="56"/>
      <c r="AT49" s="56">
        <v>0</v>
      </c>
      <c r="AU49" s="56"/>
      <c r="AV49" s="56">
        <f t="shared" si="8"/>
        <v>84135.53</v>
      </c>
      <c r="AW49" s="56"/>
      <c r="AX49" s="56">
        <v>0</v>
      </c>
      <c r="AY49" s="56"/>
      <c r="AZ49" s="56">
        <v>145000</v>
      </c>
      <c r="BA49" s="56">
        <v>145000</v>
      </c>
      <c r="BB49" s="214"/>
      <c r="BC49" s="56"/>
      <c r="BD49" s="84">
        <f t="shared" si="9"/>
        <v>-39876.410000000003</v>
      </c>
      <c r="BE49" s="56"/>
      <c r="BF49" s="56"/>
      <c r="BG49" s="56"/>
      <c r="BH49" s="72"/>
    </row>
    <row r="50" spans="1:62" ht="20.100000000000001" customHeight="1" outlineLevel="1">
      <c r="A50" s="77" t="s">
        <v>43</v>
      </c>
      <c r="B50" s="77" t="s">
        <v>91</v>
      </c>
      <c r="C50" s="77" t="str">
        <f t="shared" si="5"/>
        <v>BL·</v>
      </c>
      <c r="D50" s="78" t="s">
        <v>46</v>
      </c>
      <c r="E50" s="90" t="str">
        <f t="shared" si="4"/>
        <v>000</v>
      </c>
      <c r="F50" s="3">
        <v>661091</v>
      </c>
      <c r="G50" s="102" t="s">
        <v>124</v>
      </c>
      <c r="H50" s="87"/>
      <c r="I50" s="13">
        <v>130960</v>
      </c>
      <c r="J50" s="13">
        <v>54903</v>
      </c>
      <c r="L50" s="56">
        <v>79601</v>
      </c>
      <c r="M50" s="56"/>
      <c r="N50" s="56">
        <v>95000</v>
      </c>
      <c r="O50" s="56"/>
      <c r="P50" s="56">
        <v>95000</v>
      </c>
      <c r="Q50" s="56"/>
      <c r="R50" s="56">
        <v>95000</v>
      </c>
      <c r="S50" s="56"/>
      <c r="T50" s="56">
        <v>0</v>
      </c>
      <c r="U50" s="56"/>
      <c r="V50" s="56">
        <v>95000</v>
      </c>
      <c r="W50" s="56"/>
      <c r="X50" s="56">
        <v>111997.3</v>
      </c>
      <c r="Y50" s="56"/>
      <c r="Z50" s="56">
        <v>125000</v>
      </c>
      <c r="AA50" s="56"/>
      <c r="AB50" s="56">
        <v>0</v>
      </c>
      <c r="AC50" s="56"/>
      <c r="AD50" s="56"/>
      <c r="AE50" s="56"/>
      <c r="AF50" s="56">
        <f t="shared" ref="AF50:AF81" si="10">SUM(Z50:AE50)</f>
        <v>125000</v>
      </c>
      <c r="AG50" s="56">
        <v>0</v>
      </c>
      <c r="AH50" s="56">
        <v>0</v>
      </c>
      <c r="AI50" s="56"/>
      <c r="AJ50" s="56">
        <f t="shared" si="7"/>
        <v>125000</v>
      </c>
      <c r="AK50" s="85"/>
      <c r="AL50" s="56">
        <v>0</v>
      </c>
      <c r="AM50" s="56"/>
      <c r="AN50" s="88">
        <v>90647.11</v>
      </c>
      <c r="AO50" s="88">
        <v>0</v>
      </c>
      <c r="AP50" s="88">
        <v>49709.37</v>
      </c>
      <c r="AQ50" s="56"/>
      <c r="AR50" s="56">
        <v>0</v>
      </c>
      <c r="AS50" s="56"/>
      <c r="AT50" s="56">
        <v>0</v>
      </c>
      <c r="AU50" s="56"/>
      <c r="AV50" s="56">
        <f t="shared" si="8"/>
        <v>49709.37</v>
      </c>
      <c r="AW50" s="56"/>
      <c r="AX50" s="56">
        <v>0</v>
      </c>
      <c r="AY50" s="56"/>
      <c r="AZ50" s="56">
        <v>105000</v>
      </c>
      <c r="BA50" s="56">
        <v>105000</v>
      </c>
      <c r="BB50" s="214"/>
      <c r="BC50" s="56"/>
      <c r="BD50" s="84">
        <f t="shared" si="9"/>
        <v>-40937.74</v>
      </c>
      <c r="BE50" s="56"/>
      <c r="BF50" s="56"/>
      <c r="BG50" s="56"/>
      <c r="BH50" s="72"/>
    </row>
    <row r="51" spans="1:62" ht="20.100000000000001" customHeight="1" outlineLevel="1">
      <c r="A51" s="77" t="s">
        <v>43</v>
      </c>
      <c r="B51" s="77" t="s">
        <v>91</v>
      </c>
      <c r="C51" s="77" t="str">
        <f t="shared" si="5"/>
        <v>BL·</v>
      </c>
      <c r="D51" s="78" t="s">
        <v>46</v>
      </c>
      <c r="E51" s="90" t="str">
        <f t="shared" si="4"/>
        <v>000</v>
      </c>
      <c r="F51" s="3">
        <v>661092</v>
      </c>
      <c r="G51" s="102" t="s">
        <v>125</v>
      </c>
      <c r="H51" s="87"/>
      <c r="I51" s="13">
        <v>49391</v>
      </c>
      <c r="J51" s="13">
        <v>18875</v>
      </c>
      <c r="L51" s="56">
        <v>34435</v>
      </c>
      <c r="M51" s="56"/>
      <c r="N51" s="56">
        <v>50000</v>
      </c>
      <c r="O51" s="56"/>
      <c r="P51" s="56">
        <v>50000</v>
      </c>
      <c r="Q51" s="56"/>
      <c r="R51" s="56">
        <v>50000</v>
      </c>
      <c r="S51" s="56"/>
      <c r="T51" s="56">
        <v>0</v>
      </c>
      <c r="U51" s="56"/>
      <c r="V51" s="56">
        <v>50000</v>
      </c>
      <c r="W51" s="56"/>
      <c r="X51" s="56">
        <v>54631.83</v>
      </c>
      <c r="Y51" s="56"/>
      <c r="Z51" s="56">
        <v>50000</v>
      </c>
      <c r="AA51" s="56"/>
      <c r="AB51" s="56">
        <v>0</v>
      </c>
      <c r="AC51" s="56"/>
      <c r="AD51" s="56"/>
      <c r="AE51" s="56"/>
      <c r="AF51" s="56">
        <f t="shared" si="10"/>
        <v>50000</v>
      </c>
      <c r="AG51" s="56">
        <v>0</v>
      </c>
      <c r="AH51" s="56">
        <v>0</v>
      </c>
      <c r="AI51" s="56"/>
      <c r="AJ51" s="56">
        <f t="shared" si="7"/>
        <v>50000</v>
      </c>
      <c r="AK51" s="85"/>
      <c r="AL51" s="56">
        <v>0</v>
      </c>
      <c r="AM51" s="56"/>
      <c r="AN51" s="88">
        <v>29132.98</v>
      </c>
      <c r="AO51" s="88">
        <v>0</v>
      </c>
      <c r="AP51" s="88">
        <v>71666.98</v>
      </c>
      <c r="AQ51" s="56"/>
      <c r="AR51" s="56">
        <v>0</v>
      </c>
      <c r="AS51" s="56"/>
      <c r="AT51" s="56">
        <v>0</v>
      </c>
      <c r="AU51" s="56"/>
      <c r="AV51" s="56">
        <f t="shared" si="8"/>
        <v>71666.98</v>
      </c>
      <c r="AW51" s="56"/>
      <c r="AX51" s="56">
        <v>0</v>
      </c>
      <c r="AY51" s="56"/>
      <c r="AZ51" s="56">
        <v>50000</v>
      </c>
      <c r="BA51" s="56">
        <v>50000</v>
      </c>
      <c r="BB51" s="214"/>
      <c r="BC51" s="56"/>
      <c r="BD51" s="84">
        <f t="shared" si="9"/>
        <v>42534</v>
      </c>
      <c r="BE51" s="56"/>
      <c r="BF51" s="56"/>
      <c r="BG51" s="56"/>
      <c r="BH51" s="72"/>
    </row>
    <row r="52" spans="1:62" ht="20.100000000000001" customHeight="1" outlineLevel="1">
      <c r="A52" s="77" t="s">
        <v>43</v>
      </c>
      <c r="B52" s="77" t="s">
        <v>91</v>
      </c>
      <c r="C52" s="77" t="str">
        <f t="shared" si="5"/>
        <v>BL·</v>
      </c>
      <c r="D52" s="78" t="s">
        <v>46</v>
      </c>
      <c r="E52" s="90" t="str">
        <f t="shared" si="4"/>
        <v>000</v>
      </c>
      <c r="F52" s="3">
        <v>661093</v>
      </c>
      <c r="G52" s="102" t="s">
        <v>126</v>
      </c>
      <c r="H52" s="87"/>
      <c r="I52" s="13">
        <v>357715</v>
      </c>
      <c r="J52" s="13">
        <v>316003</v>
      </c>
      <c r="L52" s="56">
        <v>500110</v>
      </c>
      <c r="M52" s="56"/>
      <c r="N52" s="56">
        <v>400000</v>
      </c>
      <c r="O52" s="56"/>
      <c r="P52" s="56">
        <v>402365</v>
      </c>
      <c r="Q52" s="56"/>
      <c r="R52" s="56">
        <v>527365</v>
      </c>
      <c r="S52" s="56"/>
      <c r="T52" s="56">
        <v>0</v>
      </c>
      <c r="U52" s="56"/>
      <c r="V52" s="56">
        <v>527365</v>
      </c>
      <c r="W52" s="56"/>
      <c r="X52" s="56">
        <v>623238.03</v>
      </c>
      <c r="Y52" s="56"/>
      <c r="Z52" s="56">
        <v>575000</v>
      </c>
      <c r="AA52" s="56"/>
      <c r="AB52" s="56">
        <v>0</v>
      </c>
      <c r="AC52" s="56"/>
      <c r="AD52" s="56">
        <v>37.520000000000003</v>
      </c>
      <c r="AE52" s="56"/>
      <c r="AF52" s="56">
        <f t="shared" si="10"/>
        <v>575037.52</v>
      </c>
      <c r="AG52" s="56">
        <v>0</v>
      </c>
      <c r="AH52" s="56">
        <v>0</v>
      </c>
      <c r="AI52" s="56"/>
      <c r="AJ52" s="56">
        <f t="shared" si="7"/>
        <v>575037.52</v>
      </c>
      <c r="AK52" s="85"/>
      <c r="AL52" s="56">
        <v>0</v>
      </c>
      <c r="AM52" s="56"/>
      <c r="AN52" s="88">
        <v>532683.89</v>
      </c>
      <c r="AO52" s="88">
        <v>0</v>
      </c>
      <c r="AP52" s="88">
        <f>631382.8+24</f>
        <v>631406.80000000005</v>
      </c>
      <c r="AQ52" s="56"/>
      <c r="AR52" s="56">
        <v>0</v>
      </c>
      <c r="AS52" s="56"/>
      <c r="AT52" s="56">
        <v>0</v>
      </c>
      <c r="AU52" s="56"/>
      <c r="AV52" s="56">
        <f t="shared" si="8"/>
        <v>631406.80000000005</v>
      </c>
      <c r="AW52" s="56"/>
      <c r="AX52" s="56">
        <v>0</v>
      </c>
      <c r="AY52" s="56"/>
      <c r="AZ52" s="56">
        <v>500000</v>
      </c>
      <c r="BA52" s="56">
        <v>591512</v>
      </c>
      <c r="BB52" s="214"/>
      <c r="BC52" s="56"/>
      <c r="BD52" s="84">
        <f t="shared" si="9"/>
        <v>98722.910000000033</v>
      </c>
      <c r="BE52" s="56"/>
      <c r="BF52" s="56"/>
      <c r="BG52" s="56"/>
      <c r="BH52" s="72"/>
    </row>
    <row r="53" spans="1:62" ht="20.100000000000001" customHeight="1" outlineLevel="1">
      <c r="A53" s="77" t="s">
        <v>43</v>
      </c>
      <c r="B53" s="77" t="s">
        <v>91</v>
      </c>
      <c r="C53" s="77" t="str">
        <f t="shared" si="5"/>
        <v>BL·</v>
      </c>
      <c r="D53" s="78" t="s">
        <v>46</v>
      </c>
      <c r="E53" s="90" t="str">
        <f t="shared" si="4"/>
        <v>000</v>
      </c>
      <c r="F53" s="3">
        <v>661094</v>
      </c>
      <c r="G53" s="102" t="s">
        <v>127</v>
      </c>
      <c r="H53" s="87"/>
      <c r="I53" s="13">
        <v>998</v>
      </c>
      <c r="J53" s="13">
        <v>0</v>
      </c>
      <c r="L53" s="56">
        <v>0</v>
      </c>
      <c r="M53" s="56"/>
      <c r="N53" s="56">
        <v>0</v>
      </c>
      <c r="O53" s="56"/>
      <c r="P53" s="56">
        <v>0</v>
      </c>
      <c r="Q53" s="56"/>
      <c r="R53" s="56">
        <v>0</v>
      </c>
      <c r="S53" s="56"/>
      <c r="T53" s="56">
        <v>0</v>
      </c>
      <c r="U53" s="56"/>
      <c r="V53" s="56">
        <v>0</v>
      </c>
      <c r="W53" s="56"/>
      <c r="X53" s="56">
        <v>0</v>
      </c>
      <c r="Y53" s="56"/>
      <c r="Z53" s="56">
        <v>0</v>
      </c>
      <c r="AA53" s="56"/>
      <c r="AB53" s="56">
        <v>0</v>
      </c>
      <c r="AC53" s="56"/>
      <c r="AD53" s="56"/>
      <c r="AE53" s="56"/>
      <c r="AF53" s="56">
        <f t="shared" si="10"/>
        <v>0</v>
      </c>
      <c r="AG53" s="56">
        <v>0</v>
      </c>
      <c r="AH53" s="56">
        <v>0</v>
      </c>
      <c r="AI53" s="56"/>
      <c r="AJ53" s="56">
        <f t="shared" si="7"/>
        <v>0</v>
      </c>
      <c r="AK53" s="85"/>
      <c r="AL53" s="56">
        <v>0</v>
      </c>
      <c r="AM53" s="56"/>
      <c r="AN53" s="88">
        <v>13295.33</v>
      </c>
      <c r="AO53" s="88">
        <v>0</v>
      </c>
      <c r="AP53" s="88">
        <v>0</v>
      </c>
      <c r="AQ53" s="56"/>
      <c r="AR53" s="56">
        <v>0</v>
      </c>
      <c r="AS53" s="56"/>
      <c r="AT53" s="56">
        <v>0</v>
      </c>
      <c r="AU53" s="56"/>
      <c r="AV53" s="56">
        <f t="shared" si="8"/>
        <v>0</v>
      </c>
      <c r="AW53" s="56"/>
      <c r="AX53" s="56">
        <v>0</v>
      </c>
      <c r="AY53" s="56"/>
      <c r="AZ53" s="56">
        <v>0</v>
      </c>
      <c r="BA53" s="56">
        <v>0</v>
      </c>
      <c r="BB53" s="214"/>
      <c r="BC53" s="56"/>
      <c r="BD53" s="84">
        <f t="shared" si="9"/>
        <v>-13295.33</v>
      </c>
      <c r="BE53" s="56"/>
      <c r="BF53" s="56"/>
      <c r="BG53" s="56"/>
      <c r="BH53" s="72"/>
    </row>
    <row r="54" spans="1:62" ht="20.100000000000001" customHeight="1" outlineLevel="1">
      <c r="A54" s="77" t="s">
        <v>43</v>
      </c>
      <c r="B54" s="77" t="s">
        <v>91</v>
      </c>
      <c r="C54" s="77" t="str">
        <f t="shared" si="5"/>
        <v>BL·</v>
      </c>
      <c r="D54" s="78" t="s">
        <v>46</v>
      </c>
      <c r="E54" s="90" t="str">
        <f t="shared" si="4"/>
        <v>000</v>
      </c>
      <c r="F54" s="3">
        <v>661102</v>
      </c>
      <c r="G54" s="102" t="s">
        <v>128</v>
      </c>
      <c r="H54" s="87"/>
      <c r="I54" s="13">
        <v>0</v>
      </c>
      <c r="J54" s="13">
        <v>142352</v>
      </c>
      <c r="L54" s="56">
        <v>8176</v>
      </c>
      <c r="M54" s="56"/>
      <c r="N54" s="56">
        <v>0</v>
      </c>
      <c r="O54" s="56"/>
      <c r="P54" s="56">
        <v>0</v>
      </c>
      <c r="Q54" s="56"/>
      <c r="R54" s="56">
        <v>0</v>
      </c>
      <c r="S54" s="56"/>
      <c r="T54" s="56">
        <v>0</v>
      </c>
      <c r="U54" s="56"/>
      <c r="V54" s="56">
        <v>0</v>
      </c>
      <c r="W54" s="56"/>
      <c r="X54" s="56">
        <v>5116</v>
      </c>
      <c r="Y54" s="56"/>
      <c r="Z54" s="56">
        <v>0</v>
      </c>
      <c r="AA54" s="56"/>
      <c r="AB54" s="56">
        <v>0</v>
      </c>
      <c r="AC54" s="56"/>
      <c r="AD54" s="56"/>
      <c r="AE54" s="56"/>
      <c r="AF54" s="56">
        <f t="shared" si="10"/>
        <v>0</v>
      </c>
      <c r="AG54" s="56">
        <v>0</v>
      </c>
      <c r="AH54" s="56">
        <v>0</v>
      </c>
      <c r="AI54" s="56"/>
      <c r="AJ54" s="56">
        <f t="shared" si="7"/>
        <v>0</v>
      </c>
      <c r="AK54" s="85"/>
      <c r="AL54" s="56">
        <v>0</v>
      </c>
      <c r="AM54" s="56"/>
      <c r="AN54" s="88">
        <v>-56671.88</v>
      </c>
      <c r="AO54" s="88">
        <v>0</v>
      </c>
      <c r="AP54" s="88">
        <v>21179.1</v>
      </c>
      <c r="AQ54" s="56"/>
      <c r="AR54" s="56">
        <v>0</v>
      </c>
      <c r="AS54" s="56"/>
      <c r="AT54" s="56">
        <v>0</v>
      </c>
      <c r="AU54" s="56"/>
      <c r="AV54" s="56">
        <f t="shared" si="8"/>
        <v>21179.1</v>
      </c>
      <c r="AW54" s="56"/>
      <c r="AX54" s="56">
        <v>0</v>
      </c>
      <c r="AY54" s="56"/>
      <c r="AZ54" s="56">
        <v>0</v>
      </c>
      <c r="BA54" s="56">
        <v>0</v>
      </c>
      <c r="BB54" s="214"/>
      <c r="BC54" s="56"/>
      <c r="BD54" s="84">
        <f t="shared" si="9"/>
        <v>77850.98</v>
      </c>
      <c r="BE54" s="56"/>
      <c r="BF54" s="56"/>
      <c r="BG54" s="56"/>
      <c r="BH54" s="72"/>
    </row>
    <row r="55" spans="1:62" ht="20.100000000000001" customHeight="1" outlineLevel="1">
      <c r="A55" s="77" t="s">
        <v>43</v>
      </c>
      <c r="B55" s="77" t="s">
        <v>91</v>
      </c>
      <c r="C55" s="77" t="str">
        <f t="shared" si="5"/>
        <v>BL·</v>
      </c>
      <c r="D55" s="78" t="s">
        <v>46</v>
      </c>
      <c r="E55" s="90" t="str">
        <f t="shared" si="4"/>
        <v>000</v>
      </c>
      <c r="F55" s="3">
        <v>673001</v>
      </c>
      <c r="G55" s="102" t="s">
        <v>129</v>
      </c>
      <c r="H55" s="87"/>
      <c r="I55" s="13">
        <v>26097</v>
      </c>
      <c r="J55" s="13">
        <v>22376</v>
      </c>
      <c r="L55" s="56">
        <v>6023</v>
      </c>
      <c r="M55" s="56"/>
      <c r="N55" s="56">
        <v>45000</v>
      </c>
      <c r="O55" s="56"/>
      <c r="P55" s="56">
        <v>45000</v>
      </c>
      <c r="Q55" s="56"/>
      <c r="R55" s="56">
        <v>45000</v>
      </c>
      <c r="S55" s="56"/>
      <c r="T55" s="56">
        <v>0</v>
      </c>
      <c r="U55" s="56"/>
      <c r="V55" s="56">
        <v>45000</v>
      </c>
      <c r="W55" s="56"/>
      <c r="X55" s="56">
        <v>0</v>
      </c>
      <c r="Y55" s="56"/>
      <c r="Z55" s="56">
        <v>45000</v>
      </c>
      <c r="AA55" s="56"/>
      <c r="AB55" s="56">
        <v>0</v>
      </c>
      <c r="AC55" s="56"/>
      <c r="AD55" s="56">
        <v>2322</v>
      </c>
      <c r="AE55" s="56"/>
      <c r="AF55" s="56">
        <f t="shared" si="10"/>
        <v>47322</v>
      </c>
      <c r="AG55" s="56">
        <v>0</v>
      </c>
      <c r="AH55" s="56">
        <v>0</v>
      </c>
      <c r="AI55" s="56"/>
      <c r="AJ55" s="56">
        <f t="shared" si="7"/>
        <v>47322</v>
      </c>
      <c r="AK55" s="85"/>
      <c r="AL55" s="56">
        <v>0</v>
      </c>
      <c r="AM55" s="56"/>
      <c r="AN55" s="88">
        <v>2883.37</v>
      </c>
      <c r="AO55" s="88">
        <v>0</v>
      </c>
      <c r="AP55" s="88">
        <v>0</v>
      </c>
      <c r="AQ55" s="56"/>
      <c r="AR55" s="56">
        <v>0</v>
      </c>
      <c r="AS55" s="56"/>
      <c r="AT55" s="56">
        <v>0</v>
      </c>
      <c r="AU55" s="56"/>
      <c r="AV55" s="56">
        <f t="shared" si="8"/>
        <v>0</v>
      </c>
      <c r="AW55" s="56"/>
      <c r="AX55" s="56">
        <v>0</v>
      </c>
      <c r="AY55" s="56"/>
      <c r="AZ55" s="56">
        <v>0</v>
      </c>
      <c r="BA55" s="56">
        <v>0</v>
      </c>
      <c r="BB55" s="214"/>
      <c r="BC55" s="56"/>
      <c r="BD55" s="84">
        <f t="shared" si="9"/>
        <v>-2883.37</v>
      </c>
      <c r="BE55" s="56"/>
      <c r="BF55" s="56"/>
      <c r="BG55" s="56"/>
      <c r="BH55" s="72"/>
    </row>
    <row r="56" spans="1:62" ht="20.100000000000001" customHeight="1" outlineLevel="1">
      <c r="A56" s="77" t="s">
        <v>43</v>
      </c>
      <c r="B56" s="77" t="s">
        <v>91</v>
      </c>
      <c r="C56" s="77" t="str">
        <f t="shared" si="5"/>
        <v>BL·</v>
      </c>
      <c r="D56" s="78" t="s">
        <v>46</v>
      </c>
      <c r="E56" s="90" t="str">
        <f t="shared" si="4"/>
        <v>000</v>
      </c>
      <c r="F56" s="3">
        <v>673111</v>
      </c>
      <c r="G56" s="102" t="s">
        <v>130</v>
      </c>
      <c r="H56" s="87"/>
      <c r="I56" s="13">
        <v>21987</v>
      </c>
      <c r="J56" s="13">
        <v>21233</v>
      </c>
      <c r="L56" s="56">
        <v>16366</v>
      </c>
      <c r="M56" s="56"/>
      <c r="N56" s="56">
        <v>16000</v>
      </c>
      <c r="O56" s="56"/>
      <c r="P56" s="56">
        <v>16000</v>
      </c>
      <c r="Q56" s="56"/>
      <c r="R56" s="56">
        <v>16000</v>
      </c>
      <c r="S56" s="56"/>
      <c r="T56" s="56">
        <v>0</v>
      </c>
      <c r="U56" s="56"/>
      <c r="V56" s="56">
        <v>16000</v>
      </c>
      <c r="W56" s="56"/>
      <c r="X56" s="56">
        <v>46642.02</v>
      </c>
      <c r="Y56" s="56"/>
      <c r="Z56" s="56">
        <v>16000</v>
      </c>
      <c r="AA56" s="56"/>
      <c r="AB56" s="56">
        <v>0</v>
      </c>
      <c r="AC56" s="56"/>
      <c r="AD56" s="56"/>
      <c r="AE56" s="56"/>
      <c r="AF56" s="56">
        <f t="shared" si="10"/>
        <v>16000</v>
      </c>
      <c r="AG56" s="56">
        <v>0</v>
      </c>
      <c r="AH56" s="56">
        <v>0</v>
      </c>
      <c r="AI56" s="56"/>
      <c r="AJ56" s="56">
        <f t="shared" si="7"/>
        <v>16000</v>
      </c>
      <c r="AK56" s="85"/>
      <c r="AL56" s="56">
        <v>0</v>
      </c>
      <c r="AM56" s="56"/>
      <c r="AN56" s="88">
        <v>8769.09</v>
      </c>
      <c r="AO56" s="88">
        <v>0</v>
      </c>
      <c r="AP56" s="88">
        <v>0</v>
      </c>
      <c r="AQ56" s="56"/>
      <c r="AR56" s="56">
        <v>0</v>
      </c>
      <c r="AS56" s="56"/>
      <c r="AT56" s="56">
        <v>0</v>
      </c>
      <c r="AU56" s="56"/>
      <c r="AV56" s="56">
        <f t="shared" si="8"/>
        <v>0</v>
      </c>
      <c r="AW56" s="56"/>
      <c r="AX56" s="56">
        <v>0</v>
      </c>
      <c r="AY56" s="56"/>
      <c r="AZ56" s="56">
        <v>16000</v>
      </c>
      <c r="BA56" s="56">
        <v>16000</v>
      </c>
      <c r="BB56" s="214"/>
      <c r="BC56" s="56"/>
      <c r="BD56" s="84">
        <f t="shared" si="9"/>
        <v>-8769.09</v>
      </c>
      <c r="BE56" s="56"/>
      <c r="BF56" s="56"/>
      <c r="BG56" s="56"/>
      <c r="BH56" s="72"/>
    </row>
    <row r="57" spans="1:62" ht="20.100000000000001" customHeight="1" outlineLevel="1">
      <c r="A57" s="77" t="s">
        <v>43</v>
      </c>
      <c r="B57" s="77" t="s">
        <v>91</v>
      </c>
      <c r="C57" s="77" t="str">
        <f t="shared" si="5"/>
        <v>BL·</v>
      </c>
      <c r="D57" s="78" t="s">
        <v>46</v>
      </c>
      <c r="E57" s="90" t="str">
        <f t="shared" si="4"/>
        <v>000</v>
      </c>
      <c r="F57" s="3">
        <v>673112</v>
      </c>
      <c r="G57" s="102" t="s">
        <v>131</v>
      </c>
      <c r="H57" s="87"/>
      <c r="I57" s="13">
        <v>0</v>
      </c>
      <c r="J57" s="13">
        <v>2458</v>
      </c>
      <c r="L57" s="56">
        <v>0</v>
      </c>
      <c r="M57" s="56"/>
      <c r="N57" s="56">
        <v>0</v>
      </c>
      <c r="O57" s="56"/>
      <c r="P57" s="56">
        <v>0</v>
      </c>
      <c r="Q57" s="56"/>
      <c r="R57" s="56">
        <v>0</v>
      </c>
      <c r="S57" s="56"/>
      <c r="T57" s="56">
        <v>0</v>
      </c>
      <c r="U57" s="56"/>
      <c r="V57" s="56">
        <v>0</v>
      </c>
      <c r="W57" s="56"/>
      <c r="X57" s="56">
        <v>0</v>
      </c>
      <c r="Y57" s="56"/>
      <c r="Z57" s="56">
        <v>0</v>
      </c>
      <c r="AA57" s="56"/>
      <c r="AB57" s="56">
        <v>0</v>
      </c>
      <c r="AC57" s="56"/>
      <c r="AD57" s="56"/>
      <c r="AE57" s="56"/>
      <c r="AF57" s="56">
        <f t="shared" si="10"/>
        <v>0</v>
      </c>
      <c r="AG57" s="56">
        <v>0</v>
      </c>
      <c r="AH57" s="56">
        <v>0</v>
      </c>
      <c r="AI57" s="56"/>
      <c r="AJ57" s="56">
        <f t="shared" si="7"/>
        <v>0</v>
      </c>
      <c r="AK57" s="85"/>
      <c r="AL57" s="56">
        <v>0</v>
      </c>
      <c r="AM57" s="56"/>
      <c r="AN57" s="88">
        <f>SUM(AI57:AM57)</f>
        <v>0</v>
      </c>
      <c r="AO57" s="88">
        <v>0</v>
      </c>
      <c r="AP57" s="88">
        <v>0</v>
      </c>
      <c r="AQ57" s="56"/>
      <c r="AR57" s="56">
        <v>0</v>
      </c>
      <c r="AS57" s="56"/>
      <c r="AT57" s="56">
        <v>0</v>
      </c>
      <c r="AU57" s="56"/>
      <c r="AV57" s="56">
        <f t="shared" si="8"/>
        <v>0</v>
      </c>
      <c r="AW57" s="56"/>
      <c r="AX57" s="56">
        <v>0</v>
      </c>
      <c r="AY57" s="56"/>
      <c r="AZ57" s="56">
        <v>0</v>
      </c>
      <c r="BA57" s="56">
        <v>0</v>
      </c>
      <c r="BB57" s="214"/>
      <c r="BC57" s="56"/>
      <c r="BD57" s="84">
        <f t="shared" si="9"/>
        <v>0</v>
      </c>
      <c r="BE57" s="56"/>
      <c r="BF57" s="56"/>
      <c r="BG57" s="56"/>
      <c r="BH57" s="72"/>
    </row>
    <row r="58" spans="1:62" ht="20.100000000000001" customHeight="1" outlineLevel="1">
      <c r="A58" s="77" t="s">
        <v>43</v>
      </c>
      <c r="B58" s="77" t="s">
        <v>91</v>
      </c>
      <c r="C58" s="77" t="str">
        <f t="shared" si="5"/>
        <v>BL·</v>
      </c>
      <c r="D58" s="78" t="s">
        <v>46</v>
      </c>
      <c r="E58" s="90" t="str">
        <f t="shared" si="4"/>
        <v>000</v>
      </c>
      <c r="F58" s="3">
        <v>673113</v>
      </c>
      <c r="G58" s="102" t="s">
        <v>132</v>
      </c>
      <c r="H58" s="87"/>
      <c r="I58" s="13">
        <v>117467</v>
      </c>
      <c r="J58" s="13">
        <v>45333</v>
      </c>
      <c r="L58" s="56">
        <v>63417</v>
      </c>
      <c r="M58" s="56"/>
      <c r="N58" s="56">
        <v>145000</v>
      </c>
      <c r="O58" s="56"/>
      <c r="P58" s="56">
        <v>145000</v>
      </c>
      <c r="Q58" s="56"/>
      <c r="R58" s="56">
        <v>145000</v>
      </c>
      <c r="S58" s="56"/>
      <c r="T58" s="56">
        <v>0</v>
      </c>
      <c r="U58" s="56"/>
      <c r="V58" s="56">
        <v>145000</v>
      </c>
      <c r="W58" s="56"/>
      <c r="X58" s="56">
        <v>84090.559999999998</v>
      </c>
      <c r="Y58" s="56"/>
      <c r="Z58" s="56">
        <v>145000</v>
      </c>
      <c r="AA58" s="56"/>
      <c r="AB58" s="56">
        <v>0</v>
      </c>
      <c r="AC58" s="56"/>
      <c r="AD58" s="56"/>
      <c r="AE58" s="56"/>
      <c r="AF58" s="56">
        <f t="shared" si="10"/>
        <v>145000</v>
      </c>
      <c r="AG58" s="56">
        <v>-45000</v>
      </c>
      <c r="AH58" s="56">
        <v>0</v>
      </c>
      <c r="AI58" s="56"/>
      <c r="AJ58" s="56">
        <f t="shared" si="7"/>
        <v>100000</v>
      </c>
      <c r="AK58" s="85"/>
      <c r="AL58" s="56">
        <v>-100000</v>
      </c>
      <c r="AM58" s="56"/>
      <c r="AN58" s="88">
        <f>SUM(AI58:AM58)</f>
        <v>0</v>
      </c>
      <c r="AO58" s="88">
        <v>0</v>
      </c>
      <c r="AP58" s="88">
        <v>0</v>
      </c>
      <c r="AQ58" s="56"/>
      <c r="AR58" s="56">
        <v>0</v>
      </c>
      <c r="AS58" s="56"/>
      <c r="AT58" s="56">
        <v>0</v>
      </c>
      <c r="AU58" s="56"/>
      <c r="AV58" s="56">
        <f t="shared" si="8"/>
        <v>0</v>
      </c>
      <c r="AW58" s="56"/>
      <c r="AX58" s="56">
        <v>0</v>
      </c>
      <c r="AY58" s="56"/>
      <c r="AZ58" s="56">
        <v>85000</v>
      </c>
      <c r="BA58" s="56">
        <v>85000</v>
      </c>
      <c r="BB58" s="214"/>
      <c r="BC58" s="56"/>
      <c r="BD58" s="84">
        <f t="shared" si="9"/>
        <v>0</v>
      </c>
      <c r="BE58" s="56"/>
      <c r="BF58" s="56"/>
      <c r="BG58" s="56"/>
      <c r="BH58" s="72"/>
    </row>
    <row r="59" spans="1:62" ht="20.100000000000001" customHeight="1" outlineLevel="1">
      <c r="A59" s="77" t="s">
        <v>43</v>
      </c>
      <c r="B59" s="77" t="s">
        <v>91</v>
      </c>
      <c r="C59" s="77" t="str">
        <f t="shared" si="5"/>
        <v>BL·</v>
      </c>
      <c r="D59" s="78" t="s">
        <v>46</v>
      </c>
      <c r="E59" s="90" t="str">
        <f t="shared" si="4"/>
        <v>000</v>
      </c>
      <c r="F59" s="3">
        <v>673211</v>
      </c>
      <c r="G59" s="102" t="s">
        <v>133</v>
      </c>
      <c r="H59" s="87"/>
      <c r="I59" s="13">
        <v>94848</v>
      </c>
      <c r="J59" s="13">
        <v>120333</v>
      </c>
      <c r="L59" s="56">
        <v>116060</v>
      </c>
      <c r="M59" s="56"/>
      <c r="N59" s="56">
        <v>175000</v>
      </c>
      <c r="O59" s="56"/>
      <c r="P59" s="56">
        <v>175000</v>
      </c>
      <c r="Q59" s="56"/>
      <c r="R59" s="56">
        <v>175000</v>
      </c>
      <c r="S59" s="56"/>
      <c r="T59" s="56">
        <v>0</v>
      </c>
      <c r="U59" s="56"/>
      <c r="V59" s="56">
        <v>175000</v>
      </c>
      <c r="W59" s="56"/>
      <c r="X59" s="56">
        <v>132156.35</v>
      </c>
      <c r="Y59" s="56"/>
      <c r="Z59" s="56">
        <v>175000</v>
      </c>
      <c r="AA59" s="56"/>
      <c r="AB59" s="56">
        <v>0</v>
      </c>
      <c r="AC59" s="56"/>
      <c r="AD59" s="56"/>
      <c r="AE59" s="56"/>
      <c r="AF59" s="56">
        <f t="shared" si="10"/>
        <v>175000</v>
      </c>
      <c r="AG59" s="56">
        <v>0</v>
      </c>
      <c r="AH59" s="56">
        <v>0</v>
      </c>
      <c r="AI59" s="56"/>
      <c r="AJ59" s="56">
        <f t="shared" si="7"/>
        <v>175000</v>
      </c>
      <c r="AK59" s="85"/>
      <c r="AL59" s="56">
        <v>0</v>
      </c>
      <c r="AM59" s="56"/>
      <c r="AN59" s="88">
        <v>177851</v>
      </c>
      <c r="AO59" s="88">
        <v>0</v>
      </c>
      <c r="AP59" s="88">
        <v>141973</v>
      </c>
      <c r="AQ59" s="56"/>
      <c r="AR59" s="56">
        <v>0</v>
      </c>
      <c r="AS59" s="56"/>
      <c r="AT59" s="56">
        <v>0</v>
      </c>
      <c r="AU59" s="56"/>
      <c r="AV59" s="56">
        <f t="shared" si="8"/>
        <v>141973</v>
      </c>
      <c r="AW59" s="56"/>
      <c r="AX59" s="56">
        <v>0</v>
      </c>
      <c r="AY59" s="56"/>
      <c r="AZ59" s="56">
        <v>0</v>
      </c>
      <c r="BA59" s="56">
        <v>0</v>
      </c>
      <c r="BB59" s="214"/>
      <c r="BC59" s="56"/>
      <c r="BD59" s="84">
        <f t="shared" si="9"/>
        <v>-35878</v>
      </c>
      <c r="BE59" s="56"/>
      <c r="BF59" s="56"/>
      <c r="BG59" s="56"/>
      <c r="BH59" s="72"/>
    </row>
    <row r="60" spans="1:62" ht="20.100000000000001" customHeight="1" outlineLevel="1">
      <c r="A60" s="77" t="s">
        <v>43</v>
      </c>
      <c r="B60" s="77" t="s">
        <v>134</v>
      </c>
      <c r="C60" s="77" t="str">
        <f t="shared" si="5"/>
        <v>BL·</v>
      </c>
      <c r="D60" s="78" t="s">
        <v>46</v>
      </c>
      <c r="E60" s="90" t="str">
        <f t="shared" si="4"/>
        <v>000</v>
      </c>
      <c r="F60" s="3">
        <v>611118</v>
      </c>
      <c r="G60" s="102" t="s">
        <v>135</v>
      </c>
      <c r="H60" s="87"/>
      <c r="I60" s="13">
        <v>57203</v>
      </c>
      <c r="J60" s="13">
        <v>57230</v>
      </c>
      <c r="L60" s="56">
        <v>60430</v>
      </c>
      <c r="M60" s="56"/>
      <c r="N60" s="56">
        <v>58980</v>
      </c>
      <c r="O60" s="56"/>
      <c r="P60" s="56">
        <v>58980</v>
      </c>
      <c r="Q60" s="56"/>
      <c r="R60" s="56">
        <v>60930</v>
      </c>
      <c r="S60" s="56"/>
      <c r="T60" s="56">
        <v>0</v>
      </c>
      <c r="U60" s="56"/>
      <c r="V60" s="56">
        <v>60930</v>
      </c>
      <c r="W60" s="56"/>
      <c r="X60" s="56">
        <v>60929.96</v>
      </c>
      <c r="Y60" s="56"/>
      <c r="Z60" s="56">
        <v>59230</v>
      </c>
      <c r="AA60" s="56"/>
      <c r="AB60" s="56">
        <v>0</v>
      </c>
      <c r="AC60" s="56"/>
      <c r="AD60" s="56"/>
      <c r="AE60" s="56"/>
      <c r="AF60" s="56">
        <f t="shared" si="10"/>
        <v>59230</v>
      </c>
      <c r="AG60" s="104">
        <v>3000</v>
      </c>
      <c r="AH60" s="56">
        <v>2250</v>
      </c>
      <c r="AI60" s="56"/>
      <c r="AJ60" s="56">
        <f t="shared" si="7"/>
        <v>64480</v>
      </c>
      <c r="AK60" s="85"/>
      <c r="AL60" s="56">
        <v>0</v>
      </c>
      <c r="AM60" s="56"/>
      <c r="AN60" s="88">
        <v>64479.96</v>
      </c>
      <c r="AO60" s="88">
        <v>0</v>
      </c>
      <c r="AP60" s="88">
        <v>62229.96</v>
      </c>
      <c r="AQ60" s="56"/>
      <c r="AR60" s="56">
        <v>0</v>
      </c>
      <c r="AS60" s="56"/>
      <c r="AT60" s="56">
        <v>0</v>
      </c>
      <c r="AU60" s="56"/>
      <c r="AV60" s="56">
        <f t="shared" si="8"/>
        <v>62229.96</v>
      </c>
      <c r="AW60" s="56"/>
      <c r="AX60" s="56">
        <v>0</v>
      </c>
      <c r="AY60" s="56"/>
      <c r="AZ60" s="56">
        <v>62230</v>
      </c>
      <c r="BA60" s="56">
        <v>62230</v>
      </c>
      <c r="BB60" s="214"/>
      <c r="BC60" s="56"/>
      <c r="BD60" s="84">
        <f t="shared" si="9"/>
        <v>-2250</v>
      </c>
      <c r="BE60" s="56"/>
      <c r="BF60" s="56"/>
      <c r="BG60" s="56"/>
      <c r="BH60" s="72">
        <v>2</v>
      </c>
      <c r="BJ60">
        <v>2</v>
      </c>
    </row>
    <row r="61" spans="1:62" ht="20.100000000000001" customHeight="1" outlineLevel="1">
      <c r="A61" s="77" t="s">
        <v>43</v>
      </c>
      <c r="B61" s="77" t="s">
        <v>134</v>
      </c>
      <c r="C61" s="77" t="str">
        <f t="shared" si="5"/>
        <v>BL·</v>
      </c>
      <c r="D61" s="78" t="s">
        <v>46</v>
      </c>
      <c r="E61" s="90" t="str">
        <f t="shared" si="4"/>
        <v>000</v>
      </c>
      <c r="F61" s="3">
        <v>611119</v>
      </c>
      <c r="G61" s="102" t="s">
        <v>136</v>
      </c>
      <c r="H61" s="87"/>
      <c r="I61" s="13">
        <v>0</v>
      </c>
      <c r="J61" s="13">
        <v>0</v>
      </c>
      <c r="L61" s="56">
        <v>0</v>
      </c>
      <c r="M61" s="56"/>
      <c r="N61" s="56">
        <v>0</v>
      </c>
      <c r="O61" s="56"/>
      <c r="P61" s="56">
        <v>0</v>
      </c>
      <c r="Q61" s="56"/>
      <c r="R61" s="56">
        <v>0</v>
      </c>
      <c r="S61" s="56"/>
      <c r="T61" s="56">
        <v>0</v>
      </c>
      <c r="U61" s="56"/>
      <c r="V61" s="56">
        <v>0</v>
      </c>
      <c r="W61" s="56"/>
      <c r="X61" s="56">
        <v>0</v>
      </c>
      <c r="Y61" s="56"/>
      <c r="Z61" s="56">
        <v>0</v>
      </c>
      <c r="AA61" s="56"/>
      <c r="AB61" s="56">
        <v>0</v>
      </c>
      <c r="AC61" s="56"/>
      <c r="AD61" s="56"/>
      <c r="AE61" s="56"/>
      <c r="AF61" s="56">
        <f t="shared" si="10"/>
        <v>0</v>
      </c>
      <c r="AG61" s="56">
        <v>0</v>
      </c>
      <c r="AH61" s="56">
        <v>0</v>
      </c>
      <c r="AI61" s="56"/>
      <c r="AJ61" s="56">
        <f t="shared" si="7"/>
        <v>0</v>
      </c>
      <c r="AK61" s="85"/>
      <c r="AL61" s="56">
        <v>0</v>
      </c>
      <c r="AM61" s="56"/>
      <c r="AN61" s="88">
        <f>SUM(AI61:AM61)</f>
        <v>0</v>
      </c>
      <c r="AO61" s="88">
        <v>0</v>
      </c>
      <c r="AP61" s="88">
        <v>0</v>
      </c>
      <c r="AQ61" s="56"/>
      <c r="AR61" s="56">
        <v>0</v>
      </c>
      <c r="AS61" s="56"/>
      <c r="AT61" s="56">
        <v>0</v>
      </c>
      <c r="AU61" s="56"/>
      <c r="AV61" s="56">
        <f t="shared" si="8"/>
        <v>0</v>
      </c>
      <c r="AW61" s="56"/>
      <c r="AX61" s="56">
        <v>0</v>
      </c>
      <c r="AY61" s="56"/>
      <c r="AZ61" s="56">
        <v>0</v>
      </c>
      <c r="BA61" s="56"/>
      <c r="BB61" s="214"/>
      <c r="BC61" s="56"/>
      <c r="BD61" s="84">
        <f t="shared" si="9"/>
        <v>0</v>
      </c>
      <c r="BE61" s="56"/>
      <c r="BF61" s="56"/>
      <c r="BG61" s="56"/>
      <c r="BH61" s="72">
        <v>0</v>
      </c>
    </row>
    <row r="62" spans="1:62" ht="20.100000000000001" customHeight="1" outlineLevel="1">
      <c r="A62" s="77" t="s">
        <v>43</v>
      </c>
      <c r="B62" s="77" t="s">
        <v>134</v>
      </c>
      <c r="C62" s="77" t="str">
        <f t="shared" si="5"/>
        <v>BL·</v>
      </c>
      <c r="D62" s="78" t="s">
        <v>46</v>
      </c>
      <c r="E62" s="90" t="str">
        <f t="shared" si="4"/>
        <v>000</v>
      </c>
      <c r="F62" s="3">
        <v>611411</v>
      </c>
      <c r="G62" s="102" t="s">
        <v>80</v>
      </c>
      <c r="H62" s="87"/>
      <c r="I62" s="13">
        <v>104276</v>
      </c>
      <c r="J62" s="13">
        <v>89505</v>
      </c>
      <c r="L62" s="56">
        <v>73151</v>
      </c>
      <c r="M62" s="56"/>
      <c r="N62" s="56">
        <v>79201</v>
      </c>
      <c r="O62" s="56"/>
      <c r="P62" s="56">
        <v>79201</v>
      </c>
      <c r="Q62" s="56"/>
      <c r="R62" s="56">
        <v>84301</v>
      </c>
      <c r="S62" s="56"/>
      <c r="T62" s="56">
        <v>0</v>
      </c>
      <c r="U62" s="56"/>
      <c r="V62" s="56">
        <v>84301</v>
      </c>
      <c r="W62" s="56"/>
      <c r="X62" s="56">
        <v>75351</v>
      </c>
      <c r="Y62" s="56"/>
      <c r="Z62" s="56">
        <v>78000</v>
      </c>
      <c r="AA62" s="56"/>
      <c r="AB62" s="56">
        <v>0</v>
      </c>
      <c r="AC62" s="56"/>
      <c r="AD62" s="56"/>
      <c r="AE62" s="56"/>
      <c r="AF62" s="56">
        <f t="shared" si="10"/>
        <v>78000</v>
      </c>
      <c r="AG62" s="56">
        <v>0</v>
      </c>
      <c r="AH62" s="56">
        <v>6750</v>
      </c>
      <c r="AI62" s="56"/>
      <c r="AJ62" s="56">
        <f t="shared" si="7"/>
        <v>84750</v>
      </c>
      <c r="AK62" s="85"/>
      <c r="AL62" s="56">
        <v>0</v>
      </c>
      <c r="AM62" s="56"/>
      <c r="AN62" s="88">
        <v>77731</v>
      </c>
      <c r="AO62" s="88">
        <v>0</v>
      </c>
      <c r="AP62" s="88">
        <v>73381.39</v>
      </c>
      <c r="AQ62" s="56"/>
      <c r="AR62" s="56">
        <v>0</v>
      </c>
      <c r="AS62" s="56"/>
      <c r="AT62" s="56">
        <v>0</v>
      </c>
      <c r="AU62" s="56"/>
      <c r="AV62" s="56">
        <f t="shared" si="8"/>
        <v>73381.39</v>
      </c>
      <c r="AW62" s="56"/>
      <c r="AX62" s="56">
        <v>0</v>
      </c>
      <c r="AY62" s="56"/>
      <c r="AZ62" s="56">
        <v>78000</v>
      </c>
      <c r="BA62" s="56">
        <v>78000</v>
      </c>
      <c r="BB62" s="214"/>
      <c r="BC62" s="56"/>
      <c r="BD62" s="84">
        <f t="shared" si="9"/>
        <v>-4349.6100000000006</v>
      </c>
      <c r="BE62" s="56"/>
      <c r="BF62" s="56"/>
      <c r="BG62" s="56"/>
      <c r="BH62" s="72">
        <v>1</v>
      </c>
      <c r="BJ62">
        <v>1</v>
      </c>
    </row>
    <row r="63" spans="1:62" ht="20.100000000000001" customHeight="1" outlineLevel="1">
      <c r="A63" s="77" t="s">
        <v>43</v>
      </c>
      <c r="B63" s="77" t="s">
        <v>137</v>
      </c>
      <c r="C63" s="77" t="str">
        <f t="shared" si="5"/>
        <v>BL·</v>
      </c>
      <c r="D63" s="78" t="s">
        <v>46</v>
      </c>
      <c r="E63" s="90" t="str">
        <f t="shared" si="4"/>
        <v>000</v>
      </c>
      <c r="F63" s="3">
        <v>611631</v>
      </c>
      <c r="G63" s="102" t="s">
        <v>138</v>
      </c>
      <c r="H63" s="87"/>
      <c r="I63" s="13">
        <v>4214321</v>
      </c>
      <c r="J63" s="13">
        <v>4052135</v>
      </c>
      <c r="L63" s="56">
        <v>4818842</v>
      </c>
      <c r="M63" s="56"/>
      <c r="N63" s="56">
        <v>4769000</v>
      </c>
      <c r="O63" s="56"/>
      <c r="P63" s="56">
        <v>4761358</v>
      </c>
      <c r="Q63" s="56"/>
      <c r="R63" s="56">
        <v>5136897</v>
      </c>
      <c r="S63" s="56"/>
      <c r="T63" s="56">
        <v>0</v>
      </c>
      <c r="U63" s="56"/>
      <c r="V63" s="56">
        <v>5136897</v>
      </c>
      <c r="W63" s="56"/>
      <c r="X63" s="56">
        <v>5010964.7</v>
      </c>
      <c r="Y63" s="56"/>
      <c r="Z63" s="56">
        <v>4809000</v>
      </c>
      <c r="AA63" s="56"/>
      <c r="AB63" s="56">
        <v>0</v>
      </c>
      <c r="AC63" s="56"/>
      <c r="AD63" s="56"/>
      <c r="AE63" s="56"/>
      <c r="AF63" s="56">
        <f t="shared" si="10"/>
        <v>4809000</v>
      </c>
      <c r="AG63" s="104">
        <v>59106</v>
      </c>
      <c r="AH63" s="56">
        <v>488250</v>
      </c>
      <c r="AI63" s="56"/>
      <c r="AJ63" s="56">
        <f t="shared" si="7"/>
        <v>5356356</v>
      </c>
      <c r="AK63" s="85"/>
      <c r="AL63" s="56">
        <v>5000</v>
      </c>
      <c r="AM63" s="56"/>
      <c r="AN63" s="88">
        <v>5176473.7699999996</v>
      </c>
      <c r="AO63" s="88">
        <v>0</v>
      </c>
      <c r="AP63" s="88">
        <v>4667672.62</v>
      </c>
      <c r="AQ63" s="56"/>
      <c r="AR63" s="56">
        <v>0</v>
      </c>
      <c r="AS63" s="56"/>
      <c r="AT63" s="56">
        <v>0</v>
      </c>
      <c r="AU63" s="56"/>
      <c r="AV63" s="56">
        <f t="shared" si="8"/>
        <v>4667672.62</v>
      </c>
      <c r="AW63" s="56"/>
      <c r="AX63" s="56">
        <v>5000</v>
      </c>
      <c r="AY63" s="56"/>
      <c r="AZ63" s="56">
        <v>4845000</v>
      </c>
      <c r="BA63" s="56">
        <v>4845000</v>
      </c>
      <c r="BB63" s="214"/>
      <c r="BC63" s="56"/>
      <c r="BD63" s="84">
        <f t="shared" si="9"/>
        <v>-508801.14999999944</v>
      </c>
      <c r="BE63" s="56"/>
      <c r="BF63" s="56"/>
      <c r="BG63" s="56"/>
      <c r="BH63" s="72">
        <v>2</v>
      </c>
      <c r="BJ63">
        <v>2</v>
      </c>
    </row>
    <row r="64" spans="1:62" ht="20.100000000000001" customHeight="1" outlineLevel="1">
      <c r="A64" s="77" t="s">
        <v>43</v>
      </c>
      <c r="B64" s="77" t="s">
        <v>137</v>
      </c>
      <c r="C64" s="77" t="str">
        <f t="shared" si="5"/>
        <v>BL·</v>
      </c>
      <c r="D64" s="78" t="s">
        <v>46</v>
      </c>
      <c r="E64" s="90" t="str">
        <f t="shared" si="4"/>
        <v>000</v>
      </c>
      <c r="F64" s="3">
        <v>611632</v>
      </c>
      <c r="G64" s="102" t="s">
        <v>139</v>
      </c>
      <c r="H64" s="87"/>
      <c r="I64" s="13">
        <v>44370</v>
      </c>
      <c r="J64" s="13">
        <v>31222</v>
      </c>
      <c r="L64" s="56">
        <v>19888</v>
      </c>
      <c r="M64" s="56"/>
      <c r="N64" s="56">
        <v>45000</v>
      </c>
      <c r="O64" s="56"/>
      <c r="P64" s="56">
        <v>45000</v>
      </c>
      <c r="Q64" s="56"/>
      <c r="R64" s="56">
        <v>45000</v>
      </c>
      <c r="S64" s="56"/>
      <c r="T64" s="56">
        <v>0</v>
      </c>
      <c r="U64" s="56"/>
      <c r="V64" s="56">
        <v>45000</v>
      </c>
      <c r="W64" s="56"/>
      <c r="X64" s="56">
        <v>27820.35</v>
      </c>
      <c r="Y64" s="56"/>
      <c r="Z64" s="56">
        <v>45000</v>
      </c>
      <c r="AA64" s="56"/>
      <c r="AB64" s="56">
        <v>0</v>
      </c>
      <c r="AC64" s="56"/>
      <c r="AD64" s="56"/>
      <c r="AE64" s="56"/>
      <c r="AF64" s="56">
        <f t="shared" si="10"/>
        <v>45000</v>
      </c>
      <c r="AG64" s="56">
        <v>0</v>
      </c>
      <c r="AH64" s="56">
        <v>0</v>
      </c>
      <c r="AI64" s="56"/>
      <c r="AJ64" s="56">
        <f t="shared" si="7"/>
        <v>45000</v>
      </c>
      <c r="AK64" s="85"/>
      <c r="AL64" s="56">
        <v>0</v>
      </c>
      <c r="AM64" s="56"/>
      <c r="AN64" s="88">
        <v>57507.53</v>
      </c>
      <c r="AO64" s="88">
        <v>0</v>
      </c>
      <c r="AP64" s="88">
        <v>79871.570000000007</v>
      </c>
      <c r="AQ64" s="56"/>
      <c r="AR64" s="56">
        <v>0</v>
      </c>
      <c r="AS64" s="56"/>
      <c r="AT64" s="56">
        <v>0</v>
      </c>
      <c r="AU64" s="56"/>
      <c r="AV64" s="56">
        <f t="shared" si="8"/>
        <v>79871.570000000007</v>
      </c>
      <c r="AW64" s="56"/>
      <c r="AX64" s="56">
        <v>0</v>
      </c>
      <c r="AY64" s="56"/>
      <c r="AZ64" s="56">
        <v>45000</v>
      </c>
      <c r="BA64" s="56">
        <v>45000</v>
      </c>
      <c r="BB64" s="214"/>
      <c r="BC64" s="56"/>
      <c r="BD64" s="84">
        <f t="shared" si="9"/>
        <v>22364.040000000008</v>
      </c>
      <c r="BE64" s="56"/>
      <c r="BF64" s="56"/>
      <c r="BG64" s="56"/>
      <c r="BH64" s="72">
        <v>0</v>
      </c>
      <c r="BJ64">
        <v>0</v>
      </c>
    </row>
    <row r="65" spans="1:62" ht="20.100000000000001" customHeight="1" outlineLevel="1">
      <c r="A65" s="77" t="s">
        <v>43</v>
      </c>
      <c r="B65" s="77" t="s">
        <v>137</v>
      </c>
      <c r="C65" s="77" t="str">
        <f t="shared" si="5"/>
        <v>BL·</v>
      </c>
      <c r="D65" s="78" t="s">
        <v>46</v>
      </c>
      <c r="E65" s="90" t="str">
        <f t="shared" si="4"/>
        <v>000</v>
      </c>
      <c r="F65" s="3">
        <v>611633</v>
      </c>
      <c r="G65" s="102" t="s">
        <v>140</v>
      </c>
      <c r="H65" s="87"/>
      <c r="I65" s="13">
        <v>81308</v>
      </c>
      <c r="J65" s="13">
        <v>62322</v>
      </c>
      <c r="L65" s="56">
        <v>44234</v>
      </c>
      <c r="M65" s="56"/>
      <c r="N65" s="56">
        <v>65000</v>
      </c>
      <c r="O65" s="56"/>
      <c r="P65" s="56">
        <v>65000</v>
      </c>
      <c r="Q65" s="56"/>
      <c r="R65" s="56">
        <v>65000</v>
      </c>
      <c r="S65" s="56"/>
      <c r="T65" s="56">
        <v>0</v>
      </c>
      <c r="U65" s="56"/>
      <c r="V65" s="56">
        <v>65000</v>
      </c>
      <c r="W65" s="56"/>
      <c r="X65" s="56">
        <v>50272.63</v>
      </c>
      <c r="Y65" s="56"/>
      <c r="Z65" s="56">
        <v>80000</v>
      </c>
      <c r="AA65" s="56"/>
      <c r="AB65" s="56">
        <v>0</v>
      </c>
      <c r="AC65" s="56"/>
      <c r="AD65" s="56"/>
      <c r="AE65" s="56"/>
      <c r="AF65" s="56">
        <f t="shared" si="10"/>
        <v>80000</v>
      </c>
      <c r="AG65" s="56">
        <v>0</v>
      </c>
      <c r="AH65" s="56">
        <v>0</v>
      </c>
      <c r="AI65" s="56"/>
      <c r="AJ65" s="56">
        <f t="shared" si="7"/>
        <v>80000</v>
      </c>
      <c r="AK65" s="85"/>
      <c r="AL65" s="56">
        <v>0</v>
      </c>
      <c r="AM65" s="56"/>
      <c r="AN65" s="88">
        <v>65250.82</v>
      </c>
      <c r="AO65" s="88">
        <v>0</v>
      </c>
      <c r="AP65" s="88">
        <v>45035</v>
      </c>
      <c r="AQ65" s="56"/>
      <c r="AR65" s="56">
        <v>0</v>
      </c>
      <c r="AS65" s="56"/>
      <c r="AT65" s="56">
        <v>0</v>
      </c>
      <c r="AU65" s="56"/>
      <c r="AV65" s="56">
        <f t="shared" si="8"/>
        <v>45035</v>
      </c>
      <c r="AW65" s="56"/>
      <c r="AX65" s="56">
        <v>0</v>
      </c>
      <c r="AY65" s="56"/>
      <c r="AZ65" s="56">
        <v>0</v>
      </c>
      <c r="BA65" s="56">
        <v>0</v>
      </c>
      <c r="BB65" s="214"/>
      <c r="BC65" s="56"/>
      <c r="BD65" s="84">
        <f t="shared" si="9"/>
        <v>-20215.82</v>
      </c>
      <c r="BE65" s="56"/>
      <c r="BF65" s="56"/>
      <c r="BG65" s="56"/>
      <c r="BH65" s="72">
        <v>2</v>
      </c>
      <c r="BJ65">
        <v>2</v>
      </c>
    </row>
    <row r="66" spans="1:62" ht="20.100000000000001" customHeight="1" outlineLevel="1">
      <c r="A66" s="77" t="s">
        <v>43</v>
      </c>
      <c r="B66" s="77" t="s">
        <v>137</v>
      </c>
      <c r="C66" s="77" t="str">
        <f t="shared" si="5"/>
        <v>BL·</v>
      </c>
      <c r="D66" s="78" t="s">
        <v>46</v>
      </c>
      <c r="E66" s="90" t="str">
        <f t="shared" si="4"/>
        <v>000</v>
      </c>
      <c r="F66" s="3">
        <v>611711</v>
      </c>
      <c r="G66" s="102" t="s">
        <v>141</v>
      </c>
      <c r="H66" s="87"/>
      <c r="I66" s="13">
        <v>64005</v>
      </c>
      <c r="J66" s="13">
        <v>48102</v>
      </c>
      <c r="L66" s="56">
        <v>0</v>
      </c>
      <c r="M66" s="56"/>
      <c r="N66" s="56">
        <v>0</v>
      </c>
      <c r="O66" s="56"/>
      <c r="P66" s="56">
        <v>0</v>
      </c>
      <c r="Q66" s="56"/>
      <c r="R66" s="56">
        <v>0</v>
      </c>
      <c r="S66" s="56"/>
      <c r="T66" s="56">
        <v>0</v>
      </c>
      <c r="U66" s="56"/>
      <c r="V66" s="56">
        <v>0</v>
      </c>
      <c r="W66" s="56"/>
      <c r="X66" s="56">
        <v>0</v>
      </c>
      <c r="Y66" s="56"/>
      <c r="Z66" s="56">
        <v>0</v>
      </c>
      <c r="AA66" s="56"/>
      <c r="AB66" s="56">
        <v>0</v>
      </c>
      <c r="AC66" s="56"/>
      <c r="AD66" s="56"/>
      <c r="AE66" s="56"/>
      <c r="AF66" s="56">
        <f t="shared" si="10"/>
        <v>0</v>
      </c>
      <c r="AG66" s="56">
        <v>0</v>
      </c>
      <c r="AH66" s="56">
        <v>0</v>
      </c>
      <c r="AI66" s="56"/>
      <c r="AJ66" s="56">
        <f t="shared" si="7"/>
        <v>0</v>
      </c>
      <c r="AK66" s="85"/>
      <c r="AL66" s="56">
        <v>0</v>
      </c>
      <c r="AM66" s="56"/>
      <c r="AN66" s="88">
        <f>SUM(AI66:AM66)</f>
        <v>0</v>
      </c>
      <c r="AO66" s="88">
        <v>0</v>
      </c>
      <c r="AP66" s="88">
        <v>0</v>
      </c>
      <c r="AQ66" s="56"/>
      <c r="AR66" s="56">
        <v>0</v>
      </c>
      <c r="AS66" s="56"/>
      <c r="AT66" s="56">
        <v>0</v>
      </c>
      <c r="AU66" s="56"/>
      <c r="AV66" s="56">
        <f t="shared" si="8"/>
        <v>0</v>
      </c>
      <c r="AW66" s="56"/>
      <c r="AX66" s="56">
        <v>0</v>
      </c>
      <c r="AY66" s="56"/>
      <c r="AZ66" s="56">
        <v>0</v>
      </c>
      <c r="BA66" s="56"/>
      <c r="BB66" s="214"/>
      <c r="BC66" s="56"/>
      <c r="BD66" s="84">
        <f t="shared" si="9"/>
        <v>0</v>
      </c>
      <c r="BE66" s="56"/>
      <c r="BF66" s="56"/>
      <c r="BG66" s="56"/>
      <c r="BH66" s="72">
        <v>2</v>
      </c>
    </row>
    <row r="67" spans="1:62" ht="20.100000000000001" customHeight="1" outlineLevel="1">
      <c r="A67" s="77" t="s">
        <v>43</v>
      </c>
      <c r="B67" s="77" t="s">
        <v>137</v>
      </c>
      <c r="C67" s="77" t="str">
        <f t="shared" si="5"/>
        <v>BL·</v>
      </c>
      <c r="D67" s="78" t="s">
        <v>46</v>
      </c>
      <c r="E67" s="90" t="str">
        <f t="shared" si="4"/>
        <v>000</v>
      </c>
      <c r="F67" s="3">
        <v>611712</v>
      </c>
      <c r="G67" s="102" t="s">
        <v>142</v>
      </c>
      <c r="H67" s="87"/>
      <c r="I67" s="13">
        <v>2340544</v>
      </c>
      <c r="J67" s="13">
        <v>2159814</v>
      </c>
      <c r="L67" s="56">
        <v>2276746</v>
      </c>
      <c r="M67" s="56"/>
      <c r="N67" s="56">
        <v>2087500</v>
      </c>
      <c r="O67" s="56"/>
      <c r="P67" s="56">
        <v>2087500</v>
      </c>
      <c r="Q67" s="56"/>
      <c r="R67" s="56">
        <v>2322850</v>
      </c>
      <c r="S67" s="56"/>
      <c r="T67" s="56">
        <v>0</v>
      </c>
      <c r="U67" s="56"/>
      <c r="V67" s="56">
        <v>2322850</v>
      </c>
      <c r="W67" s="56"/>
      <c r="X67" s="56">
        <f>2290680.64+3433.83</f>
        <v>2294114.4700000002</v>
      </c>
      <c r="Y67" s="56"/>
      <c r="Z67" s="56">
        <v>2150000</v>
      </c>
      <c r="AA67" s="56"/>
      <c r="AB67" s="56">
        <v>0</v>
      </c>
      <c r="AC67" s="56"/>
      <c r="AD67" s="56"/>
      <c r="AE67" s="56"/>
      <c r="AF67" s="56">
        <f t="shared" si="10"/>
        <v>2150000</v>
      </c>
      <c r="AG67" s="56">
        <v>0</v>
      </c>
      <c r="AH67" s="56">
        <f>59*2250</f>
        <v>132750</v>
      </c>
      <c r="AI67" s="56"/>
      <c r="AJ67" s="56">
        <f t="shared" si="7"/>
        <v>2282750</v>
      </c>
      <c r="AK67" s="85"/>
      <c r="AL67" s="56">
        <v>0</v>
      </c>
      <c r="AM67" s="56"/>
      <c r="AN67" s="88">
        <f>2296222.9+29.02</f>
        <v>2296251.92</v>
      </c>
      <c r="AO67" s="88">
        <v>0</v>
      </c>
      <c r="AP67" s="88">
        <f>2208184.05</f>
        <v>2208184.0499999998</v>
      </c>
      <c r="AQ67" s="56"/>
      <c r="AR67" s="56">
        <v>0</v>
      </c>
      <c r="AS67" s="56"/>
      <c r="AT67" s="56">
        <v>0</v>
      </c>
      <c r="AU67" s="56"/>
      <c r="AV67" s="56">
        <f t="shared" si="8"/>
        <v>2208184.0499999998</v>
      </c>
      <c r="AW67" s="56"/>
      <c r="AX67" s="106">
        <v>100000</v>
      </c>
      <c r="AY67" s="56"/>
      <c r="AZ67" s="56">
        <v>2104883</v>
      </c>
      <c r="BA67" s="56">
        <v>2150800</v>
      </c>
      <c r="BB67" s="214"/>
      <c r="BC67" s="56"/>
      <c r="BD67" s="84">
        <f t="shared" si="9"/>
        <v>-88067.870000000112</v>
      </c>
      <c r="BE67" s="56"/>
      <c r="BF67" s="56"/>
      <c r="BG67" s="56"/>
      <c r="BH67" s="72">
        <v>2</v>
      </c>
      <c r="BJ67">
        <v>2</v>
      </c>
    </row>
    <row r="68" spans="1:62" ht="20.100000000000001" customHeight="1" outlineLevel="1">
      <c r="A68" s="77" t="s">
        <v>43</v>
      </c>
      <c r="B68" s="77" t="s">
        <v>137</v>
      </c>
      <c r="C68" s="77" t="str">
        <f t="shared" si="5"/>
        <v>BL·</v>
      </c>
      <c r="D68" s="78" t="s">
        <v>46</v>
      </c>
      <c r="E68" s="90" t="str">
        <f t="shared" si="4"/>
        <v>000</v>
      </c>
      <c r="F68" s="3">
        <v>633961</v>
      </c>
      <c r="G68" s="102" t="s">
        <v>143</v>
      </c>
      <c r="H68" s="87"/>
      <c r="I68" s="13">
        <v>54252</v>
      </c>
      <c r="J68" s="13">
        <v>123746</v>
      </c>
      <c r="L68" s="56">
        <v>243088</v>
      </c>
      <c r="M68" s="56"/>
      <c r="N68" s="56">
        <v>95000</v>
      </c>
      <c r="O68" s="56"/>
      <c r="P68" s="56">
        <v>95000</v>
      </c>
      <c r="Q68" s="56"/>
      <c r="R68" s="56">
        <v>175000</v>
      </c>
      <c r="S68" s="56"/>
      <c r="T68" s="56">
        <v>0</v>
      </c>
      <c r="U68" s="56"/>
      <c r="V68" s="56">
        <v>175000</v>
      </c>
      <c r="W68" s="56"/>
      <c r="X68" s="56">
        <v>198866.72</v>
      </c>
      <c r="Y68" s="56"/>
      <c r="Z68" s="56">
        <v>175000</v>
      </c>
      <c r="AA68" s="56"/>
      <c r="AB68" s="56">
        <v>0</v>
      </c>
      <c r="AC68" s="56"/>
      <c r="AD68" s="56"/>
      <c r="AE68" s="56"/>
      <c r="AF68" s="56">
        <f t="shared" si="10"/>
        <v>175000</v>
      </c>
      <c r="AG68" s="56">
        <v>0</v>
      </c>
      <c r="AH68" s="56">
        <v>0</v>
      </c>
      <c r="AI68" s="56"/>
      <c r="AJ68" s="56">
        <f t="shared" si="7"/>
        <v>175000</v>
      </c>
      <c r="AK68" s="85"/>
      <c r="AL68" s="56">
        <v>0</v>
      </c>
      <c r="AM68" s="56"/>
      <c r="AN68" s="88">
        <f>144421.72+11882.63</f>
        <v>156304.35</v>
      </c>
      <c r="AO68" s="88">
        <v>0</v>
      </c>
      <c r="AP68" s="88">
        <v>120931.82</v>
      </c>
      <c r="AQ68" s="56"/>
      <c r="AR68" s="56">
        <v>0</v>
      </c>
      <c r="AS68" s="56"/>
      <c r="AT68" s="56">
        <v>0</v>
      </c>
      <c r="AU68" s="56"/>
      <c r="AV68" s="56">
        <f t="shared" si="8"/>
        <v>120931.82</v>
      </c>
      <c r="AW68" s="56"/>
      <c r="AX68" s="56">
        <v>0</v>
      </c>
      <c r="AY68" s="56"/>
      <c r="AZ68" s="56">
        <v>115000</v>
      </c>
      <c r="BA68" s="56">
        <v>115000</v>
      </c>
      <c r="BB68" s="214"/>
      <c r="BC68" s="56"/>
      <c r="BD68" s="84">
        <f t="shared" si="9"/>
        <v>-35372.53</v>
      </c>
      <c r="BE68" s="56"/>
      <c r="BF68" s="56"/>
      <c r="BG68" s="56"/>
      <c r="BH68" s="72"/>
    </row>
    <row r="69" spans="1:62" ht="20.100000000000001" customHeight="1" outlineLevel="1">
      <c r="A69" s="77" t="s">
        <v>43</v>
      </c>
      <c r="B69" s="77" t="s">
        <v>137</v>
      </c>
      <c r="C69" s="77" t="str">
        <f t="shared" si="5"/>
        <v>BL·</v>
      </c>
      <c r="D69" s="78" t="s">
        <v>46</v>
      </c>
      <c r="E69" s="90" t="str">
        <f t="shared" si="4"/>
        <v>000</v>
      </c>
      <c r="F69" s="3">
        <v>642111</v>
      </c>
      <c r="G69" s="102" t="s">
        <v>144</v>
      </c>
      <c r="H69" s="87"/>
      <c r="I69" s="13">
        <v>308647</v>
      </c>
      <c r="J69" s="13">
        <v>328449</v>
      </c>
      <c r="L69" s="56">
        <v>478861</v>
      </c>
      <c r="M69" s="56"/>
      <c r="N69" s="56">
        <v>560000</v>
      </c>
      <c r="O69" s="56"/>
      <c r="P69" s="56">
        <v>560791</v>
      </c>
      <c r="Q69" s="56"/>
      <c r="R69" s="56">
        <v>560791</v>
      </c>
      <c r="S69" s="56"/>
      <c r="T69" s="56">
        <v>0</v>
      </c>
      <c r="U69" s="56"/>
      <c r="V69" s="56">
        <v>560791</v>
      </c>
      <c r="W69" s="56"/>
      <c r="X69" s="56">
        <v>557431.09</v>
      </c>
      <c r="Y69" s="56"/>
      <c r="Z69" s="56">
        <v>560791</v>
      </c>
      <c r="AA69" s="56"/>
      <c r="AB69" s="56">
        <v>0</v>
      </c>
      <c r="AC69" s="56"/>
      <c r="AD69" s="56"/>
      <c r="AE69" s="56"/>
      <c r="AF69" s="56">
        <f t="shared" si="10"/>
        <v>560791</v>
      </c>
      <c r="AG69" s="56">
        <v>0</v>
      </c>
      <c r="AH69" s="56">
        <v>0</v>
      </c>
      <c r="AI69" s="56"/>
      <c r="AJ69" s="56">
        <f t="shared" si="7"/>
        <v>560791</v>
      </c>
      <c r="AK69" s="85"/>
      <c r="AL69" s="56">
        <v>0</v>
      </c>
      <c r="AM69" s="56"/>
      <c r="AN69" s="88">
        <v>553280.81000000006</v>
      </c>
      <c r="AO69" s="88">
        <v>0</v>
      </c>
      <c r="AP69" s="88">
        <v>569143.51</v>
      </c>
      <c r="AQ69" s="56"/>
      <c r="AR69" s="56">
        <v>0</v>
      </c>
      <c r="AS69" s="56"/>
      <c r="AT69" s="56">
        <v>0</v>
      </c>
      <c r="AU69" s="56"/>
      <c r="AV69" s="56">
        <f t="shared" si="8"/>
        <v>569143.51</v>
      </c>
      <c r="AW69" s="56"/>
      <c r="AX69" s="56">
        <v>0</v>
      </c>
      <c r="AY69" s="56"/>
      <c r="AZ69" s="56">
        <v>565000</v>
      </c>
      <c r="BA69" s="56">
        <v>565000</v>
      </c>
      <c r="BB69" s="214"/>
      <c r="BC69" s="56"/>
      <c r="BD69" s="84">
        <f t="shared" si="9"/>
        <v>15862.699999999953</v>
      </c>
      <c r="BE69" s="56"/>
      <c r="BF69" s="56"/>
      <c r="BG69" s="56"/>
      <c r="BH69" s="72"/>
    </row>
    <row r="70" spans="1:62" ht="20.100000000000001" customHeight="1" outlineLevel="1">
      <c r="A70" s="77" t="s">
        <v>43</v>
      </c>
      <c r="B70" s="77" t="s">
        <v>137</v>
      </c>
      <c r="C70" s="77" t="str">
        <f t="shared" si="5"/>
        <v>BL·</v>
      </c>
      <c r="D70" s="78" t="s">
        <v>46</v>
      </c>
      <c r="E70" s="90" t="str">
        <f t="shared" si="4"/>
        <v>000</v>
      </c>
      <c r="F70" s="3">
        <v>642300</v>
      </c>
      <c r="G70" s="102" t="s">
        <v>145</v>
      </c>
      <c r="H70" s="87"/>
      <c r="I70" s="13">
        <v>0</v>
      </c>
      <c r="J70" s="13">
        <v>36032</v>
      </c>
      <c r="L70" s="56">
        <v>26330</v>
      </c>
      <c r="M70" s="56"/>
      <c r="N70" s="56">
        <v>0</v>
      </c>
      <c r="O70" s="56"/>
      <c r="P70" s="56">
        <v>0</v>
      </c>
      <c r="Q70" s="56"/>
      <c r="R70" s="56">
        <v>0</v>
      </c>
      <c r="S70" s="56"/>
      <c r="T70" s="56">
        <v>0</v>
      </c>
      <c r="U70" s="56"/>
      <c r="V70" s="56">
        <v>0</v>
      </c>
      <c r="W70" s="56"/>
      <c r="X70" s="56">
        <f>576+17010</f>
        <v>17586</v>
      </c>
      <c r="Y70" s="56"/>
      <c r="Z70" s="56">
        <v>0</v>
      </c>
      <c r="AA70" s="56"/>
      <c r="AB70" s="56">
        <v>0</v>
      </c>
      <c r="AC70" s="56"/>
      <c r="AD70" s="56"/>
      <c r="AE70" s="56"/>
      <c r="AF70" s="56">
        <f t="shared" si="10"/>
        <v>0</v>
      </c>
      <c r="AG70" s="56">
        <v>0</v>
      </c>
      <c r="AH70" s="56">
        <v>0</v>
      </c>
      <c r="AI70" s="56"/>
      <c r="AJ70" s="56">
        <f t="shared" si="7"/>
        <v>0</v>
      </c>
      <c r="AK70" s="85"/>
      <c r="AL70" s="56">
        <v>0</v>
      </c>
      <c r="AM70" s="56"/>
      <c r="AN70" s="88">
        <v>17220</v>
      </c>
      <c r="AO70" s="88">
        <v>0</v>
      </c>
      <c r="AP70" s="88">
        <v>48174.46</v>
      </c>
      <c r="AQ70" s="56"/>
      <c r="AR70" s="56">
        <v>0</v>
      </c>
      <c r="AS70" s="56"/>
      <c r="AT70" s="56">
        <v>0</v>
      </c>
      <c r="AU70" s="56"/>
      <c r="AV70" s="56">
        <f t="shared" si="8"/>
        <v>48174.46</v>
      </c>
      <c r="AW70" s="56"/>
      <c r="AX70" s="56">
        <v>0</v>
      </c>
      <c r="AY70" s="56"/>
      <c r="AZ70" s="56">
        <v>50000</v>
      </c>
      <c r="BA70" s="56">
        <v>50000</v>
      </c>
      <c r="BB70" s="214"/>
      <c r="BC70" s="56"/>
      <c r="BD70" s="84">
        <f t="shared" si="9"/>
        <v>30954.46</v>
      </c>
      <c r="BE70" s="56"/>
      <c r="BF70" s="56"/>
      <c r="BG70" s="56"/>
      <c r="BH70" s="72"/>
    </row>
    <row r="71" spans="1:62" ht="20.100000000000001" customHeight="1" outlineLevel="1">
      <c r="A71" s="77" t="s">
        <v>43</v>
      </c>
      <c r="B71" s="77" t="s">
        <v>137</v>
      </c>
      <c r="C71" s="77" t="str">
        <f t="shared" si="5"/>
        <v>BL·</v>
      </c>
      <c r="D71" s="78" t="s">
        <v>46</v>
      </c>
      <c r="E71" s="90" t="str">
        <f t="shared" si="4"/>
        <v>000</v>
      </c>
      <c r="F71" s="3">
        <v>642301</v>
      </c>
      <c r="G71" s="102" t="s">
        <v>146</v>
      </c>
      <c r="H71" s="87"/>
      <c r="I71" s="13">
        <v>26529</v>
      </c>
      <c r="J71" s="13">
        <v>28179</v>
      </c>
      <c r="L71" s="56">
        <v>29008</v>
      </c>
      <c r="M71" s="56"/>
      <c r="N71" s="56">
        <v>30000</v>
      </c>
      <c r="O71" s="56"/>
      <c r="P71" s="56">
        <v>30000</v>
      </c>
      <c r="Q71" s="56"/>
      <c r="R71" s="56">
        <v>30000</v>
      </c>
      <c r="S71" s="56"/>
      <c r="T71" s="56">
        <v>0</v>
      </c>
      <c r="U71" s="56"/>
      <c r="V71" s="56">
        <v>30000</v>
      </c>
      <c r="W71" s="56"/>
      <c r="X71" s="56">
        <v>30175.58</v>
      </c>
      <c r="Y71" s="56"/>
      <c r="Z71" s="56">
        <v>30000</v>
      </c>
      <c r="AA71" s="56"/>
      <c r="AB71" s="56">
        <v>0</v>
      </c>
      <c r="AC71" s="56"/>
      <c r="AD71" s="56"/>
      <c r="AE71" s="56"/>
      <c r="AF71" s="56">
        <f t="shared" si="10"/>
        <v>30000</v>
      </c>
      <c r="AG71" s="89">
        <v>38350</v>
      </c>
      <c r="AH71" s="56">
        <v>0</v>
      </c>
      <c r="AI71" s="56"/>
      <c r="AJ71" s="56">
        <f t="shared" si="7"/>
        <v>68350</v>
      </c>
      <c r="AK71" s="85"/>
      <c r="AL71" s="56">
        <v>-38350</v>
      </c>
      <c r="AM71" s="56"/>
      <c r="AN71" s="88">
        <v>21727.55</v>
      </c>
      <c r="AO71" s="88">
        <v>0</v>
      </c>
      <c r="AP71" s="88">
        <v>17374.689999999999</v>
      </c>
      <c r="AQ71" s="56"/>
      <c r="AR71" s="56">
        <v>0</v>
      </c>
      <c r="AS71" s="56"/>
      <c r="AT71" s="56">
        <v>0</v>
      </c>
      <c r="AU71" s="56"/>
      <c r="AV71" s="56">
        <f t="shared" si="8"/>
        <v>17374.689999999999</v>
      </c>
      <c r="AW71" s="56"/>
      <c r="AX71" s="56">
        <v>0</v>
      </c>
      <c r="AY71" s="56"/>
      <c r="AZ71" s="56">
        <v>30000</v>
      </c>
      <c r="BA71" s="56">
        <v>30000</v>
      </c>
      <c r="BB71" s="214"/>
      <c r="BC71" s="56"/>
      <c r="BD71" s="84">
        <f t="shared" si="9"/>
        <v>-4352.8600000000006</v>
      </c>
      <c r="BE71" s="56"/>
      <c r="BF71" s="56"/>
      <c r="BG71" s="56"/>
      <c r="BH71" s="72"/>
    </row>
    <row r="72" spans="1:62" ht="20.100000000000001" customHeight="1" outlineLevel="1">
      <c r="A72" s="107" t="s">
        <v>43</v>
      </c>
      <c r="B72" s="107" t="s">
        <v>137</v>
      </c>
      <c r="C72" s="77" t="str">
        <f t="shared" si="5"/>
        <v>BL·</v>
      </c>
      <c r="D72" s="78" t="s">
        <v>46</v>
      </c>
      <c r="E72" s="90" t="str">
        <f t="shared" si="4"/>
        <v>000</v>
      </c>
      <c r="F72" s="3">
        <v>643011</v>
      </c>
      <c r="G72" s="102" t="s">
        <v>147</v>
      </c>
      <c r="H72" s="87"/>
      <c r="I72" s="13">
        <v>53098</v>
      </c>
      <c r="J72" s="13">
        <v>44468</v>
      </c>
      <c r="L72" s="56">
        <v>92489</v>
      </c>
      <c r="M72" s="56"/>
      <c r="N72" s="56">
        <v>42000</v>
      </c>
      <c r="O72" s="56"/>
      <c r="P72" s="56">
        <v>42000</v>
      </c>
      <c r="Q72" s="56"/>
      <c r="R72" s="56">
        <v>42000</v>
      </c>
      <c r="S72" s="56"/>
      <c r="T72" s="56">
        <v>0</v>
      </c>
      <c r="U72" s="56"/>
      <c r="V72" s="56">
        <v>42000</v>
      </c>
      <c r="W72" s="56"/>
      <c r="X72" s="56">
        <v>51185.39</v>
      </c>
      <c r="Y72" s="56"/>
      <c r="Z72" s="56">
        <v>42000</v>
      </c>
      <c r="AA72" s="56"/>
      <c r="AB72" s="56">
        <v>0</v>
      </c>
      <c r="AC72" s="56"/>
      <c r="AD72" s="56"/>
      <c r="AE72" s="56"/>
      <c r="AF72" s="56">
        <f t="shared" si="10"/>
        <v>42000</v>
      </c>
      <c r="AG72" s="56">
        <v>0</v>
      </c>
      <c r="AH72" s="56">
        <v>0</v>
      </c>
      <c r="AI72" s="56"/>
      <c r="AJ72" s="56">
        <f t="shared" si="7"/>
        <v>42000</v>
      </c>
      <c r="AK72" s="85"/>
      <c r="AL72" s="56">
        <v>0</v>
      </c>
      <c r="AM72" s="56"/>
      <c r="AN72" s="88">
        <v>46760.19</v>
      </c>
      <c r="AO72" s="88">
        <v>0</v>
      </c>
      <c r="AP72" s="88">
        <v>46265.85</v>
      </c>
      <c r="AQ72" s="56"/>
      <c r="AR72" s="56">
        <v>0</v>
      </c>
      <c r="AS72" s="56"/>
      <c r="AT72" s="56">
        <v>0</v>
      </c>
      <c r="AU72" s="56"/>
      <c r="AV72" s="56">
        <f t="shared" si="8"/>
        <v>46265.85</v>
      </c>
      <c r="AW72" s="56"/>
      <c r="AX72" s="56">
        <v>0</v>
      </c>
      <c r="AY72" s="56"/>
      <c r="AZ72" s="56">
        <v>42000</v>
      </c>
      <c r="BA72" s="56">
        <v>42000</v>
      </c>
      <c r="BB72" s="214"/>
      <c r="BC72" s="56"/>
      <c r="BD72" s="84">
        <f t="shared" si="9"/>
        <v>-494.34000000000378</v>
      </c>
      <c r="BE72" s="56"/>
      <c r="BF72" s="56"/>
      <c r="BG72" s="56"/>
      <c r="BH72" s="72"/>
    </row>
    <row r="73" spans="1:62" ht="20.100000000000001" customHeight="1" outlineLevel="1">
      <c r="A73" s="107" t="s">
        <v>43</v>
      </c>
      <c r="B73" s="107" t="s">
        <v>137</v>
      </c>
      <c r="C73" s="77" t="str">
        <f t="shared" si="5"/>
        <v>BL·</v>
      </c>
      <c r="D73" s="78" t="s">
        <v>46</v>
      </c>
      <c r="E73" s="90" t="str">
        <f t="shared" si="4"/>
        <v>000</v>
      </c>
      <c r="F73" s="3">
        <v>643012</v>
      </c>
      <c r="G73" s="102" t="s">
        <v>147</v>
      </c>
      <c r="H73" s="87"/>
      <c r="I73" s="13">
        <v>0</v>
      </c>
      <c r="J73" s="13">
        <v>0</v>
      </c>
      <c r="L73" s="56">
        <v>0</v>
      </c>
      <c r="M73" s="56"/>
      <c r="N73" s="56">
        <v>30000</v>
      </c>
      <c r="O73" s="56"/>
      <c r="P73" s="56">
        <v>30000</v>
      </c>
      <c r="Q73" s="56"/>
      <c r="R73" s="56">
        <v>30000</v>
      </c>
      <c r="S73" s="56"/>
      <c r="T73" s="56">
        <v>0</v>
      </c>
      <c r="U73" s="56"/>
      <c r="V73" s="56">
        <v>30000</v>
      </c>
      <c r="W73" s="56"/>
      <c r="X73" s="56">
        <v>0</v>
      </c>
      <c r="Y73" s="56"/>
      <c r="Z73" s="56">
        <v>30000</v>
      </c>
      <c r="AA73" s="56"/>
      <c r="AB73" s="56">
        <v>0</v>
      </c>
      <c r="AC73" s="56"/>
      <c r="AD73" s="56"/>
      <c r="AE73" s="56"/>
      <c r="AF73" s="56">
        <f t="shared" si="10"/>
        <v>30000</v>
      </c>
      <c r="AG73" s="56">
        <v>0</v>
      </c>
      <c r="AH73" s="56">
        <v>0</v>
      </c>
      <c r="AI73" s="56"/>
      <c r="AJ73" s="56">
        <f t="shared" si="7"/>
        <v>30000</v>
      </c>
      <c r="AK73" s="85"/>
      <c r="AL73" s="56">
        <v>0</v>
      </c>
      <c r="AM73" s="56"/>
      <c r="AN73" s="88">
        <v>0</v>
      </c>
      <c r="AO73" s="88">
        <v>0</v>
      </c>
      <c r="AP73" s="88">
        <v>0</v>
      </c>
      <c r="AQ73" s="56"/>
      <c r="AR73" s="56">
        <v>0</v>
      </c>
      <c r="AS73" s="56"/>
      <c r="AT73" s="56">
        <v>0</v>
      </c>
      <c r="AU73" s="56"/>
      <c r="AV73" s="56">
        <f t="shared" si="8"/>
        <v>0</v>
      </c>
      <c r="AW73" s="56"/>
      <c r="AX73" s="56">
        <v>0</v>
      </c>
      <c r="AY73" s="56"/>
      <c r="AZ73" s="56">
        <v>30000</v>
      </c>
      <c r="BA73" s="56">
        <v>30000</v>
      </c>
      <c r="BB73" s="214"/>
      <c r="BC73" s="56"/>
      <c r="BD73" s="84">
        <f t="shared" si="9"/>
        <v>0</v>
      </c>
      <c r="BE73" s="56"/>
      <c r="BF73" s="56"/>
      <c r="BG73" s="56"/>
      <c r="BH73" s="72"/>
    </row>
    <row r="74" spans="1:62" ht="20.100000000000001" customHeight="1" outlineLevel="1">
      <c r="A74" s="77" t="s">
        <v>43</v>
      </c>
      <c r="B74" s="77" t="s">
        <v>137</v>
      </c>
      <c r="C74" s="77" t="str">
        <f t="shared" si="5"/>
        <v>BL·</v>
      </c>
      <c r="D74" s="78" t="s">
        <v>46</v>
      </c>
      <c r="E74" s="90" t="str">
        <f t="shared" si="4"/>
        <v>000</v>
      </c>
      <c r="F74" s="3">
        <v>643016</v>
      </c>
      <c r="G74" s="102" t="s">
        <v>148</v>
      </c>
      <c r="H74" s="87"/>
      <c r="I74" s="13">
        <v>14447</v>
      </c>
      <c r="J74" s="13">
        <v>10854</v>
      </c>
      <c r="L74" s="56">
        <v>8110</v>
      </c>
      <c r="M74" s="56"/>
      <c r="N74" s="56">
        <v>30000</v>
      </c>
      <c r="O74" s="56"/>
      <c r="P74" s="56">
        <v>30000</v>
      </c>
      <c r="Q74" s="56"/>
      <c r="R74" s="56">
        <v>30000</v>
      </c>
      <c r="S74" s="56"/>
      <c r="T74" s="56">
        <v>0</v>
      </c>
      <c r="U74" s="56"/>
      <c r="V74" s="56">
        <v>30000</v>
      </c>
      <c r="W74" s="56"/>
      <c r="X74" s="56">
        <v>14341.3</v>
      </c>
      <c r="Y74" s="56"/>
      <c r="Z74" s="56">
        <v>30000</v>
      </c>
      <c r="AA74" s="56"/>
      <c r="AB74" s="56">
        <v>0</v>
      </c>
      <c r="AC74" s="56"/>
      <c r="AD74" s="56"/>
      <c r="AE74" s="56"/>
      <c r="AF74" s="56">
        <f t="shared" si="10"/>
        <v>30000</v>
      </c>
      <c r="AG74" s="56">
        <v>0</v>
      </c>
      <c r="AH74" s="56">
        <v>0</v>
      </c>
      <c r="AI74" s="56"/>
      <c r="AJ74" s="56">
        <f t="shared" si="7"/>
        <v>30000</v>
      </c>
      <c r="AK74" s="85"/>
      <c r="AL74" s="56">
        <v>0</v>
      </c>
      <c r="AM74" s="56"/>
      <c r="AN74" s="88">
        <v>4838.34</v>
      </c>
      <c r="AO74" s="88">
        <v>0</v>
      </c>
      <c r="AP74" s="88">
        <v>12401.54</v>
      </c>
      <c r="AQ74" s="56"/>
      <c r="AR74" s="56">
        <v>0</v>
      </c>
      <c r="AS74" s="56"/>
      <c r="AT74" s="56">
        <v>0</v>
      </c>
      <c r="AU74" s="56"/>
      <c r="AV74" s="56">
        <f t="shared" si="8"/>
        <v>12401.54</v>
      </c>
      <c r="AW74" s="56"/>
      <c r="AX74" s="56">
        <v>0</v>
      </c>
      <c r="AY74" s="56"/>
      <c r="AZ74" s="56">
        <v>30000</v>
      </c>
      <c r="BA74" s="56">
        <v>30000</v>
      </c>
      <c r="BB74" s="214"/>
      <c r="BC74" s="56"/>
      <c r="BD74" s="84">
        <f t="shared" si="9"/>
        <v>7563.2000000000007</v>
      </c>
      <c r="BE74" s="56"/>
      <c r="BF74" s="56"/>
      <c r="BG74" s="56"/>
      <c r="BH74" s="72"/>
    </row>
    <row r="75" spans="1:62" ht="20.100000000000001" customHeight="1" outlineLevel="1">
      <c r="A75" s="77" t="s">
        <v>43</v>
      </c>
      <c r="B75" s="77" t="s">
        <v>137</v>
      </c>
      <c r="C75" s="77" t="str">
        <f t="shared" si="5"/>
        <v>BL·</v>
      </c>
      <c r="D75" s="78" t="s">
        <v>46</v>
      </c>
      <c r="E75" s="90" t="str">
        <f t="shared" si="4"/>
        <v>000</v>
      </c>
      <c r="F75" s="3">
        <v>643021</v>
      </c>
      <c r="G75" s="102" t="s">
        <v>149</v>
      </c>
      <c r="H75" s="87"/>
      <c r="I75" s="13">
        <v>0</v>
      </c>
      <c r="J75" s="13">
        <v>68420</v>
      </c>
      <c r="L75" s="56">
        <v>5313</v>
      </c>
      <c r="M75" s="56"/>
      <c r="N75" s="56">
        <v>0</v>
      </c>
      <c r="O75" s="56"/>
      <c r="P75" s="56">
        <v>0</v>
      </c>
      <c r="Q75" s="56"/>
      <c r="R75" s="56">
        <v>0</v>
      </c>
      <c r="S75" s="56"/>
      <c r="T75" s="56">
        <v>0</v>
      </c>
      <c r="U75" s="56"/>
      <c r="V75" s="56">
        <v>0</v>
      </c>
      <c r="W75" s="56"/>
      <c r="X75" s="56">
        <v>0</v>
      </c>
      <c r="Y75" s="56"/>
      <c r="Z75" s="56">
        <v>0</v>
      </c>
      <c r="AA75" s="56"/>
      <c r="AB75" s="56">
        <v>0</v>
      </c>
      <c r="AC75" s="56"/>
      <c r="AD75" s="56"/>
      <c r="AE75" s="56"/>
      <c r="AF75" s="56">
        <f t="shared" si="10"/>
        <v>0</v>
      </c>
      <c r="AG75" s="56">
        <v>0</v>
      </c>
      <c r="AH75" s="56">
        <v>0</v>
      </c>
      <c r="AI75" s="56"/>
      <c r="AJ75" s="56">
        <f t="shared" ref="AJ75:AJ100" si="11">SUM(AE75:AI75)</f>
        <v>0</v>
      </c>
      <c r="AK75" s="85"/>
      <c r="AL75" s="56">
        <v>0</v>
      </c>
      <c r="AM75" s="56"/>
      <c r="AN75" s="88">
        <f>SUM(AI75:AM75)</f>
        <v>0</v>
      </c>
      <c r="AO75" s="88">
        <v>0</v>
      </c>
      <c r="AP75" s="88">
        <v>0</v>
      </c>
      <c r="AQ75" s="56"/>
      <c r="AR75" s="56">
        <v>0</v>
      </c>
      <c r="AS75" s="56"/>
      <c r="AT75" s="56">
        <v>0</v>
      </c>
      <c r="AU75" s="56"/>
      <c r="AV75" s="56">
        <f t="shared" ref="AV75:AV100" si="12">SUM(AP75:AU75)</f>
        <v>0</v>
      </c>
      <c r="AW75" s="56"/>
      <c r="AX75" s="56">
        <v>0</v>
      </c>
      <c r="AY75" s="56"/>
      <c r="AZ75" s="56">
        <v>0</v>
      </c>
      <c r="BA75" s="56">
        <v>0</v>
      </c>
      <c r="BB75" s="214"/>
      <c r="BC75" s="56"/>
      <c r="BD75" s="84">
        <f t="shared" ref="BD75:BD101" si="13">+AP75-AN75</f>
        <v>0</v>
      </c>
      <c r="BE75" s="56"/>
      <c r="BF75" s="56"/>
      <c r="BG75" s="56"/>
      <c r="BH75" s="72"/>
    </row>
    <row r="76" spans="1:62" ht="20.100000000000001" customHeight="1" outlineLevel="1">
      <c r="A76" s="77" t="s">
        <v>43</v>
      </c>
      <c r="B76" s="77" t="s">
        <v>137</v>
      </c>
      <c r="C76" s="77" t="str">
        <f t="shared" si="5"/>
        <v>BL·</v>
      </c>
      <c r="D76" s="78" t="s">
        <v>46</v>
      </c>
      <c r="E76" s="90" t="str">
        <f t="shared" ref="E76:E100" si="14">+D76</f>
        <v>000</v>
      </c>
      <c r="F76" s="3">
        <v>643022</v>
      </c>
      <c r="G76" s="102" t="s">
        <v>150</v>
      </c>
      <c r="H76" s="87"/>
      <c r="I76" s="13">
        <v>51717</v>
      </c>
      <c r="J76" s="13">
        <v>0</v>
      </c>
      <c r="L76" s="56">
        <v>61964</v>
      </c>
      <c r="M76" s="56"/>
      <c r="N76" s="56">
        <v>75000</v>
      </c>
      <c r="O76" s="56"/>
      <c r="P76" s="56">
        <v>76238</v>
      </c>
      <c r="Q76" s="56"/>
      <c r="R76" s="56">
        <v>76238</v>
      </c>
      <c r="S76" s="56"/>
      <c r="T76" s="56">
        <v>0</v>
      </c>
      <c r="U76" s="56"/>
      <c r="V76" s="56">
        <v>76238</v>
      </c>
      <c r="W76" s="56"/>
      <c r="X76" s="56">
        <v>76650.679999999993</v>
      </c>
      <c r="Y76" s="56"/>
      <c r="Z76" s="56">
        <v>76238</v>
      </c>
      <c r="AA76" s="56"/>
      <c r="AB76" s="56">
        <v>0</v>
      </c>
      <c r="AC76" s="56"/>
      <c r="AD76" s="56"/>
      <c r="AE76" s="56"/>
      <c r="AF76" s="56">
        <f t="shared" si="10"/>
        <v>76238</v>
      </c>
      <c r="AG76" s="89">
        <v>40000</v>
      </c>
      <c r="AH76" s="56">
        <v>0</v>
      </c>
      <c r="AI76" s="56"/>
      <c r="AJ76" s="56">
        <f t="shared" si="11"/>
        <v>116238</v>
      </c>
      <c r="AK76" s="85"/>
      <c r="AL76" s="56">
        <v>0</v>
      </c>
      <c r="AM76" s="56"/>
      <c r="AN76" s="88">
        <v>118781.84</v>
      </c>
      <c r="AO76" s="88">
        <v>0</v>
      </c>
      <c r="AP76" s="88">
        <v>102975.74</v>
      </c>
      <c r="AQ76" s="56"/>
      <c r="AR76" s="56">
        <v>0</v>
      </c>
      <c r="AS76" s="56"/>
      <c r="AT76" s="56">
        <v>0</v>
      </c>
      <c r="AU76" s="56"/>
      <c r="AV76" s="56">
        <f t="shared" si="12"/>
        <v>102975.74</v>
      </c>
      <c r="AW76" s="56"/>
      <c r="AX76" s="56">
        <v>0</v>
      </c>
      <c r="AY76" s="56"/>
      <c r="AZ76" s="56">
        <v>115000</v>
      </c>
      <c r="BA76" s="56">
        <v>115000</v>
      </c>
      <c r="BB76" s="214"/>
      <c r="BC76" s="56"/>
      <c r="BD76" s="84">
        <f t="shared" si="13"/>
        <v>-15806.099999999991</v>
      </c>
      <c r="BE76" s="56"/>
      <c r="BF76" s="56"/>
      <c r="BG76" s="56"/>
      <c r="BH76" s="72"/>
    </row>
    <row r="77" spans="1:62" ht="20.100000000000001" customHeight="1" outlineLevel="1">
      <c r="A77" s="77" t="s">
        <v>43</v>
      </c>
      <c r="B77" s="77" t="s">
        <v>137</v>
      </c>
      <c r="C77" s="77" t="str">
        <f t="shared" ref="C77:C100" si="15">+C76</f>
        <v>BL·</v>
      </c>
      <c r="D77" s="78" t="s">
        <v>46</v>
      </c>
      <c r="E77" s="90" t="str">
        <f t="shared" si="14"/>
        <v>000</v>
      </c>
      <c r="F77" s="3">
        <v>643023</v>
      </c>
      <c r="G77" s="102" t="s">
        <v>151</v>
      </c>
      <c r="H77" s="87"/>
      <c r="I77" s="13">
        <v>78286</v>
      </c>
      <c r="J77" s="13">
        <v>32676</v>
      </c>
      <c r="L77" s="56">
        <v>31197</v>
      </c>
      <c r="M77" s="56"/>
      <c r="N77" s="56">
        <v>115000</v>
      </c>
      <c r="O77" s="56"/>
      <c r="P77" s="56">
        <v>123000</v>
      </c>
      <c r="Q77" s="56"/>
      <c r="R77" s="56">
        <v>123000</v>
      </c>
      <c r="S77" s="56"/>
      <c r="T77" s="56">
        <v>0</v>
      </c>
      <c r="U77" s="56"/>
      <c r="V77" s="56">
        <v>123000</v>
      </c>
      <c r="W77" s="56"/>
      <c r="X77" s="56">
        <v>57578.22</v>
      </c>
      <c r="Y77" s="56"/>
      <c r="Z77" s="56">
        <v>123000</v>
      </c>
      <c r="AA77" s="56"/>
      <c r="AB77" s="56">
        <v>0</v>
      </c>
      <c r="AC77" s="56"/>
      <c r="AD77" s="56"/>
      <c r="AE77" s="56"/>
      <c r="AF77" s="56">
        <f t="shared" si="10"/>
        <v>123000</v>
      </c>
      <c r="AG77" s="56">
        <v>0</v>
      </c>
      <c r="AH77" s="56">
        <v>0</v>
      </c>
      <c r="AI77" s="56"/>
      <c r="AJ77" s="56">
        <f t="shared" si="11"/>
        <v>123000</v>
      </c>
      <c r="AK77" s="85"/>
      <c r="AL77" s="56">
        <v>0</v>
      </c>
      <c r="AM77" s="56"/>
      <c r="AN77" s="88">
        <v>56460.31</v>
      </c>
      <c r="AO77" s="88">
        <v>0</v>
      </c>
      <c r="AP77" s="88">
        <v>77834.06</v>
      </c>
      <c r="AQ77" s="56"/>
      <c r="AR77" s="56">
        <v>0</v>
      </c>
      <c r="AS77" s="56"/>
      <c r="AT77" s="56">
        <v>0</v>
      </c>
      <c r="AU77" s="56"/>
      <c r="AV77" s="56">
        <f t="shared" si="12"/>
        <v>77834.06</v>
      </c>
      <c r="AW77" s="56"/>
      <c r="AX77" s="56">
        <v>0</v>
      </c>
      <c r="AY77" s="56"/>
      <c r="AZ77" s="56">
        <v>120000</v>
      </c>
      <c r="BA77" s="56">
        <v>120000</v>
      </c>
      <c r="BB77" s="214"/>
      <c r="BC77" s="56"/>
      <c r="BD77" s="84">
        <f t="shared" si="13"/>
        <v>21373.75</v>
      </c>
      <c r="BE77" s="56"/>
      <c r="BF77" s="56"/>
      <c r="BG77" s="56"/>
      <c r="BH77" s="72"/>
    </row>
    <row r="78" spans="1:62" ht="20.100000000000001" customHeight="1" outlineLevel="1">
      <c r="A78" s="77" t="s">
        <v>43</v>
      </c>
      <c r="B78" s="77" t="s">
        <v>137</v>
      </c>
      <c r="C78" s="77" t="str">
        <f t="shared" si="15"/>
        <v>BL·</v>
      </c>
      <c r="D78" s="78" t="s">
        <v>46</v>
      </c>
      <c r="E78" s="90" t="str">
        <f t="shared" si="14"/>
        <v>000</v>
      </c>
      <c r="F78" s="3">
        <v>643024</v>
      </c>
      <c r="G78" s="102" t="s">
        <v>152</v>
      </c>
      <c r="H78" s="87"/>
      <c r="I78" s="13">
        <v>135162</v>
      </c>
      <c r="J78" s="13">
        <v>109070</v>
      </c>
      <c r="L78" s="56">
        <v>124642</v>
      </c>
      <c r="M78" s="56"/>
      <c r="N78" s="56">
        <v>175000</v>
      </c>
      <c r="O78" s="56"/>
      <c r="P78" s="56">
        <v>185236</v>
      </c>
      <c r="Q78" s="56"/>
      <c r="R78" s="56">
        <v>185236</v>
      </c>
      <c r="S78" s="56"/>
      <c r="T78" s="56">
        <v>0</v>
      </c>
      <c r="U78" s="56"/>
      <c r="V78" s="56">
        <v>185236</v>
      </c>
      <c r="W78" s="56"/>
      <c r="X78" s="56">
        <v>132659.73000000001</v>
      </c>
      <c r="Y78" s="56"/>
      <c r="Z78" s="56">
        <v>185236</v>
      </c>
      <c r="AA78" s="56"/>
      <c r="AB78" s="56">
        <v>0</v>
      </c>
      <c r="AC78" s="56"/>
      <c r="AD78" s="56">
        <v>6543.24</v>
      </c>
      <c r="AE78" s="56"/>
      <c r="AF78" s="56">
        <f t="shared" si="10"/>
        <v>191779.24</v>
      </c>
      <c r="AG78" s="56">
        <v>0</v>
      </c>
      <c r="AH78" s="56">
        <v>0</v>
      </c>
      <c r="AI78" s="56"/>
      <c r="AJ78" s="56">
        <f t="shared" si="11"/>
        <v>191779.24</v>
      </c>
      <c r="AK78" s="85"/>
      <c r="AL78" s="56">
        <v>0</v>
      </c>
      <c r="AM78" s="56"/>
      <c r="AN78" s="88">
        <v>150310.06</v>
      </c>
      <c r="AO78" s="88">
        <v>0</v>
      </c>
      <c r="AP78" s="88">
        <v>171878.09</v>
      </c>
      <c r="AQ78" s="56"/>
      <c r="AR78" s="56">
        <v>0</v>
      </c>
      <c r="AS78" s="56"/>
      <c r="AT78" s="56">
        <v>0</v>
      </c>
      <c r="AU78" s="56"/>
      <c r="AV78" s="56">
        <f t="shared" si="12"/>
        <v>171878.09</v>
      </c>
      <c r="AW78" s="56"/>
      <c r="AX78" s="56">
        <v>0</v>
      </c>
      <c r="AY78" s="56"/>
      <c r="AZ78" s="56">
        <v>190000</v>
      </c>
      <c r="BA78" s="56">
        <v>191542</v>
      </c>
      <c r="BB78" s="214"/>
      <c r="BC78" s="56"/>
      <c r="BD78" s="84">
        <f t="shared" si="13"/>
        <v>21568.03</v>
      </c>
      <c r="BE78" s="56"/>
      <c r="BF78" s="56"/>
      <c r="BG78" s="56"/>
      <c r="BH78" s="72"/>
    </row>
    <row r="79" spans="1:62" ht="20.100000000000001" customHeight="1" outlineLevel="1">
      <c r="A79" s="77" t="s">
        <v>43</v>
      </c>
      <c r="B79" s="77" t="s">
        <v>137</v>
      </c>
      <c r="C79" s="77" t="str">
        <f t="shared" si="15"/>
        <v>BL·</v>
      </c>
      <c r="D79" s="78" t="s">
        <v>46</v>
      </c>
      <c r="E79" s="90" t="str">
        <f t="shared" si="14"/>
        <v>000</v>
      </c>
      <c r="F79" s="3">
        <v>643025</v>
      </c>
      <c r="G79" s="102" t="s">
        <v>153</v>
      </c>
      <c r="H79" s="87"/>
      <c r="I79" s="13">
        <v>213660</v>
      </c>
      <c r="J79" s="13">
        <v>134668</v>
      </c>
      <c r="L79" s="56">
        <v>83241</v>
      </c>
      <c r="M79" s="56"/>
      <c r="N79" s="56">
        <v>150000</v>
      </c>
      <c r="O79" s="56"/>
      <c r="P79" s="56">
        <v>150000</v>
      </c>
      <c r="Q79" s="56"/>
      <c r="R79" s="56">
        <v>195000</v>
      </c>
      <c r="S79" s="56"/>
      <c r="T79" s="56">
        <v>0</v>
      </c>
      <c r="U79" s="56"/>
      <c r="V79" s="56">
        <v>195000</v>
      </c>
      <c r="W79" s="56"/>
      <c r="X79" s="56">
        <v>248723.51</v>
      </c>
      <c r="Y79" s="56"/>
      <c r="Z79" s="56">
        <v>195000</v>
      </c>
      <c r="AA79" s="56"/>
      <c r="AB79" s="56">
        <v>0</v>
      </c>
      <c r="AC79" s="56"/>
      <c r="AD79" s="56"/>
      <c r="AE79" s="56"/>
      <c r="AF79" s="56">
        <f t="shared" si="10"/>
        <v>195000</v>
      </c>
      <c r="AG79" s="56">
        <v>0</v>
      </c>
      <c r="AH79" s="56">
        <v>0</v>
      </c>
      <c r="AI79" s="56"/>
      <c r="AJ79" s="56">
        <f t="shared" si="11"/>
        <v>195000</v>
      </c>
      <c r="AK79" s="85"/>
      <c r="AL79" s="56">
        <v>0</v>
      </c>
      <c r="AM79" s="56"/>
      <c r="AN79" s="88">
        <v>171769.15</v>
      </c>
      <c r="AO79" s="88">
        <v>0</v>
      </c>
      <c r="AP79" s="88">
        <v>188790.98</v>
      </c>
      <c r="AQ79" s="56"/>
      <c r="AR79" s="56">
        <v>0</v>
      </c>
      <c r="AS79" s="56"/>
      <c r="AT79" s="56">
        <v>0</v>
      </c>
      <c r="AU79" s="56"/>
      <c r="AV79" s="56">
        <f t="shared" si="12"/>
        <v>188790.98</v>
      </c>
      <c r="AW79" s="56"/>
      <c r="AX79" s="56">
        <v>0</v>
      </c>
      <c r="AY79" s="56"/>
      <c r="AZ79" s="56">
        <v>150000</v>
      </c>
      <c r="BA79" s="56">
        <v>96000</v>
      </c>
      <c r="BB79" s="214"/>
      <c r="BC79" s="56"/>
      <c r="BD79" s="84">
        <f t="shared" si="13"/>
        <v>17021.830000000016</v>
      </c>
      <c r="BE79" s="56"/>
      <c r="BF79" s="56"/>
      <c r="BG79" s="56"/>
      <c r="BH79" s="72"/>
    </row>
    <row r="80" spans="1:62" ht="20.100000000000001" customHeight="1" outlineLevel="1">
      <c r="A80" s="77" t="s">
        <v>43</v>
      </c>
      <c r="B80" s="77" t="s">
        <v>137</v>
      </c>
      <c r="C80" s="77" t="str">
        <f t="shared" si="15"/>
        <v>BL·</v>
      </c>
      <c r="D80" s="78" t="s">
        <v>46</v>
      </c>
      <c r="E80" s="90" t="str">
        <f t="shared" si="14"/>
        <v>000</v>
      </c>
      <c r="F80" s="3">
        <v>644111</v>
      </c>
      <c r="G80" s="102" t="s">
        <v>154</v>
      </c>
      <c r="H80" s="87"/>
      <c r="I80" s="13">
        <v>11838</v>
      </c>
      <c r="J80" s="13">
        <v>6430</v>
      </c>
      <c r="L80" s="56">
        <v>6424</v>
      </c>
      <c r="M80" s="56"/>
      <c r="N80" s="56">
        <v>12480</v>
      </c>
      <c r="O80" s="56"/>
      <c r="P80" s="56">
        <v>12480</v>
      </c>
      <c r="Q80" s="56"/>
      <c r="R80" s="56">
        <v>12480</v>
      </c>
      <c r="S80" s="56"/>
      <c r="T80" s="56">
        <v>0</v>
      </c>
      <c r="U80" s="56"/>
      <c r="V80" s="56">
        <v>12480</v>
      </c>
      <c r="W80" s="56"/>
      <c r="X80" s="56">
        <v>5915.46</v>
      </c>
      <c r="Y80" s="56"/>
      <c r="Z80" s="56">
        <v>130000</v>
      </c>
      <c r="AA80" s="56"/>
      <c r="AB80" s="56">
        <v>0</v>
      </c>
      <c r="AC80" s="56"/>
      <c r="AD80" s="56"/>
      <c r="AE80" s="56"/>
      <c r="AF80" s="56">
        <f t="shared" si="10"/>
        <v>130000</v>
      </c>
      <c r="AG80" s="56">
        <v>0</v>
      </c>
      <c r="AH80" s="56">
        <v>0</v>
      </c>
      <c r="AI80" s="56"/>
      <c r="AJ80" s="56">
        <f t="shared" si="11"/>
        <v>130000</v>
      </c>
      <c r="AK80" s="85"/>
      <c r="AL80" s="56">
        <v>0</v>
      </c>
      <c r="AM80" s="56"/>
      <c r="AN80" s="88">
        <v>115500</v>
      </c>
      <c r="AO80" s="88">
        <v>0</v>
      </c>
      <c r="AP80" s="88">
        <v>178800</v>
      </c>
      <c r="AQ80" s="56"/>
      <c r="AR80" s="56">
        <v>0</v>
      </c>
      <c r="AS80" s="56"/>
      <c r="AT80" s="56">
        <v>0</v>
      </c>
      <c r="AU80" s="56"/>
      <c r="AV80" s="56">
        <f t="shared" si="12"/>
        <v>178800</v>
      </c>
      <c r="AW80" s="56"/>
      <c r="AX80" s="56">
        <v>0</v>
      </c>
      <c r="AY80" s="56"/>
      <c r="AZ80" s="56">
        <v>130000</v>
      </c>
      <c r="BA80" s="56">
        <v>184000</v>
      </c>
      <c r="BB80" s="214"/>
      <c r="BC80" s="56"/>
      <c r="BD80" s="84">
        <f t="shared" si="13"/>
        <v>63300</v>
      </c>
      <c r="BE80" s="56"/>
      <c r="BF80" s="56"/>
      <c r="BG80" s="56"/>
      <c r="BH80" s="72"/>
    </row>
    <row r="81" spans="1:60" ht="20.100000000000001" customHeight="1" outlineLevel="1">
      <c r="A81" s="77" t="s">
        <v>43</v>
      </c>
      <c r="B81" s="77" t="s">
        <v>137</v>
      </c>
      <c r="C81" s="77" t="str">
        <f t="shared" si="15"/>
        <v>BL·</v>
      </c>
      <c r="D81" s="78" t="s">
        <v>46</v>
      </c>
      <c r="E81" s="90" t="str">
        <f t="shared" si="14"/>
        <v>000</v>
      </c>
      <c r="F81" s="3">
        <v>653021</v>
      </c>
      <c r="G81" s="102" t="s">
        <v>155</v>
      </c>
      <c r="H81" s="87"/>
      <c r="I81" s="13">
        <v>0</v>
      </c>
      <c r="J81" s="13">
        <v>375</v>
      </c>
      <c r="L81" s="56">
        <v>178</v>
      </c>
      <c r="M81" s="56"/>
      <c r="N81" s="56">
        <v>600</v>
      </c>
      <c r="O81" s="56"/>
      <c r="P81" s="56">
        <v>600</v>
      </c>
      <c r="Q81" s="56"/>
      <c r="R81" s="56">
        <v>600</v>
      </c>
      <c r="S81" s="56"/>
      <c r="T81" s="56">
        <v>0</v>
      </c>
      <c r="U81" s="56"/>
      <c r="V81" s="56">
        <v>600</v>
      </c>
      <c r="W81" s="56"/>
      <c r="X81" s="56">
        <v>346.68</v>
      </c>
      <c r="Y81" s="56"/>
      <c r="Z81" s="56">
        <v>600</v>
      </c>
      <c r="AA81" s="56"/>
      <c r="AB81" s="56">
        <v>0</v>
      </c>
      <c r="AC81" s="56"/>
      <c r="AD81" s="56"/>
      <c r="AE81" s="56"/>
      <c r="AF81" s="56">
        <f t="shared" si="10"/>
        <v>600</v>
      </c>
      <c r="AG81" s="56">
        <v>0</v>
      </c>
      <c r="AH81" s="56">
        <v>0</v>
      </c>
      <c r="AI81" s="56"/>
      <c r="AJ81" s="56">
        <f t="shared" si="11"/>
        <v>600</v>
      </c>
      <c r="AK81" s="85"/>
      <c r="AL81" s="56">
        <v>0</v>
      </c>
      <c r="AM81" s="56"/>
      <c r="AN81" s="88">
        <v>0</v>
      </c>
      <c r="AO81" s="88">
        <v>0</v>
      </c>
      <c r="AP81" s="88">
        <v>0</v>
      </c>
      <c r="AQ81" s="56"/>
      <c r="AR81" s="56">
        <v>0</v>
      </c>
      <c r="AS81" s="56"/>
      <c r="AT81" s="56">
        <v>0</v>
      </c>
      <c r="AU81" s="56"/>
      <c r="AV81" s="56">
        <f t="shared" si="12"/>
        <v>0</v>
      </c>
      <c r="AW81" s="56"/>
      <c r="AX81" s="56">
        <v>0</v>
      </c>
      <c r="AY81" s="56"/>
      <c r="AZ81" s="56">
        <v>0</v>
      </c>
      <c r="BA81" s="56">
        <v>0</v>
      </c>
      <c r="BB81" s="214"/>
      <c r="BC81" s="56"/>
      <c r="BD81" s="84">
        <f t="shared" si="13"/>
        <v>0</v>
      </c>
      <c r="BE81" s="56"/>
      <c r="BF81" s="56"/>
      <c r="BG81" s="56"/>
      <c r="BH81" s="72"/>
    </row>
    <row r="82" spans="1:60" ht="20.100000000000001" customHeight="1" outlineLevel="1">
      <c r="A82" s="77" t="s">
        <v>43</v>
      </c>
      <c r="B82" s="77" t="s">
        <v>137</v>
      </c>
      <c r="C82" s="77" t="str">
        <f t="shared" si="15"/>
        <v>BL·</v>
      </c>
      <c r="D82" s="78" t="s">
        <v>46</v>
      </c>
      <c r="E82" s="90" t="str">
        <f t="shared" si="14"/>
        <v>000</v>
      </c>
      <c r="F82" s="3">
        <v>653021</v>
      </c>
      <c r="G82" s="102" t="s">
        <v>156</v>
      </c>
      <c r="H82" s="87"/>
      <c r="I82" s="13">
        <v>0</v>
      </c>
      <c r="J82" s="13">
        <v>0</v>
      </c>
      <c r="L82" s="56">
        <v>0</v>
      </c>
      <c r="M82" s="56"/>
      <c r="N82" s="56">
        <v>0</v>
      </c>
      <c r="O82" s="56"/>
      <c r="P82" s="56">
        <v>0</v>
      </c>
      <c r="Q82" s="56"/>
      <c r="R82" s="56">
        <v>0</v>
      </c>
      <c r="S82" s="56"/>
      <c r="T82" s="56">
        <v>0</v>
      </c>
      <c r="U82" s="56"/>
      <c r="V82" s="56">
        <v>0</v>
      </c>
      <c r="W82" s="56"/>
      <c r="X82" s="56">
        <v>0</v>
      </c>
      <c r="Y82" s="56"/>
      <c r="Z82" s="56">
        <v>0</v>
      </c>
      <c r="AA82" s="56"/>
      <c r="AB82" s="56">
        <v>0</v>
      </c>
      <c r="AC82" s="56"/>
      <c r="AD82" s="56"/>
      <c r="AE82" s="56"/>
      <c r="AF82" s="56">
        <f t="shared" ref="AF82:AF100" si="16">SUM(Z82:AE82)</f>
        <v>0</v>
      </c>
      <c r="AG82" s="56">
        <v>0</v>
      </c>
      <c r="AH82" s="56">
        <v>0</v>
      </c>
      <c r="AI82" s="56"/>
      <c r="AJ82" s="56">
        <f t="shared" si="11"/>
        <v>0</v>
      </c>
      <c r="AK82" s="85"/>
      <c r="AL82" s="56">
        <v>0</v>
      </c>
      <c r="AM82" s="56"/>
      <c r="AN82" s="88">
        <f>SUM(AI82:AM82)</f>
        <v>0</v>
      </c>
      <c r="AO82" s="88">
        <v>0</v>
      </c>
      <c r="AP82" s="88">
        <v>19.79</v>
      </c>
      <c r="AQ82" s="56"/>
      <c r="AR82" s="56">
        <v>0</v>
      </c>
      <c r="AS82" s="56"/>
      <c r="AT82" s="56">
        <v>0</v>
      </c>
      <c r="AU82" s="56"/>
      <c r="AV82" s="56">
        <f t="shared" si="12"/>
        <v>19.79</v>
      </c>
      <c r="AW82" s="56"/>
      <c r="AX82" s="56">
        <v>0</v>
      </c>
      <c r="AY82" s="56"/>
      <c r="AZ82" s="56">
        <v>0</v>
      </c>
      <c r="BA82" s="56">
        <v>0</v>
      </c>
      <c r="BB82" s="214"/>
      <c r="BC82" s="56"/>
      <c r="BD82" s="84">
        <f t="shared" si="13"/>
        <v>19.79</v>
      </c>
      <c r="BE82" s="56"/>
      <c r="BF82" s="56"/>
      <c r="BG82" s="56"/>
      <c r="BH82" s="72"/>
    </row>
    <row r="83" spans="1:60" ht="20.100000000000001" customHeight="1" outlineLevel="1">
      <c r="A83" s="77" t="s">
        <v>43</v>
      </c>
      <c r="B83" s="77" t="s">
        <v>137</v>
      </c>
      <c r="C83" s="77" t="str">
        <f t="shared" si="15"/>
        <v>BL·</v>
      </c>
      <c r="D83" s="78" t="s">
        <v>46</v>
      </c>
      <c r="E83" s="90" t="str">
        <f t="shared" si="14"/>
        <v>000</v>
      </c>
      <c r="F83" s="3">
        <v>661077</v>
      </c>
      <c r="G83" s="102" t="s">
        <v>157</v>
      </c>
      <c r="H83" s="87"/>
      <c r="I83" s="13">
        <v>0</v>
      </c>
      <c r="J83" s="13">
        <v>0</v>
      </c>
      <c r="L83" s="56">
        <v>20517</v>
      </c>
      <c r="M83" s="56"/>
      <c r="N83" s="56">
        <v>0</v>
      </c>
      <c r="O83" s="56"/>
      <c r="P83" s="56">
        <v>327</v>
      </c>
      <c r="Q83" s="56"/>
      <c r="R83" s="56">
        <v>327</v>
      </c>
      <c r="S83" s="56"/>
      <c r="T83" s="56">
        <v>0</v>
      </c>
      <c r="U83" s="56"/>
      <c r="V83" s="56">
        <v>327</v>
      </c>
      <c r="W83" s="56"/>
      <c r="X83" s="56">
        <v>684.4</v>
      </c>
      <c r="Y83" s="56"/>
      <c r="Z83" s="56">
        <v>327</v>
      </c>
      <c r="AA83" s="56"/>
      <c r="AB83" s="56">
        <v>0</v>
      </c>
      <c r="AC83" s="56"/>
      <c r="AD83" s="56"/>
      <c r="AE83" s="56"/>
      <c r="AF83" s="56">
        <f t="shared" si="16"/>
        <v>327</v>
      </c>
      <c r="AG83" s="56">
        <v>0</v>
      </c>
      <c r="AH83" s="56">
        <v>0</v>
      </c>
      <c r="AI83" s="56"/>
      <c r="AJ83" s="56">
        <f t="shared" si="11"/>
        <v>327</v>
      </c>
      <c r="AK83" s="85"/>
      <c r="AL83" s="56">
        <v>0</v>
      </c>
      <c r="AM83" s="56"/>
      <c r="AN83" s="88">
        <v>10219.969999999999</v>
      </c>
      <c r="AO83" s="88">
        <v>0</v>
      </c>
      <c r="AP83" s="88">
        <v>0</v>
      </c>
      <c r="AQ83" s="56"/>
      <c r="AR83" s="56">
        <v>0</v>
      </c>
      <c r="AS83" s="56"/>
      <c r="AT83" s="56">
        <v>0</v>
      </c>
      <c r="AU83" s="56"/>
      <c r="AV83" s="56">
        <f t="shared" si="12"/>
        <v>0</v>
      </c>
      <c r="AW83" s="56"/>
      <c r="AX83" s="56">
        <v>0</v>
      </c>
      <c r="AY83" s="56"/>
      <c r="AZ83" s="56">
        <v>0</v>
      </c>
      <c r="BA83" s="56">
        <v>0</v>
      </c>
      <c r="BB83" s="214"/>
      <c r="BC83" s="56"/>
      <c r="BD83" s="84">
        <f t="shared" si="13"/>
        <v>-10219.969999999999</v>
      </c>
      <c r="BE83" s="56"/>
      <c r="BF83" s="56"/>
      <c r="BG83" s="56"/>
      <c r="BH83" s="72"/>
    </row>
    <row r="84" spans="1:60" ht="20.100000000000001" customHeight="1" outlineLevel="1">
      <c r="A84" s="77" t="s">
        <v>43</v>
      </c>
      <c r="B84" s="77" t="s">
        <v>158</v>
      </c>
      <c r="C84" s="77" t="str">
        <f t="shared" si="15"/>
        <v>BL·</v>
      </c>
      <c r="D84" s="78" t="s">
        <v>46</v>
      </c>
      <c r="E84" s="90" t="str">
        <f t="shared" si="14"/>
        <v>000</v>
      </c>
      <c r="F84" s="3">
        <v>642401</v>
      </c>
      <c r="G84" s="102" t="s">
        <v>159</v>
      </c>
      <c r="H84" s="87"/>
      <c r="I84" s="13">
        <v>0</v>
      </c>
      <c r="J84" s="13">
        <v>0</v>
      </c>
      <c r="L84" s="56">
        <v>39130</v>
      </c>
      <c r="M84" s="56"/>
      <c r="N84" s="56">
        <v>0</v>
      </c>
      <c r="O84" s="56"/>
      <c r="P84" s="56">
        <v>0</v>
      </c>
      <c r="Q84" s="56"/>
      <c r="R84" s="56">
        <v>149000</v>
      </c>
      <c r="S84" s="56"/>
      <c r="T84" s="56">
        <v>0</v>
      </c>
      <c r="U84" s="56"/>
      <c r="V84" s="56">
        <v>149000</v>
      </c>
      <c r="W84" s="56"/>
      <c r="X84" s="56">
        <v>191126.55</v>
      </c>
      <c r="Y84" s="56"/>
      <c r="Z84" s="56">
        <v>149000</v>
      </c>
      <c r="AA84" s="56"/>
      <c r="AB84" s="56">
        <v>0</v>
      </c>
      <c r="AC84" s="56"/>
      <c r="AD84" s="56"/>
      <c r="AE84" s="56"/>
      <c r="AF84" s="56">
        <f t="shared" si="16"/>
        <v>149000</v>
      </c>
      <c r="AG84" s="56">
        <v>0</v>
      </c>
      <c r="AH84" s="56">
        <v>0</v>
      </c>
      <c r="AI84" s="56"/>
      <c r="AJ84" s="56">
        <f t="shared" si="11"/>
        <v>149000</v>
      </c>
      <c r="AK84" s="85"/>
      <c r="AL84" s="56">
        <v>38350</v>
      </c>
      <c r="AM84" s="56"/>
      <c r="AN84" s="88">
        <v>215095</v>
      </c>
      <c r="AO84" s="88">
        <v>0</v>
      </c>
      <c r="AP84" s="88">
        <v>201615</v>
      </c>
      <c r="AQ84" s="56"/>
      <c r="AR84" s="56">
        <v>0</v>
      </c>
      <c r="AS84" s="56"/>
      <c r="AT84" s="56">
        <v>0</v>
      </c>
      <c r="AU84" s="56"/>
      <c r="AV84" s="56">
        <f t="shared" si="12"/>
        <v>201615</v>
      </c>
      <c r="AW84" s="56"/>
      <c r="AX84" s="56">
        <v>0</v>
      </c>
      <c r="AY84" s="56"/>
      <c r="AZ84" s="56">
        <v>187350</v>
      </c>
      <c r="BA84" s="56">
        <v>187350</v>
      </c>
      <c r="BB84" s="214"/>
      <c r="BC84" s="56"/>
      <c r="BD84" s="84">
        <f t="shared" si="13"/>
        <v>-13480</v>
      </c>
      <c r="BE84" s="56"/>
      <c r="BF84" s="56"/>
      <c r="BG84" s="56"/>
      <c r="BH84" s="72"/>
    </row>
    <row r="85" spans="1:60" ht="20.100000000000001" customHeight="1" outlineLevel="1">
      <c r="A85" s="77" t="s">
        <v>43</v>
      </c>
      <c r="B85" s="77" t="s">
        <v>160</v>
      </c>
      <c r="C85" s="77" t="str">
        <f t="shared" si="15"/>
        <v>BL·</v>
      </c>
      <c r="D85" s="78" t="s">
        <v>46</v>
      </c>
      <c r="E85" s="90" t="str">
        <f t="shared" si="14"/>
        <v>000</v>
      </c>
      <c r="F85" s="3">
        <v>661077</v>
      </c>
      <c r="G85" s="102" t="s">
        <v>112</v>
      </c>
      <c r="H85" s="87"/>
      <c r="I85" s="13">
        <v>0</v>
      </c>
      <c r="J85" s="13">
        <v>0</v>
      </c>
      <c r="L85" s="56">
        <v>28884</v>
      </c>
      <c r="M85" s="56"/>
      <c r="N85" s="56">
        <v>0</v>
      </c>
      <c r="O85" s="56"/>
      <c r="P85" s="56">
        <v>0</v>
      </c>
      <c r="Q85" s="56"/>
      <c r="R85" s="56">
        <v>0</v>
      </c>
      <c r="S85" s="56"/>
      <c r="T85" s="56">
        <v>0</v>
      </c>
      <c r="U85" s="56"/>
      <c r="V85" s="56">
        <v>0</v>
      </c>
      <c r="W85" s="56"/>
      <c r="X85" s="56">
        <v>399</v>
      </c>
      <c r="Y85" s="56"/>
      <c r="Z85" s="56">
        <v>0</v>
      </c>
      <c r="AA85" s="56"/>
      <c r="AB85" s="56">
        <v>0</v>
      </c>
      <c r="AC85" s="56"/>
      <c r="AD85" s="56"/>
      <c r="AE85" s="56"/>
      <c r="AF85" s="56">
        <f t="shared" si="16"/>
        <v>0</v>
      </c>
      <c r="AG85" s="56">
        <v>0</v>
      </c>
      <c r="AH85" s="56">
        <v>0</v>
      </c>
      <c r="AI85" s="56"/>
      <c r="AJ85" s="56">
        <f t="shared" si="11"/>
        <v>0</v>
      </c>
      <c r="AK85" s="85"/>
      <c r="AL85" s="56">
        <v>0</v>
      </c>
      <c r="AM85" s="56"/>
      <c r="AN85" s="88">
        <f>SUM(AI85:AM85)</f>
        <v>0</v>
      </c>
      <c r="AO85" s="88">
        <v>0</v>
      </c>
      <c r="AP85" s="88">
        <v>372.91</v>
      </c>
      <c r="AQ85" s="56"/>
      <c r="AR85" s="56">
        <v>0</v>
      </c>
      <c r="AS85" s="56"/>
      <c r="AT85" s="56">
        <v>0</v>
      </c>
      <c r="AU85" s="56"/>
      <c r="AV85" s="56">
        <f t="shared" si="12"/>
        <v>372.91</v>
      </c>
      <c r="AW85" s="56"/>
      <c r="AX85" s="56">
        <v>0</v>
      </c>
      <c r="AY85" s="56"/>
      <c r="AZ85" s="56">
        <v>0</v>
      </c>
      <c r="BA85" s="56">
        <v>0</v>
      </c>
      <c r="BB85" s="214"/>
      <c r="BC85" s="56"/>
      <c r="BD85" s="84">
        <f t="shared" si="13"/>
        <v>372.91</v>
      </c>
      <c r="BE85" s="56"/>
      <c r="BF85" s="56"/>
      <c r="BG85" s="56"/>
      <c r="BH85" s="72"/>
    </row>
    <row r="86" spans="1:60" ht="20.100000000000001" customHeight="1" outlineLevel="1">
      <c r="A86" s="77" t="s">
        <v>43</v>
      </c>
      <c r="B86" s="77" t="s">
        <v>160</v>
      </c>
      <c r="C86" s="77" t="str">
        <f t="shared" si="15"/>
        <v>BL·</v>
      </c>
      <c r="D86" s="78" t="s">
        <v>46</v>
      </c>
      <c r="E86" s="90" t="str">
        <f t="shared" si="14"/>
        <v>000</v>
      </c>
      <c r="F86" s="3">
        <v>662611</v>
      </c>
      <c r="G86" s="102" t="s">
        <v>161</v>
      </c>
      <c r="H86" s="87"/>
      <c r="I86" s="13">
        <v>0</v>
      </c>
      <c r="J86" s="13">
        <v>0</v>
      </c>
      <c r="L86" s="56">
        <v>21261</v>
      </c>
      <c r="M86" s="56"/>
      <c r="N86" s="56">
        <v>10000</v>
      </c>
      <c r="O86" s="56"/>
      <c r="P86" s="56">
        <v>10000</v>
      </c>
      <c r="Q86" s="56"/>
      <c r="R86" s="56">
        <v>10000</v>
      </c>
      <c r="S86" s="56"/>
      <c r="T86" s="56">
        <v>0</v>
      </c>
      <c r="U86" s="56"/>
      <c r="V86" s="56">
        <v>10000</v>
      </c>
      <c r="W86" s="56"/>
      <c r="X86" s="56">
        <v>165.42</v>
      </c>
      <c r="Y86" s="56"/>
      <c r="Z86" s="56">
        <v>10000</v>
      </c>
      <c r="AA86" s="56"/>
      <c r="AB86" s="56">
        <v>0</v>
      </c>
      <c r="AC86" s="56"/>
      <c r="AD86" s="56"/>
      <c r="AE86" s="56"/>
      <c r="AF86" s="56">
        <f t="shared" si="16"/>
        <v>10000</v>
      </c>
      <c r="AG86" s="56">
        <v>255000</v>
      </c>
      <c r="AH86" s="56">
        <v>0</v>
      </c>
      <c r="AI86" s="56"/>
      <c r="AJ86" s="56">
        <f t="shared" si="11"/>
        <v>265000</v>
      </c>
      <c r="AK86" s="85"/>
      <c r="AL86" s="56">
        <v>0</v>
      </c>
      <c r="AM86" s="56"/>
      <c r="AN86" s="88">
        <v>171517.41</v>
      </c>
      <c r="AO86" s="88">
        <v>0</v>
      </c>
      <c r="AP86" s="88">
        <v>176226.74</v>
      </c>
      <c r="AQ86" s="56"/>
      <c r="AR86" s="56">
        <v>0</v>
      </c>
      <c r="AS86" s="56"/>
      <c r="AT86" s="56">
        <v>0</v>
      </c>
      <c r="AU86" s="56"/>
      <c r="AV86" s="56">
        <f t="shared" si="12"/>
        <v>176226.74</v>
      </c>
      <c r="AW86" s="56"/>
      <c r="AX86" s="56">
        <v>0</v>
      </c>
      <c r="AY86" s="56"/>
      <c r="AZ86" s="56">
        <v>265000</v>
      </c>
      <c r="BA86" s="56">
        <v>265000</v>
      </c>
      <c r="BB86" s="214"/>
      <c r="BC86" s="56"/>
      <c r="BD86" s="84">
        <f t="shared" si="13"/>
        <v>4709.3299999999872</v>
      </c>
      <c r="BE86" s="56"/>
      <c r="BF86" s="56"/>
      <c r="BG86" s="56"/>
      <c r="BH86" s="72"/>
    </row>
    <row r="87" spans="1:60" ht="20.100000000000001" customHeight="1" outlineLevel="1">
      <c r="A87" s="77" t="s">
        <v>43</v>
      </c>
      <c r="B87" s="77" t="s">
        <v>162</v>
      </c>
      <c r="C87" s="77" t="str">
        <f t="shared" si="15"/>
        <v>BL·</v>
      </c>
      <c r="D87" s="78" t="s">
        <v>46</v>
      </c>
      <c r="E87" s="90" t="str">
        <f t="shared" si="14"/>
        <v>000</v>
      </c>
      <c r="F87" s="3">
        <v>633961</v>
      </c>
      <c r="G87" s="102" t="s">
        <v>163</v>
      </c>
      <c r="H87" s="87"/>
      <c r="I87" s="13">
        <v>12448</v>
      </c>
      <c r="J87" s="13">
        <v>9141</v>
      </c>
      <c r="L87" s="56">
        <v>3780</v>
      </c>
      <c r="M87" s="56"/>
      <c r="N87" s="56">
        <v>10000</v>
      </c>
      <c r="O87" s="56"/>
      <c r="P87" s="56">
        <v>17720</v>
      </c>
      <c r="Q87" s="56"/>
      <c r="R87" s="56">
        <v>17720</v>
      </c>
      <c r="S87" s="56"/>
      <c r="T87" s="56">
        <v>0</v>
      </c>
      <c r="U87" s="56"/>
      <c r="V87" s="56">
        <v>17720</v>
      </c>
      <c r="W87" s="56"/>
      <c r="X87" s="56">
        <v>15538</v>
      </c>
      <c r="Y87" s="56"/>
      <c r="Z87" s="56">
        <v>17720</v>
      </c>
      <c r="AA87" s="56"/>
      <c r="AB87" s="56">
        <v>0</v>
      </c>
      <c r="AC87" s="56"/>
      <c r="AD87" s="56"/>
      <c r="AE87" s="56"/>
      <c r="AF87" s="56">
        <f t="shared" si="16"/>
        <v>17720</v>
      </c>
      <c r="AG87" s="56">
        <v>0</v>
      </c>
      <c r="AH87" s="56">
        <v>0</v>
      </c>
      <c r="AI87" s="56"/>
      <c r="AJ87" s="56">
        <f t="shared" si="11"/>
        <v>17720</v>
      </c>
      <c r="AK87" s="85"/>
      <c r="AL87" s="56">
        <v>0</v>
      </c>
      <c r="AM87" s="56"/>
      <c r="AN87" s="88">
        <v>9860</v>
      </c>
      <c r="AO87" s="88">
        <v>0</v>
      </c>
      <c r="AP87" s="88">
        <v>5597</v>
      </c>
      <c r="AQ87" s="56"/>
      <c r="AR87" s="56">
        <v>0</v>
      </c>
      <c r="AS87" s="56"/>
      <c r="AT87" s="56">
        <v>0</v>
      </c>
      <c r="AU87" s="56"/>
      <c r="AV87" s="56">
        <f t="shared" si="12"/>
        <v>5597</v>
      </c>
      <c r="AW87" s="56"/>
      <c r="AX87" s="56">
        <v>0</v>
      </c>
      <c r="AY87" s="56"/>
      <c r="AZ87" s="56">
        <v>15000</v>
      </c>
      <c r="BA87" s="56">
        <v>15000</v>
      </c>
      <c r="BB87" s="214"/>
      <c r="BC87" s="56"/>
      <c r="BD87" s="84">
        <f t="shared" si="13"/>
        <v>-4263</v>
      </c>
      <c r="BE87" s="56"/>
      <c r="BF87" s="56"/>
      <c r="BG87" s="56"/>
      <c r="BH87" s="72"/>
    </row>
    <row r="88" spans="1:60" ht="20.100000000000001" customHeight="1" outlineLevel="1">
      <c r="A88" s="77" t="s">
        <v>43</v>
      </c>
      <c r="B88" s="77" t="s">
        <v>162</v>
      </c>
      <c r="C88" s="77" t="str">
        <f t="shared" si="15"/>
        <v>BL·</v>
      </c>
      <c r="D88" s="78" t="s">
        <v>46</v>
      </c>
      <c r="E88" s="90" t="str">
        <f t="shared" si="14"/>
        <v>000</v>
      </c>
      <c r="F88" s="3">
        <v>659015</v>
      </c>
      <c r="G88" s="102" t="s">
        <v>164</v>
      </c>
      <c r="H88" s="87"/>
      <c r="I88" s="13">
        <v>175010</v>
      </c>
      <c r="J88" s="13">
        <v>177453</v>
      </c>
      <c r="L88" s="56">
        <v>177453</v>
      </c>
      <c r="M88" s="56"/>
      <c r="N88" s="56">
        <v>180000</v>
      </c>
      <c r="O88" s="56"/>
      <c r="P88" s="56">
        <v>180000</v>
      </c>
      <c r="Q88" s="56"/>
      <c r="R88" s="56">
        <v>180000</v>
      </c>
      <c r="S88" s="56"/>
      <c r="T88" s="56">
        <v>0</v>
      </c>
      <c r="U88" s="56"/>
      <c r="V88" s="56">
        <v>180000</v>
      </c>
      <c r="W88" s="56"/>
      <c r="X88" s="56">
        <v>177453</v>
      </c>
      <c r="Y88" s="56"/>
      <c r="Z88" s="56">
        <v>180000</v>
      </c>
      <c r="AA88" s="56"/>
      <c r="AB88" s="56">
        <v>0</v>
      </c>
      <c r="AC88" s="56"/>
      <c r="AD88" s="56"/>
      <c r="AE88" s="56"/>
      <c r="AF88" s="56">
        <f t="shared" si="16"/>
        <v>180000</v>
      </c>
      <c r="AG88" s="56">
        <v>0</v>
      </c>
      <c r="AH88" s="56">
        <v>0</v>
      </c>
      <c r="AI88" s="56"/>
      <c r="AJ88" s="56">
        <f t="shared" si="11"/>
        <v>180000</v>
      </c>
      <c r="AK88" s="85"/>
      <c r="AL88" s="56">
        <v>0</v>
      </c>
      <c r="AM88" s="56"/>
      <c r="AN88" s="88">
        <v>223233.63</v>
      </c>
      <c r="AO88" s="88">
        <v>0</v>
      </c>
      <c r="AP88" s="88">
        <v>227935.5</v>
      </c>
      <c r="AQ88" s="56"/>
      <c r="AR88" s="56">
        <v>0</v>
      </c>
      <c r="AS88" s="56"/>
      <c r="AT88" s="56">
        <v>0</v>
      </c>
      <c r="AU88" s="56"/>
      <c r="AV88" s="56">
        <f t="shared" si="12"/>
        <v>227935.5</v>
      </c>
      <c r="AW88" s="56"/>
      <c r="AX88" s="56">
        <v>0</v>
      </c>
      <c r="AY88" s="56"/>
      <c r="AZ88" s="56">
        <v>230000</v>
      </c>
      <c r="BA88" s="56">
        <v>230000</v>
      </c>
      <c r="BB88" s="214"/>
      <c r="BC88" s="56"/>
      <c r="BD88" s="84">
        <f t="shared" si="13"/>
        <v>4701.8699999999953</v>
      </c>
      <c r="BE88" s="56"/>
      <c r="BF88" s="56"/>
      <c r="BG88" s="56"/>
      <c r="BH88" s="72"/>
    </row>
    <row r="89" spans="1:60" ht="20.100000000000001" customHeight="1" outlineLevel="1">
      <c r="A89" s="77" t="s">
        <v>43</v>
      </c>
      <c r="B89" s="77" t="s">
        <v>165</v>
      </c>
      <c r="C89" s="77" t="str">
        <f t="shared" si="15"/>
        <v>BL·</v>
      </c>
      <c r="D89" s="78" t="s">
        <v>46</v>
      </c>
      <c r="E89" s="90" t="str">
        <f t="shared" si="14"/>
        <v>000</v>
      </c>
      <c r="F89" s="3">
        <v>633412</v>
      </c>
      <c r="G89" s="102" t="s">
        <v>166</v>
      </c>
      <c r="H89" s="87"/>
      <c r="I89" s="13">
        <v>4343</v>
      </c>
      <c r="J89" s="13">
        <v>2023</v>
      </c>
      <c r="L89" s="56">
        <v>3445</v>
      </c>
      <c r="M89" s="56"/>
      <c r="N89" s="56">
        <v>50000</v>
      </c>
      <c r="O89" s="56"/>
      <c r="P89" s="56">
        <v>50000</v>
      </c>
      <c r="Q89" s="56"/>
      <c r="R89" s="56">
        <v>50000</v>
      </c>
      <c r="S89" s="56"/>
      <c r="T89" s="56">
        <v>0</v>
      </c>
      <c r="U89" s="56"/>
      <c r="V89" s="56">
        <v>50000</v>
      </c>
      <c r="W89" s="56"/>
      <c r="X89" s="56">
        <v>158.19999999999999</v>
      </c>
      <c r="Y89" s="56"/>
      <c r="Z89" s="56">
        <v>50000</v>
      </c>
      <c r="AA89" s="56"/>
      <c r="AB89" s="56">
        <v>0</v>
      </c>
      <c r="AC89" s="56"/>
      <c r="AD89" s="56"/>
      <c r="AE89" s="56"/>
      <c r="AF89" s="56">
        <f t="shared" si="16"/>
        <v>50000</v>
      </c>
      <c r="AG89" s="56">
        <v>0</v>
      </c>
      <c r="AH89" s="56">
        <v>0</v>
      </c>
      <c r="AI89" s="56"/>
      <c r="AJ89" s="56">
        <f t="shared" si="11"/>
        <v>50000</v>
      </c>
      <c r="AK89" s="85"/>
      <c r="AL89" s="56">
        <v>0</v>
      </c>
      <c r="AM89" s="56"/>
      <c r="AN89" s="88">
        <v>87.4</v>
      </c>
      <c r="AO89" s="88">
        <v>0</v>
      </c>
      <c r="AP89" s="88">
        <v>37.9</v>
      </c>
      <c r="AQ89" s="56"/>
      <c r="AR89" s="56">
        <v>0</v>
      </c>
      <c r="AS89" s="56"/>
      <c r="AT89" s="56">
        <v>0</v>
      </c>
      <c r="AU89" s="56"/>
      <c r="AV89" s="56">
        <f t="shared" si="12"/>
        <v>37.9</v>
      </c>
      <c r="AW89" s="56"/>
      <c r="AX89" s="56">
        <v>0</v>
      </c>
      <c r="AY89" s="56"/>
      <c r="AZ89" s="56">
        <v>50000</v>
      </c>
      <c r="BA89" s="56">
        <v>50000</v>
      </c>
      <c r="BB89" s="214"/>
      <c r="BC89" s="56"/>
      <c r="BD89" s="84">
        <f t="shared" si="13"/>
        <v>-49.500000000000007</v>
      </c>
      <c r="BE89" s="56"/>
      <c r="BF89" s="56"/>
      <c r="BG89" s="56"/>
      <c r="BH89" s="72"/>
    </row>
    <row r="90" spans="1:60" ht="20.100000000000001" customHeight="1" outlineLevel="1">
      <c r="A90" s="77" t="s">
        <v>43</v>
      </c>
      <c r="B90" s="77" t="s">
        <v>167</v>
      </c>
      <c r="C90" s="77" t="str">
        <f t="shared" si="15"/>
        <v>BL·</v>
      </c>
      <c r="D90" s="78" t="s">
        <v>46</v>
      </c>
      <c r="E90" s="90" t="str">
        <f t="shared" si="14"/>
        <v>000</v>
      </c>
      <c r="F90" s="3">
        <v>633411</v>
      </c>
      <c r="G90" s="102" t="s">
        <v>168</v>
      </c>
      <c r="H90" s="87"/>
      <c r="I90" s="13">
        <v>0</v>
      </c>
      <c r="J90" s="13">
        <v>2924</v>
      </c>
      <c r="L90" s="56">
        <v>0</v>
      </c>
      <c r="M90" s="56"/>
      <c r="N90" s="56">
        <v>35000</v>
      </c>
      <c r="O90" s="56"/>
      <c r="P90" s="56">
        <v>35000</v>
      </c>
      <c r="Q90" s="56"/>
      <c r="R90" s="56">
        <v>35000</v>
      </c>
      <c r="S90" s="56"/>
      <c r="T90" s="56">
        <v>0</v>
      </c>
      <c r="U90" s="56"/>
      <c r="V90" s="56">
        <v>35000</v>
      </c>
      <c r="W90" s="56"/>
      <c r="X90" s="56">
        <v>0</v>
      </c>
      <c r="Y90" s="56"/>
      <c r="Z90" s="56">
        <v>35000</v>
      </c>
      <c r="AA90" s="56"/>
      <c r="AB90" s="56">
        <v>0</v>
      </c>
      <c r="AC90" s="56"/>
      <c r="AD90" s="56"/>
      <c r="AE90" s="56"/>
      <c r="AF90" s="56">
        <f t="shared" si="16"/>
        <v>35000</v>
      </c>
      <c r="AG90" s="56">
        <v>0</v>
      </c>
      <c r="AH90" s="56">
        <v>0</v>
      </c>
      <c r="AI90" s="56"/>
      <c r="AJ90" s="56">
        <f t="shared" si="11"/>
        <v>35000</v>
      </c>
      <c r="AK90" s="85"/>
      <c r="AL90" s="56">
        <v>0</v>
      </c>
      <c r="AM90" s="56"/>
      <c r="AN90" s="88">
        <v>0</v>
      </c>
      <c r="AO90" s="88">
        <v>0</v>
      </c>
      <c r="AP90" s="88">
        <v>0</v>
      </c>
      <c r="AQ90" s="56"/>
      <c r="AR90" s="56">
        <v>0</v>
      </c>
      <c r="AS90" s="56"/>
      <c r="AT90" s="56">
        <v>0</v>
      </c>
      <c r="AU90" s="56"/>
      <c r="AV90" s="56">
        <f t="shared" si="12"/>
        <v>0</v>
      </c>
      <c r="AW90" s="56"/>
      <c r="AX90" s="56">
        <v>0</v>
      </c>
      <c r="AY90" s="56"/>
      <c r="AZ90" s="56">
        <v>35000</v>
      </c>
      <c r="BA90" s="56">
        <v>35000</v>
      </c>
      <c r="BB90" s="214"/>
      <c r="BC90" s="56"/>
      <c r="BD90" s="84">
        <f t="shared" si="13"/>
        <v>0</v>
      </c>
      <c r="BE90" s="56"/>
      <c r="BF90" s="56"/>
      <c r="BG90" s="56"/>
      <c r="BH90" s="72"/>
    </row>
    <row r="91" spans="1:60" ht="20.100000000000001" customHeight="1" outlineLevel="1">
      <c r="A91" s="77" t="s">
        <v>43</v>
      </c>
      <c r="B91" s="77" t="s">
        <v>167</v>
      </c>
      <c r="C91" s="77" t="str">
        <f t="shared" si="15"/>
        <v>BL·</v>
      </c>
      <c r="D91" s="78" t="s">
        <v>46</v>
      </c>
      <c r="E91" s="90" t="str">
        <f t="shared" si="14"/>
        <v>000</v>
      </c>
      <c r="F91" s="3">
        <v>633419</v>
      </c>
      <c r="G91" s="102" t="s">
        <v>169</v>
      </c>
      <c r="H91" s="87"/>
      <c r="I91" s="13">
        <v>0</v>
      </c>
      <c r="J91" s="13">
        <v>0</v>
      </c>
      <c r="L91" s="56">
        <v>0</v>
      </c>
      <c r="M91" s="56"/>
      <c r="N91" s="56">
        <v>75000</v>
      </c>
      <c r="O91" s="56"/>
      <c r="P91" s="56">
        <v>75000</v>
      </c>
      <c r="Q91" s="56"/>
      <c r="R91" s="56">
        <v>75000</v>
      </c>
      <c r="S91" s="56"/>
      <c r="T91" s="56">
        <v>0</v>
      </c>
      <c r="U91" s="56"/>
      <c r="V91" s="56">
        <v>75000</v>
      </c>
      <c r="W91" s="56"/>
      <c r="X91" s="56">
        <v>0</v>
      </c>
      <c r="Y91" s="56"/>
      <c r="Z91" s="56">
        <v>75000</v>
      </c>
      <c r="AA91" s="56"/>
      <c r="AB91" s="56">
        <v>0</v>
      </c>
      <c r="AC91" s="56"/>
      <c r="AD91" s="56"/>
      <c r="AE91" s="56"/>
      <c r="AF91" s="56">
        <f t="shared" si="16"/>
        <v>75000</v>
      </c>
      <c r="AG91" s="56">
        <v>0</v>
      </c>
      <c r="AH91" s="56">
        <v>0</v>
      </c>
      <c r="AI91" s="56"/>
      <c r="AJ91" s="56">
        <f t="shared" si="11"/>
        <v>75000</v>
      </c>
      <c r="AK91" s="85"/>
      <c r="AL91" s="56">
        <v>0</v>
      </c>
      <c r="AM91" s="56"/>
      <c r="AN91" s="88">
        <v>0</v>
      </c>
      <c r="AO91" s="88">
        <v>0</v>
      </c>
      <c r="AP91" s="88">
        <v>0</v>
      </c>
      <c r="AQ91" s="56"/>
      <c r="AR91" s="56">
        <v>0</v>
      </c>
      <c r="AS91" s="56"/>
      <c r="AT91" s="56">
        <v>0</v>
      </c>
      <c r="AU91" s="56"/>
      <c r="AV91" s="56">
        <f t="shared" si="12"/>
        <v>0</v>
      </c>
      <c r="AW91" s="56"/>
      <c r="AX91" s="56">
        <v>0</v>
      </c>
      <c r="AY91" s="56"/>
      <c r="AZ91" s="56">
        <v>75000</v>
      </c>
      <c r="BA91" s="56">
        <v>75000</v>
      </c>
      <c r="BB91" s="214"/>
      <c r="BC91" s="56"/>
      <c r="BD91" s="84">
        <f t="shared" si="13"/>
        <v>0</v>
      </c>
      <c r="BE91" s="56"/>
      <c r="BF91" s="56"/>
      <c r="BG91" s="56"/>
      <c r="BH91" s="72"/>
    </row>
    <row r="92" spans="1:60" ht="20.100000000000001" customHeight="1" outlineLevel="1">
      <c r="A92" s="77" t="s">
        <v>43</v>
      </c>
      <c r="B92" s="77" t="s">
        <v>167</v>
      </c>
      <c r="C92" s="77" t="str">
        <f t="shared" si="15"/>
        <v>BL·</v>
      </c>
      <c r="D92" s="78" t="s">
        <v>46</v>
      </c>
      <c r="E92" s="90" t="str">
        <f t="shared" si="14"/>
        <v>000</v>
      </c>
      <c r="F92" s="3">
        <v>645122</v>
      </c>
      <c r="G92" s="102" t="s">
        <v>170</v>
      </c>
      <c r="H92" s="87"/>
      <c r="I92" s="13">
        <v>0</v>
      </c>
      <c r="J92" s="13">
        <v>34301</v>
      </c>
      <c r="L92" s="56">
        <v>0</v>
      </c>
      <c r="M92" s="56"/>
      <c r="N92" s="56">
        <v>0</v>
      </c>
      <c r="O92" s="56"/>
      <c r="P92" s="56">
        <v>0</v>
      </c>
      <c r="Q92" s="56"/>
      <c r="R92" s="56">
        <v>0</v>
      </c>
      <c r="S92" s="56"/>
      <c r="T92" s="56">
        <v>0</v>
      </c>
      <c r="U92" s="56"/>
      <c r="V92" s="56">
        <v>0</v>
      </c>
      <c r="W92" s="56"/>
      <c r="X92" s="56">
        <v>0</v>
      </c>
      <c r="Y92" s="56"/>
      <c r="Z92" s="56">
        <v>0</v>
      </c>
      <c r="AA92" s="56"/>
      <c r="AB92" s="56">
        <v>0</v>
      </c>
      <c r="AC92" s="56"/>
      <c r="AD92" s="56"/>
      <c r="AE92" s="56"/>
      <c r="AF92" s="56">
        <f t="shared" si="16"/>
        <v>0</v>
      </c>
      <c r="AG92" s="56">
        <v>0</v>
      </c>
      <c r="AH92" s="56">
        <v>0</v>
      </c>
      <c r="AI92" s="56"/>
      <c r="AJ92" s="56">
        <f t="shared" si="11"/>
        <v>0</v>
      </c>
      <c r="AK92" s="85"/>
      <c r="AL92" s="56">
        <v>0</v>
      </c>
      <c r="AM92" s="56"/>
      <c r="AN92" s="88">
        <f>SUM(AI92:AM92)</f>
        <v>0</v>
      </c>
      <c r="AO92" s="88">
        <v>0</v>
      </c>
      <c r="AP92" s="88">
        <v>0</v>
      </c>
      <c r="AQ92" s="56"/>
      <c r="AR92" s="56">
        <v>0</v>
      </c>
      <c r="AS92" s="56"/>
      <c r="AT92" s="56">
        <v>0</v>
      </c>
      <c r="AU92" s="56"/>
      <c r="AV92" s="56">
        <f t="shared" si="12"/>
        <v>0</v>
      </c>
      <c r="AW92" s="56"/>
      <c r="AX92" s="56">
        <v>0</v>
      </c>
      <c r="AY92" s="56"/>
      <c r="AZ92" s="56">
        <v>0</v>
      </c>
      <c r="BA92" s="56">
        <v>0</v>
      </c>
      <c r="BB92" s="214"/>
      <c r="BC92" s="56"/>
      <c r="BD92" s="84">
        <f t="shared" si="13"/>
        <v>0</v>
      </c>
      <c r="BE92" s="56"/>
      <c r="BF92" s="56"/>
      <c r="BG92" s="56"/>
      <c r="BH92" s="72"/>
    </row>
    <row r="93" spans="1:60" ht="20.100000000000001" customHeight="1" outlineLevel="1">
      <c r="A93" s="77" t="s">
        <v>43</v>
      </c>
      <c r="B93" s="77" t="s">
        <v>167</v>
      </c>
      <c r="C93" s="77" t="str">
        <f t="shared" si="15"/>
        <v>BL·</v>
      </c>
      <c r="D93" s="78" t="s">
        <v>46</v>
      </c>
      <c r="E93" s="90" t="str">
        <f t="shared" si="14"/>
        <v>000</v>
      </c>
      <c r="F93" s="3">
        <v>672018</v>
      </c>
      <c r="G93" s="102" t="s">
        <v>171</v>
      </c>
      <c r="H93" s="87"/>
      <c r="I93" s="13">
        <v>0</v>
      </c>
      <c r="J93" s="13">
        <v>0</v>
      </c>
      <c r="L93" s="56">
        <v>0</v>
      </c>
      <c r="M93" s="56"/>
      <c r="N93" s="56">
        <v>0</v>
      </c>
      <c r="O93" s="56"/>
      <c r="P93" s="56">
        <v>0</v>
      </c>
      <c r="Q93" s="56"/>
      <c r="R93" s="56">
        <v>0</v>
      </c>
      <c r="S93" s="56"/>
      <c r="T93" s="56">
        <v>0</v>
      </c>
      <c r="U93" s="56"/>
      <c r="V93" s="56">
        <v>0</v>
      </c>
      <c r="W93" s="56"/>
      <c r="X93" s="56">
        <v>18767</v>
      </c>
      <c r="Y93" s="56"/>
      <c r="Z93" s="56">
        <v>140000</v>
      </c>
      <c r="AA93" s="56"/>
      <c r="AB93" s="56">
        <v>0</v>
      </c>
      <c r="AC93" s="56"/>
      <c r="AD93" s="56"/>
      <c r="AE93" s="56"/>
      <c r="AF93" s="56">
        <f t="shared" si="16"/>
        <v>140000</v>
      </c>
      <c r="AG93" s="56">
        <v>0</v>
      </c>
      <c r="AH93" s="56">
        <v>0</v>
      </c>
      <c r="AI93" s="56"/>
      <c r="AJ93" s="56">
        <f t="shared" si="11"/>
        <v>140000</v>
      </c>
      <c r="AK93" s="85"/>
      <c r="AL93" s="56">
        <v>0</v>
      </c>
      <c r="AM93" s="56"/>
      <c r="AN93" s="88">
        <v>0</v>
      </c>
      <c r="AO93" s="88">
        <v>0</v>
      </c>
      <c r="AP93" s="88">
        <v>0</v>
      </c>
      <c r="AQ93" s="56"/>
      <c r="AR93" s="56">
        <v>0</v>
      </c>
      <c r="AS93" s="56"/>
      <c r="AT93" s="56">
        <v>0</v>
      </c>
      <c r="AU93" s="56"/>
      <c r="AV93" s="56">
        <f t="shared" si="12"/>
        <v>0</v>
      </c>
      <c r="AW93" s="56"/>
      <c r="AX93" s="56">
        <v>0</v>
      </c>
      <c r="AY93" s="56"/>
      <c r="AZ93" s="56">
        <v>0</v>
      </c>
      <c r="BA93" s="56">
        <v>0</v>
      </c>
      <c r="BB93" s="214"/>
      <c r="BC93" s="56"/>
      <c r="BD93" s="84">
        <f t="shared" si="13"/>
        <v>0</v>
      </c>
      <c r="BE93" s="56"/>
      <c r="BF93" s="56"/>
      <c r="BG93" s="56"/>
      <c r="BH93" s="72"/>
    </row>
    <row r="94" spans="1:60" ht="20.100000000000001" customHeight="1" outlineLevel="1">
      <c r="A94" s="77" t="s">
        <v>43</v>
      </c>
      <c r="B94" s="77" t="s">
        <v>167</v>
      </c>
      <c r="C94" s="77" t="str">
        <f t="shared" si="15"/>
        <v>BL·</v>
      </c>
      <c r="D94" s="78" t="s">
        <v>46</v>
      </c>
      <c r="E94" s="90" t="str">
        <f t="shared" si="14"/>
        <v>000</v>
      </c>
      <c r="F94" s="3">
        <v>689013</v>
      </c>
      <c r="G94" s="102" t="s">
        <v>172</v>
      </c>
      <c r="H94" s="87"/>
      <c r="I94" s="13">
        <v>10199</v>
      </c>
      <c r="J94" s="13">
        <v>6245</v>
      </c>
      <c r="L94" s="56">
        <v>0</v>
      </c>
      <c r="M94" s="56"/>
      <c r="N94" s="56">
        <v>5000</v>
      </c>
      <c r="O94" s="56"/>
      <c r="P94" s="56">
        <v>5000</v>
      </c>
      <c r="Q94" s="56"/>
      <c r="R94" s="56">
        <v>5000</v>
      </c>
      <c r="S94" s="56"/>
      <c r="T94" s="56">
        <v>0</v>
      </c>
      <c r="U94" s="56"/>
      <c r="V94" s="56">
        <v>5000</v>
      </c>
      <c r="W94" s="56"/>
      <c r="X94" s="56">
        <v>12825</v>
      </c>
      <c r="Y94" s="56"/>
      <c r="Z94" s="56">
        <v>5000</v>
      </c>
      <c r="AA94" s="56"/>
      <c r="AB94" s="56">
        <v>0</v>
      </c>
      <c r="AC94" s="56"/>
      <c r="AD94" s="56"/>
      <c r="AE94" s="56"/>
      <c r="AF94" s="56">
        <f t="shared" si="16"/>
        <v>5000</v>
      </c>
      <c r="AG94" s="56">
        <v>0</v>
      </c>
      <c r="AH94" s="56">
        <v>0</v>
      </c>
      <c r="AI94" s="56"/>
      <c r="AJ94" s="56">
        <f t="shared" si="11"/>
        <v>5000</v>
      </c>
      <c r="AK94" s="85"/>
      <c r="AL94" s="56">
        <v>0</v>
      </c>
      <c r="AM94" s="56"/>
      <c r="AN94" s="88">
        <v>2550</v>
      </c>
      <c r="AO94" s="88">
        <v>0</v>
      </c>
      <c r="AP94" s="88">
        <v>127483.12</v>
      </c>
      <c r="AQ94" s="56"/>
      <c r="AR94" s="56">
        <v>0</v>
      </c>
      <c r="AS94" s="56"/>
      <c r="AT94" s="56">
        <v>0</v>
      </c>
      <c r="AU94" s="56"/>
      <c r="AV94" s="56">
        <f t="shared" si="12"/>
        <v>127483.12</v>
      </c>
      <c r="AW94" s="56"/>
      <c r="AX94" s="56">
        <v>0</v>
      </c>
      <c r="AY94" s="56"/>
      <c r="AZ94" s="56">
        <v>10000</v>
      </c>
      <c r="BA94" s="56">
        <v>10000</v>
      </c>
      <c r="BB94" s="214"/>
      <c r="BC94" s="56"/>
      <c r="BD94" s="84">
        <f t="shared" si="13"/>
        <v>124933.12</v>
      </c>
      <c r="BE94" s="56"/>
      <c r="BF94" s="56"/>
      <c r="BG94" s="56"/>
      <c r="BH94" s="72"/>
    </row>
    <row r="95" spans="1:60" ht="20.100000000000001" customHeight="1" outlineLevel="1">
      <c r="A95" s="77" t="s">
        <v>43</v>
      </c>
      <c r="B95" s="108" t="s">
        <v>173</v>
      </c>
      <c r="C95" s="77" t="str">
        <f t="shared" si="15"/>
        <v>BL·</v>
      </c>
      <c r="D95" s="78" t="s">
        <v>46</v>
      </c>
      <c r="E95" s="90" t="str">
        <f t="shared" si="14"/>
        <v>000</v>
      </c>
      <c r="F95" s="3">
        <v>645122</v>
      </c>
      <c r="G95" s="102" t="s">
        <v>170</v>
      </c>
      <c r="H95" s="87"/>
      <c r="I95" s="13">
        <v>345147</v>
      </c>
      <c r="J95" s="13">
        <v>0</v>
      </c>
      <c r="L95" s="56">
        <v>0</v>
      </c>
      <c r="M95" s="56"/>
      <c r="N95" s="56">
        <v>125000</v>
      </c>
      <c r="O95" s="56"/>
      <c r="P95" s="56">
        <v>125000</v>
      </c>
      <c r="Q95" s="56"/>
      <c r="R95" s="56">
        <v>125000</v>
      </c>
      <c r="S95" s="56"/>
      <c r="T95" s="56">
        <v>0</v>
      </c>
      <c r="U95" s="56"/>
      <c r="V95" s="56">
        <v>125000</v>
      </c>
      <c r="W95" s="56"/>
      <c r="X95" s="56">
        <v>117362</v>
      </c>
      <c r="Y95" s="56"/>
      <c r="Z95" s="56">
        <v>125000</v>
      </c>
      <c r="AA95" s="56"/>
      <c r="AB95" s="56">
        <v>0</v>
      </c>
      <c r="AC95" s="56"/>
      <c r="AD95" s="56"/>
      <c r="AE95" s="56"/>
      <c r="AF95" s="56">
        <f t="shared" si="16"/>
        <v>125000</v>
      </c>
      <c r="AG95" s="56">
        <v>0</v>
      </c>
      <c r="AH95" s="56">
        <v>0</v>
      </c>
      <c r="AI95" s="56"/>
      <c r="AJ95" s="56">
        <f t="shared" si="11"/>
        <v>125000</v>
      </c>
      <c r="AK95" s="85"/>
      <c r="AL95" s="56">
        <v>-100000</v>
      </c>
      <c r="AM95" s="56"/>
      <c r="AN95" s="88">
        <v>0</v>
      </c>
      <c r="AO95" s="88">
        <v>0</v>
      </c>
      <c r="AP95" s="88">
        <v>0</v>
      </c>
      <c r="AQ95" s="56"/>
      <c r="AR95" s="56">
        <v>0</v>
      </c>
      <c r="AS95" s="56"/>
      <c r="AT95" s="56">
        <v>0</v>
      </c>
      <c r="AU95" s="56"/>
      <c r="AV95" s="56">
        <f t="shared" si="12"/>
        <v>0</v>
      </c>
      <c r="AW95" s="56"/>
      <c r="AX95" s="56">
        <v>0</v>
      </c>
      <c r="AY95" s="56"/>
      <c r="AZ95" s="56">
        <v>0</v>
      </c>
      <c r="BA95" s="56">
        <v>0</v>
      </c>
      <c r="BB95" s="214"/>
      <c r="BC95" s="56"/>
      <c r="BD95" s="84">
        <f t="shared" si="13"/>
        <v>0</v>
      </c>
      <c r="BE95" s="56"/>
      <c r="BF95" s="56"/>
      <c r="BG95" s="56"/>
      <c r="BH95" s="72"/>
    </row>
    <row r="96" spans="1:60" ht="20.100000000000001" customHeight="1" outlineLevel="1">
      <c r="A96" s="77" t="s">
        <v>43</v>
      </c>
      <c r="B96" s="77" t="s">
        <v>173</v>
      </c>
      <c r="C96" s="77" t="str">
        <f t="shared" si="15"/>
        <v>BL·</v>
      </c>
      <c r="D96" s="78" t="s">
        <v>46</v>
      </c>
      <c r="E96" s="90" t="str">
        <f t="shared" si="14"/>
        <v>000</v>
      </c>
      <c r="F96" s="3">
        <v>645123</v>
      </c>
      <c r="G96" s="102" t="s">
        <v>174</v>
      </c>
      <c r="H96" s="87"/>
      <c r="I96" s="13">
        <v>225742</v>
      </c>
      <c r="J96" s="13">
        <v>0</v>
      </c>
      <c r="L96" s="56">
        <v>0</v>
      </c>
      <c r="M96" s="56"/>
      <c r="N96" s="56">
        <v>100000</v>
      </c>
      <c r="O96" s="56"/>
      <c r="P96" s="56">
        <v>100000</v>
      </c>
      <c r="Q96" s="56"/>
      <c r="R96" s="56">
        <v>100000</v>
      </c>
      <c r="S96" s="56"/>
      <c r="T96" s="56">
        <v>0</v>
      </c>
      <c r="U96" s="56"/>
      <c r="V96" s="56">
        <v>100000</v>
      </c>
      <c r="W96" s="56"/>
      <c r="X96" s="56">
        <v>0</v>
      </c>
      <c r="Y96" s="56"/>
      <c r="Z96" s="56">
        <v>100000</v>
      </c>
      <c r="AA96" s="56"/>
      <c r="AB96" s="56">
        <v>0</v>
      </c>
      <c r="AC96" s="56"/>
      <c r="AD96" s="56"/>
      <c r="AE96" s="56"/>
      <c r="AF96" s="56">
        <f t="shared" si="16"/>
        <v>100000</v>
      </c>
      <c r="AG96" s="56">
        <v>0</v>
      </c>
      <c r="AH96" s="56">
        <v>0</v>
      </c>
      <c r="AI96" s="56"/>
      <c r="AJ96" s="56">
        <f t="shared" si="11"/>
        <v>100000</v>
      </c>
      <c r="AK96" s="85"/>
      <c r="AL96" s="56">
        <v>0</v>
      </c>
      <c r="AM96" s="56"/>
      <c r="AN96" s="88">
        <v>0</v>
      </c>
      <c r="AO96" s="88">
        <v>0</v>
      </c>
      <c r="AP96" s="88">
        <v>0</v>
      </c>
      <c r="AQ96" s="56"/>
      <c r="AR96" s="56">
        <v>0</v>
      </c>
      <c r="AS96" s="56"/>
      <c r="AT96" s="56">
        <v>0</v>
      </c>
      <c r="AU96" s="56"/>
      <c r="AV96" s="56">
        <f t="shared" si="12"/>
        <v>0</v>
      </c>
      <c r="AW96" s="56"/>
      <c r="AX96" s="56">
        <v>0</v>
      </c>
      <c r="AY96" s="56"/>
      <c r="AZ96" s="56">
        <v>0</v>
      </c>
      <c r="BA96" s="56">
        <v>0</v>
      </c>
      <c r="BB96" s="214"/>
      <c r="BC96" s="56"/>
      <c r="BD96" s="84">
        <f t="shared" si="13"/>
        <v>0</v>
      </c>
      <c r="BE96" s="56"/>
      <c r="BF96" s="56"/>
      <c r="BG96" s="56"/>
      <c r="BH96" s="72"/>
    </row>
    <row r="97" spans="1:63" ht="20.100000000000001" customHeight="1" outlineLevel="1">
      <c r="A97" s="77" t="s">
        <v>43</v>
      </c>
      <c r="B97" s="77" t="s">
        <v>173</v>
      </c>
      <c r="C97" s="77" t="str">
        <f t="shared" si="15"/>
        <v>BL·</v>
      </c>
      <c r="D97" s="78" t="s">
        <v>46</v>
      </c>
      <c r="E97" s="90" t="str">
        <f t="shared" si="14"/>
        <v>000</v>
      </c>
      <c r="F97" s="3">
        <v>645124</v>
      </c>
      <c r="G97" s="102" t="s">
        <v>175</v>
      </c>
      <c r="H97" s="87"/>
      <c r="I97" s="13">
        <v>0</v>
      </c>
      <c r="J97" s="13">
        <v>0</v>
      </c>
      <c r="L97" s="56">
        <v>0</v>
      </c>
      <c r="M97" s="56"/>
      <c r="N97" s="56">
        <v>0</v>
      </c>
      <c r="O97" s="56"/>
      <c r="P97" s="56">
        <v>0</v>
      </c>
      <c r="Q97" s="56"/>
      <c r="R97" s="56">
        <v>0</v>
      </c>
      <c r="S97" s="56"/>
      <c r="T97" s="56">
        <v>0</v>
      </c>
      <c r="U97" s="56"/>
      <c r="V97" s="56">
        <v>0</v>
      </c>
      <c r="W97" s="56"/>
      <c r="X97" s="56">
        <v>0</v>
      </c>
      <c r="Y97" s="56"/>
      <c r="Z97" s="56">
        <v>0</v>
      </c>
      <c r="AA97" s="56"/>
      <c r="AB97" s="56">
        <v>0</v>
      </c>
      <c r="AC97" s="56"/>
      <c r="AD97" s="56"/>
      <c r="AE97" s="56"/>
      <c r="AF97" s="56">
        <f t="shared" si="16"/>
        <v>0</v>
      </c>
      <c r="AG97" s="56">
        <v>0</v>
      </c>
      <c r="AH97" s="56">
        <v>0</v>
      </c>
      <c r="AI97" s="56"/>
      <c r="AJ97" s="56">
        <f t="shared" si="11"/>
        <v>0</v>
      </c>
      <c r="AK97" s="85"/>
      <c r="AL97" s="56">
        <v>0</v>
      </c>
      <c r="AM97" s="56"/>
      <c r="AN97" s="88">
        <f>SUM(AI97:AM97)</f>
        <v>0</v>
      </c>
      <c r="AO97" s="88">
        <v>0</v>
      </c>
      <c r="AP97" s="88">
        <v>0</v>
      </c>
      <c r="AQ97" s="56"/>
      <c r="AR97" s="56">
        <v>0</v>
      </c>
      <c r="AS97" s="56"/>
      <c r="AT97" s="56">
        <v>0</v>
      </c>
      <c r="AU97" s="56"/>
      <c r="AV97" s="56">
        <f t="shared" si="12"/>
        <v>0</v>
      </c>
      <c r="AW97" s="56"/>
      <c r="AX97" s="56">
        <v>0</v>
      </c>
      <c r="AY97" s="56"/>
      <c r="AZ97" s="56">
        <v>0</v>
      </c>
      <c r="BA97" s="56">
        <v>0</v>
      </c>
      <c r="BB97" s="214"/>
      <c r="BC97" s="56"/>
      <c r="BD97" s="84">
        <f t="shared" si="13"/>
        <v>0</v>
      </c>
      <c r="BE97" s="56"/>
      <c r="BF97" s="56"/>
      <c r="BG97" s="56"/>
      <c r="BH97" s="72"/>
    </row>
    <row r="98" spans="1:63" ht="20.100000000000001" customHeight="1" outlineLevel="1">
      <c r="A98" s="77" t="s">
        <v>43</v>
      </c>
      <c r="B98" s="109" t="s">
        <v>176</v>
      </c>
      <c r="C98" s="77" t="str">
        <f t="shared" si="15"/>
        <v>BL·</v>
      </c>
      <c r="D98" s="78" t="s">
        <v>46</v>
      </c>
      <c r="E98" s="90" t="str">
        <f t="shared" si="14"/>
        <v>000</v>
      </c>
      <c r="F98" s="3">
        <v>683201</v>
      </c>
      <c r="G98" s="102" t="s">
        <v>177</v>
      </c>
      <c r="H98" s="87"/>
      <c r="I98" s="13">
        <v>41891</v>
      </c>
      <c r="J98" s="13">
        <v>48008</v>
      </c>
      <c r="L98" s="56">
        <v>68045</v>
      </c>
      <c r="M98" s="56"/>
      <c r="N98" s="56">
        <v>145005</v>
      </c>
      <c r="O98" s="56"/>
      <c r="P98" s="56">
        <v>145005</v>
      </c>
      <c r="Q98" s="56"/>
      <c r="R98" s="56">
        <v>145005</v>
      </c>
      <c r="S98" s="56"/>
      <c r="T98" s="56">
        <v>0</v>
      </c>
      <c r="U98" s="56"/>
      <c r="V98" s="56">
        <v>145005</v>
      </c>
      <c r="W98" s="56"/>
      <c r="X98" s="56">
        <v>59723.5</v>
      </c>
      <c r="Y98" s="56"/>
      <c r="Z98" s="56">
        <v>94000</v>
      </c>
      <c r="AA98" s="56"/>
      <c r="AB98" s="56">
        <v>0</v>
      </c>
      <c r="AC98" s="56"/>
      <c r="AD98" s="56"/>
      <c r="AE98" s="56"/>
      <c r="AF98" s="56">
        <f t="shared" si="16"/>
        <v>94000</v>
      </c>
      <c r="AG98" s="56">
        <v>0</v>
      </c>
      <c r="AH98" s="56">
        <v>0</v>
      </c>
      <c r="AI98" s="56"/>
      <c r="AJ98" s="56">
        <f t="shared" si="11"/>
        <v>94000</v>
      </c>
      <c r="AK98" s="85"/>
      <c r="AL98" s="56">
        <v>0</v>
      </c>
      <c r="AM98" s="56"/>
      <c r="AN98" s="88">
        <f>51098.5+1200</f>
        <v>52298.5</v>
      </c>
      <c r="AO98" s="88">
        <v>0</v>
      </c>
      <c r="AP98" s="88">
        <f>2492.08+14032.5+28291</f>
        <v>44815.58</v>
      </c>
      <c r="AQ98" s="56"/>
      <c r="AR98" s="56">
        <v>0</v>
      </c>
      <c r="AS98" s="56"/>
      <c r="AT98" s="56">
        <v>0</v>
      </c>
      <c r="AU98" s="56"/>
      <c r="AV98" s="56">
        <f t="shared" si="12"/>
        <v>44815.58</v>
      </c>
      <c r="AW98" s="56"/>
      <c r="AX98" s="56">
        <v>0</v>
      </c>
      <c r="AY98" s="56"/>
      <c r="AZ98" s="56">
        <v>33095</v>
      </c>
      <c r="BA98" s="56">
        <v>33095</v>
      </c>
      <c r="BB98" s="214"/>
      <c r="BC98" s="56"/>
      <c r="BD98" s="84">
        <f t="shared" si="13"/>
        <v>-7482.9199999999983</v>
      </c>
      <c r="BE98" s="56"/>
      <c r="BF98" s="56"/>
      <c r="BG98" s="56"/>
      <c r="BH98" s="72"/>
    </row>
    <row r="99" spans="1:63" ht="20.100000000000001" customHeight="1" outlineLevel="1">
      <c r="A99" s="77" t="s">
        <v>43</v>
      </c>
      <c r="B99" s="109" t="s">
        <v>176</v>
      </c>
      <c r="C99" s="77" t="str">
        <f t="shared" si="15"/>
        <v>BL·</v>
      </c>
      <c r="D99" s="78" t="s">
        <v>46</v>
      </c>
      <c r="E99" s="90" t="str">
        <f t="shared" si="14"/>
        <v>000</v>
      </c>
      <c r="F99" s="224">
        <v>683100</v>
      </c>
      <c r="G99" s="102" t="s">
        <v>178</v>
      </c>
      <c r="H99" s="87"/>
      <c r="I99" s="13">
        <v>287448</v>
      </c>
      <c r="J99" s="13">
        <v>270000</v>
      </c>
      <c r="L99" s="56">
        <v>869268</v>
      </c>
      <c r="M99" s="56"/>
      <c r="N99" s="56">
        <v>1364162</v>
      </c>
      <c r="O99" s="56"/>
      <c r="P99" s="56">
        <v>1364162</v>
      </c>
      <c r="Q99" s="56"/>
      <c r="R99" s="56">
        <v>1029459</v>
      </c>
      <c r="S99" s="56"/>
      <c r="T99" s="56">
        <v>0</v>
      </c>
      <c r="U99" s="56"/>
      <c r="V99" s="56">
        <v>1029459</v>
      </c>
      <c r="W99" s="56"/>
      <c r="X99" s="56">
        <f>623883.63+285000</f>
        <v>908883.63</v>
      </c>
      <c r="Y99" s="56"/>
      <c r="Z99" s="56">
        <f>594270+290000</f>
        <v>884270</v>
      </c>
      <c r="AA99" s="56"/>
      <c r="AB99" s="56">
        <v>0</v>
      </c>
      <c r="AC99" s="56"/>
      <c r="AD99" s="56"/>
      <c r="AE99" s="56"/>
      <c r="AF99" s="56">
        <f t="shared" si="16"/>
        <v>884270</v>
      </c>
      <c r="AG99" s="56">
        <v>0</v>
      </c>
      <c r="AH99" s="56">
        <v>0</v>
      </c>
      <c r="AI99" s="56"/>
      <c r="AJ99" s="56">
        <f t="shared" si="11"/>
        <v>884270</v>
      </c>
      <c r="AK99" s="85"/>
      <c r="AL99" s="56">
        <v>0</v>
      </c>
      <c r="AM99" s="56"/>
      <c r="AN99" s="88">
        <f>653720.01+290000</f>
        <v>943720.01</v>
      </c>
      <c r="AO99" s="88">
        <v>0</v>
      </c>
      <c r="AP99" s="88">
        <f>295000+685583.65</f>
        <v>980583.65</v>
      </c>
      <c r="AQ99" s="56"/>
      <c r="AR99" s="56">
        <v>0</v>
      </c>
      <c r="AS99" s="56"/>
      <c r="AT99" s="56">
        <v>0</v>
      </c>
      <c r="AU99" s="56"/>
      <c r="AV99" s="56">
        <f t="shared" si="12"/>
        <v>980583.65</v>
      </c>
      <c r="AW99" s="56"/>
      <c r="AX99" s="56">
        <v>0</v>
      </c>
      <c r="AY99" s="56"/>
      <c r="AZ99" s="56">
        <v>1108094</v>
      </c>
      <c r="BA99" s="56">
        <v>1108094</v>
      </c>
      <c r="BB99" s="214"/>
      <c r="BC99" s="56"/>
      <c r="BD99" s="84">
        <f t="shared" si="13"/>
        <v>36863.640000000014</v>
      </c>
      <c r="BE99" s="56"/>
      <c r="BF99" s="56"/>
      <c r="BG99" s="56"/>
      <c r="BH99" s="72"/>
    </row>
    <row r="100" spans="1:63" ht="20.100000000000001" customHeight="1" outlineLevel="1">
      <c r="A100" s="77" t="s">
        <v>43</v>
      </c>
      <c r="B100" s="109" t="s">
        <v>176</v>
      </c>
      <c r="C100" s="77" t="str">
        <f t="shared" si="15"/>
        <v>BL·</v>
      </c>
      <c r="D100" s="78" t="s">
        <v>46</v>
      </c>
      <c r="E100" s="90" t="str">
        <f t="shared" si="14"/>
        <v>000</v>
      </c>
      <c r="F100" s="3">
        <v>691512</v>
      </c>
      <c r="G100" s="102" t="s">
        <v>179</v>
      </c>
      <c r="H100" s="87"/>
      <c r="I100" s="13">
        <v>0</v>
      </c>
      <c r="J100" s="13">
        <v>0</v>
      </c>
      <c r="L100" s="56">
        <v>0</v>
      </c>
      <c r="M100" s="56"/>
      <c r="N100" s="56">
        <v>0</v>
      </c>
      <c r="O100" s="56"/>
      <c r="P100" s="56">
        <v>0</v>
      </c>
      <c r="Q100" s="56"/>
      <c r="R100" s="56">
        <v>0</v>
      </c>
      <c r="S100" s="56"/>
      <c r="T100" s="56">
        <v>0</v>
      </c>
      <c r="U100" s="56"/>
      <c r="V100" s="56">
        <v>0</v>
      </c>
      <c r="W100" s="56"/>
      <c r="X100" s="56">
        <v>0</v>
      </c>
      <c r="Y100" s="56"/>
      <c r="Z100" s="56">
        <v>0</v>
      </c>
      <c r="AA100" s="56"/>
      <c r="AB100" s="56">
        <v>0</v>
      </c>
      <c r="AC100" s="56"/>
      <c r="AD100" s="56"/>
      <c r="AE100" s="56"/>
      <c r="AF100" s="56">
        <f t="shared" si="16"/>
        <v>0</v>
      </c>
      <c r="AG100" s="56">
        <v>0</v>
      </c>
      <c r="AH100" s="56">
        <v>0</v>
      </c>
      <c r="AI100" s="56"/>
      <c r="AJ100" s="56">
        <f t="shared" si="11"/>
        <v>0</v>
      </c>
      <c r="AK100" s="85"/>
      <c r="AL100" s="56">
        <v>0</v>
      </c>
      <c r="AM100" s="56"/>
      <c r="AN100" s="88">
        <f>SUM(AI100:AM100)</f>
        <v>0</v>
      </c>
      <c r="AO100" s="88">
        <v>0</v>
      </c>
      <c r="AP100" s="88">
        <v>0</v>
      </c>
      <c r="AQ100" s="56"/>
      <c r="AR100" s="56">
        <v>0</v>
      </c>
      <c r="AS100" s="56"/>
      <c r="AT100" s="56">
        <v>0</v>
      </c>
      <c r="AU100" s="56"/>
      <c r="AV100" s="56">
        <f t="shared" si="12"/>
        <v>0</v>
      </c>
      <c r="AW100" s="56"/>
      <c r="AX100" s="56">
        <v>0</v>
      </c>
      <c r="AY100" s="56"/>
      <c r="AZ100" s="56">
        <v>0</v>
      </c>
      <c r="BA100" s="56">
        <v>0</v>
      </c>
      <c r="BB100" s="214"/>
      <c r="BC100" s="56"/>
      <c r="BD100" s="84">
        <f t="shared" si="13"/>
        <v>0</v>
      </c>
      <c r="BE100" s="56"/>
      <c r="BF100" s="56"/>
      <c r="BG100" s="56"/>
      <c r="BH100" s="72"/>
    </row>
    <row r="101" spans="1:63">
      <c r="B101" s="77"/>
      <c r="C101" s="77"/>
      <c r="D101" s="90"/>
      <c r="E101" s="90"/>
      <c r="F101" s="3"/>
      <c r="G101" s="110" t="s">
        <v>180</v>
      </c>
      <c r="H101" s="81"/>
      <c r="I101" s="111">
        <v>13504745</v>
      </c>
      <c r="J101" s="112">
        <v>12437186</v>
      </c>
      <c r="L101" s="113">
        <v>14894153</v>
      </c>
      <c r="M101" s="114"/>
      <c r="N101" s="113">
        <v>15404598</v>
      </c>
      <c r="O101" s="114"/>
      <c r="P101" s="113">
        <v>15457833</v>
      </c>
      <c r="Q101" s="114"/>
      <c r="R101" s="113">
        <v>16300069</v>
      </c>
      <c r="S101" s="95"/>
      <c r="T101" s="94">
        <v>0</v>
      </c>
      <c r="U101" s="114"/>
      <c r="V101" s="113">
        <v>16300069</v>
      </c>
      <c r="W101" s="114"/>
      <c r="X101" s="113">
        <f>SUBTOTAL(9,X11:X100)</f>
        <v>15861425.850000005</v>
      </c>
      <c r="Y101" s="114"/>
      <c r="Z101" s="113">
        <f>SUBTOTAL(9,Z11:Z100)</f>
        <v>16259825</v>
      </c>
      <c r="AA101" s="114"/>
      <c r="AB101" s="113">
        <f>SUBTOTAL(9,AB11:AB100)</f>
        <v>15000</v>
      </c>
      <c r="AC101" s="114"/>
      <c r="AD101" s="113">
        <f>SUBTOTAL(9,AD11:AD100)</f>
        <v>13750.03</v>
      </c>
      <c r="AE101" s="114"/>
      <c r="AF101" s="113">
        <f>SUBTOTAL(9,AF11:AF100)</f>
        <v>16288575.029999999</v>
      </c>
      <c r="AG101" s="113">
        <f>SUBTOTAL(9,AG11:AG100)</f>
        <v>395456</v>
      </c>
      <c r="AH101" s="113">
        <f>SUBTOTAL(9,AH11:AH100)</f>
        <v>630000</v>
      </c>
      <c r="AI101" s="114"/>
      <c r="AJ101" s="113">
        <f>SUBTOTAL(9,AJ11:AJ100)</f>
        <v>17314031.030000001</v>
      </c>
      <c r="AK101" s="115"/>
      <c r="AL101" s="113">
        <f>SUBTOTAL(9,AL11:AL100)</f>
        <v>-29000</v>
      </c>
      <c r="AM101" s="114"/>
      <c r="AN101" s="116">
        <f>SUBTOTAL(9,AN11:AN100)</f>
        <v>16095757.430000003</v>
      </c>
      <c r="AO101" s="116">
        <f>SUBTOTAL(9,AO11:AO100)</f>
        <v>0</v>
      </c>
      <c r="AP101" s="116">
        <f>SUBTOTAL(9,AP11:AP100)</f>
        <v>16191850.620000001</v>
      </c>
      <c r="AQ101" s="114"/>
      <c r="AR101" s="113">
        <f>SUBTOTAL(9,AR11:AR100)</f>
        <v>0</v>
      </c>
      <c r="AS101" s="114"/>
      <c r="AT101" s="113">
        <f>SUBTOTAL(9,AT11:AT100)</f>
        <v>9833.85</v>
      </c>
      <c r="AU101" s="114"/>
      <c r="AV101" s="113">
        <f>SUBTOTAL(9,AV11:AV100)</f>
        <v>16201684.469999999</v>
      </c>
      <c r="AW101" s="114"/>
      <c r="AX101" s="113">
        <f>SUBTOTAL(9,AX11:AX100)</f>
        <v>103669</v>
      </c>
      <c r="AY101" s="114"/>
      <c r="AZ101" s="113">
        <f>SUBTOTAL(9,AZ11:AZ100)</f>
        <v>16061954.85</v>
      </c>
      <c r="BA101" s="113">
        <f>SUBTOTAL(9,BA11:BA100)</f>
        <v>16303591</v>
      </c>
      <c r="BB101" s="214"/>
      <c r="BC101" s="56"/>
      <c r="BD101" s="98">
        <f t="shared" si="13"/>
        <v>96093.189999997616</v>
      </c>
      <c r="BE101" s="114"/>
      <c r="BF101" s="114"/>
      <c r="BG101" s="114"/>
      <c r="BH101" s="117"/>
    </row>
    <row r="102" spans="1:63" ht="9" customHeight="1">
      <c r="A102" s="77"/>
      <c r="B102" s="77"/>
      <c r="C102" s="77"/>
      <c r="D102" s="90"/>
      <c r="E102" s="90"/>
      <c r="F102" s="3"/>
      <c r="G102" s="80"/>
      <c r="H102" s="87"/>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5"/>
      <c r="AL102" s="83"/>
      <c r="AM102" s="83"/>
      <c r="AN102" s="100"/>
      <c r="AO102" s="100"/>
      <c r="AP102" s="100"/>
      <c r="AQ102" s="83"/>
      <c r="AR102" s="83"/>
      <c r="AS102" s="83"/>
      <c r="AT102" s="83"/>
      <c r="AU102" s="83"/>
      <c r="AV102" s="83"/>
      <c r="AW102" s="83"/>
      <c r="AX102" s="83"/>
      <c r="AY102" s="83"/>
      <c r="AZ102" s="83"/>
      <c r="BA102" s="34"/>
      <c r="BB102" s="34"/>
      <c r="BC102" s="56"/>
      <c r="BD102" s="83"/>
      <c r="BE102" s="83"/>
      <c r="BF102" s="83"/>
      <c r="BG102" s="83"/>
      <c r="BH102" s="19"/>
    </row>
    <row r="110" spans="1:63">
      <c r="R110" s="7">
        <v>420044982</v>
      </c>
      <c r="BI110" s="211"/>
      <c r="BJ110" s="7"/>
      <c r="BK110" s="7"/>
    </row>
    <row r="111" spans="1:63">
      <c r="BI111" s="211"/>
      <c r="BJ111" s="7"/>
    </row>
  </sheetData>
  <autoFilter ref="A9:BH102"/>
  <mergeCells count="8">
    <mergeCell ref="A8:D8"/>
    <mergeCell ref="AB5:AD5"/>
    <mergeCell ref="AG2:AH2"/>
    <mergeCell ref="AG3:AH3"/>
    <mergeCell ref="AG4:AH4"/>
    <mergeCell ref="AB4:AD4"/>
    <mergeCell ref="A6:F6"/>
    <mergeCell ref="A7:F7"/>
  </mergeCells>
  <phoneticPr fontId="3" type="noConversion"/>
  <conditionalFormatting sqref="I101:J101">
    <cfRule type="cellIs" dxfId="6" priority="1" stopIfTrue="1" operator="lessThan">
      <formula>0</formula>
    </cfRule>
  </conditionalFormatting>
  <conditionalFormatting sqref="F1:F1048576">
    <cfRule type="cellIs" dxfId="5" priority="2" stopIfTrue="1" operator="between">
      <formula>610000</formula>
      <formula>619999</formula>
    </cfRule>
  </conditionalFormatting>
  <pageMargins left="0.54" right="0.25" top="0.24" bottom="0.49" header="0.25" footer="0"/>
  <pageSetup scale="76" fitToHeight="0" orientation="landscape" r:id="rId1"/>
  <headerFooter alignWithMargins="0">
    <oddFooter>&amp;C&amp;8Detail of Expenditures Budget By Department, Page &amp;P of &amp;N</oddFooter>
  </headerFooter>
  <legacyDrawing r:id="rId2"/>
</worksheet>
</file>

<file path=xl/worksheets/sheet32.xml><?xml version="1.0" encoding="utf-8"?>
<worksheet xmlns="http://schemas.openxmlformats.org/spreadsheetml/2006/main" xmlns:r="http://schemas.openxmlformats.org/officeDocument/2006/relationships">
  <sheetPr codeName="Sheet5" enableFormatConditionsCalculation="0">
    <tabColor indexed="17"/>
    <pageSetUpPr fitToPage="1"/>
  </sheetPr>
  <dimension ref="A1:BJ37"/>
  <sheetViews>
    <sheetView zoomScale="87" zoomScaleNormal="90" workbookViewId="0">
      <pane xSplit="8" ySplit="9" topLeftCell="O10" activePane="bottomRight" state="frozen"/>
      <selection activeCell="A28" sqref="A28"/>
      <selection pane="topRight" activeCell="A28" sqref="A28"/>
      <selection pane="bottomLeft" activeCell="A28" sqref="A28"/>
      <selection pane="bottomRight"/>
    </sheetView>
  </sheetViews>
  <sheetFormatPr defaultRowHeight="12.75" outlineLevelRow="1" outlineLevelCol="1"/>
  <cols>
    <col min="1" max="1" width="7" style="39" customWidth="1" outlineLevel="1"/>
    <col min="2" max="2" width="6.140625" style="39" customWidth="1" outlineLevel="1"/>
    <col min="3" max="3" width="3.7109375" style="39" customWidth="1" outlineLevel="1"/>
    <col min="4" max="5" width="4.85546875" style="168" customWidth="1" outlineLevel="1"/>
    <col min="6" max="6" width="8.7109375" style="40" customWidth="1" outlineLevel="1"/>
    <col min="7" max="7" width="28.5703125" style="4" customWidth="1"/>
    <col min="8" max="8" width="16.5703125" style="4" hidden="1" customWidth="1"/>
    <col min="9" max="10" width="15.140625" style="4" hidden="1" customWidth="1" collapsed="1"/>
    <col min="11" max="11" width="39.5703125" style="4" hidden="1" customWidth="1"/>
    <col min="12" max="12" width="15.140625" style="7" bestFit="1" customWidth="1" collapsed="1"/>
    <col min="13" max="13" width="31.7109375" style="7" hidden="1" customWidth="1"/>
    <col min="14" max="14" width="35.5703125" style="7" hidden="1" customWidth="1" collapsed="1"/>
    <col min="15" max="15" width="0.140625" style="7" customWidth="1"/>
    <col min="16" max="16" width="25.28515625" style="7" hidden="1" customWidth="1" outlineLevel="1" collapsed="1"/>
    <col min="17" max="17" width="23.42578125" style="7" hidden="1" customWidth="1" outlineLevel="1"/>
    <col min="18" max="18" width="20.5703125" style="7" hidden="1" customWidth="1" outlineLevel="1" collapsed="1"/>
    <col min="19" max="19" width="18" style="7" hidden="1" customWidth="1" outlineLevel="1"/>
    <col min="20" max="20" width="19.5703125" style="7" hidden="1" customWidth="1" outlineLevel="1"/>
    <col min="21" max="21" width="18.42578125" style="7" hidden="1" customWidth="1" outlineLevel="1"/>
    <col min="22" max="22" width="13.140625" style="7" hidden="1" customWidth="1"/>
    <col min="23" max="23" width="14.140625" style="7" hidden="1" customWidth="1"/>
    <col min="24" max="24" width="14.5703125" style="7" customWidth="1" collapsed="1"/>
    <col min="25" max="25" width="0.85546875" style="7" hidden="1" customWidth="1"/>
    <col min="26" max="26" width="16.140625" style="7" hidden="1" customWidth="1"/>
    <col min="27" max="27" width="0.140625" style="7" hidden="1" customWidth="1"/>
    <col min="28" max="28" width="16.140625" style="7" hidden="1" customWidth="1" outlineLevel="1"/>
    <col min="29" max="29" width="0.42578125" style="7" hidden="1" customWidth="1" outlineLevel="1"/>
    <col min="30" max="30" width="17.85546875" style="7" hidden="1" customWidth="1" outlineLevel="1"/>
    <col min="31" max="31" width="0.42578125" style="7" hidden="1" customWidth="1" outlineLevel="1"/>
    <col min="32" max="32" width="16.140625" style="7" hidden="1" customWidth="1" collapsed="1"/>
    <col min="33" max="33" width="16" style="7" hidden="1" customWidth="1" outlineLevel="1"/>
    <col min="34" max="34" width="17" style="7" hidden="1" customWidth="1" outlineLevel="1"/>
    <col min="35" max="35" width="10.5703125" style="7" hidden="1" customWidth="1" outlineLevel="1"/>
    <col min="36" max="36" width="16.140625" style="7" hidden="1" customWidth="1" collapsed="1"/>
    <col min="37" max="37" width="0.7109375" style="7" hidden="1" customWidth="1"/>
    <col min="38" max="38" width="16.140625" style="7" hidden="1" customWidth="1" outlineLevel="1"/>
    <col min="39" max="39" width="4.140625" style="7" hidden="1" customWidth="1" outlineLevel="1"/>
    <col min="40" max="40" width="16.140625" style="17" customWidth="1" collapsed="1"/>
    <col min="41" max="41" width="16.140625" style="17" hidden="1" customWidth="1" collapsed="1"/>
    <col min="42" max="42" width="16.140625" style="17" customWidth="1" collapsed="1"/>
    <col min="43" max="43" width="0.7109375" style="7" hidden="1" customWidth="1" outlineLevel="1"/>
    <col min="44" max="44" width="22.140625" style="7" hidden="1" customWidth="1" outlineLevel="1"/>
    <col min="45" max="45" width="0.42578125" style="7" hidden="1" customWidth="1" outlineLevel="1"/>
    <col min="46" max="46" width="17.85546875" style="7" hidden="1" customWidth="1" outlineLevel="1"/>
    <col min="47" max="47" width="0.42578125" style="7" hidden="1" customWidth="1" outlineLevel="1"/>
    <col min="48" max="48" width="18" style="7" hidden="1" customWidth="1" collapsed="1"/>
    <col min="49" max="49" width="0.5703125" style="7" hidden="1" customWidth="1"/>
    <col min="50" max="50" width="18" style="7" hidden="1" customWidth="1"/>
    <col min="51" max="51" width="0.5703125" style="7" customWidth="1"/>
    <col min="52" max="52" width="15.7109375" style="7" bestFit="1" customWidth="1"/>
    <col min="53" max="54" width="15.140625" style="7" customWidth="1"/>
    <col min="55" max="55" width="23.140625" style="7" customWidth="1"/>
    <col min="56" max="56" width="19.85546875" style="7" bestFit="1" customWidth="1"/>
    <col min="57" max="59" width="12.42578125" style="7" customWidth="1"/>
    <col min="60" max="60" width="3.85546875" style="76" customWidth="1"/>
    <col min="61" max="61" width="14.5703125" style="12" bestFit="1" customWidth="1"/>
  </cols>
  <sheetData>
    <row r="1" spans="1:61" ht="15">
      <c r="A1" s="1" t="s">
        <v>0</v>
      </c>
      <c r="B1" s="2"/>
      <c r="C1" s="2"/>
      <c r="D1" s="1"/>
      <c r="E1" s="1"/>
      <c r="F1" s="3"/>
      <c r="H1" s="5"/>
      <c r="I1" s="6"/>
      <c r="T1" s="8"/>
      <c r="Z1" s="9"/>
      <c r="AB1" s="9"/>
      <c r="AD1" s="9"/>
      <c r="AF1" s="9"/>
      <c r="AH1" s="10" t="e">
        <f>+#REF!</f>
        <v>#REF!</v>
      </c>
      <c r="AJ1" s="9"/>
      <c r="AK1" s="9"/>
      <c r="AN1" s="9"/>
      <c r="AO1" s="9"/>
      <c r="AP1" s="9"/>
      <c r="AR1" s="9"/>
      <c r="AT1" s="9"/>
      <c r="AV1" s="9"/>
      <c r="AW1" s="9"/>
      <c r="AX1" s="9"/>
      <c r="AY1" s="9"/>
      <c r="AZ1" s="9"/>
      <c r="BA1" s="9"/>
      <c r="BB1" s="9"/>
      <c r="BC1" s="9"/>
      <c r="BD1" s="9"/>
      <c r="BE1" s="9"/>
      <c r="BF1" s="9"/>
      <c r="BG1" s="9"/>
      <c r="BH1" s="11"/>
    </row>
    <row r="2" spans="1:61" ht="15">
      <c r="A2" s="1" t="s">
        <v>1053</v>
      </c>
      <c r="B2" s="2"/>
      <c r="C2" s="2"/>
      <c r="D2" s="1"/>
      <c r="E2" s="1"/>
      <c r="F2" s="3"/>
      <c r="H2" s="5"/>
      <c r="I2" s="13"/>
      <c r="J2" s="14"/>
      <c r="K2" s="14"/>
      <c r="L2" s="15"/>
      <c r="M2" s="15"/>
      <c r="N2" s="15"/>
      <c r="O2" s="15"/>
      <c r="P2" s="15"/>
      <c r="R2" s="15"/>
      <c r="T2" s="8"/>
      <c r="V2" s="15"/>
      <c r="X2" s="15"/>
      <c r="Z2" s="15"/>
      <c r="AB2" s="15"/>
      <c r="AD2" s="15"/>
      <c r="AF2" s="15"/>
      <c r="AG2" s="238" t="s">
        <v>1</v>
      </c>
      <c r="AH2" s="238"/>
      <c r="AI2" s="17"/>
      <c r="AJ2" s="18"/>
      <c r="AK2" s="15"/>
      <c r="AL2" s="10" t="e">
        <f>+#REF!</f>
        <v>#REF!</v>
      </c>
      <c r="AN2" s="18"/>
      <c r="AO2" s="18"/>
      <c r="AP2" s="18"/>
      <c r="AR2" s="15"/>
      <c r="AT2" s="15"/>
      <c r="AV2" s="15"/>
      <c r="AW2" s="15"/>
      <c r="AX2" s="15"/>
      <c r="AY2" s="15"/>
      <c r="AZ2" s="15"/>
      <c r="BA2" s="15"/>
      <c r="BB2" s="15"/>
      <c r="BC2" s="15"/>
      <c r="BD2" s="15"/>
      <c r="BE2" s="15"/>
      <c r="BF2" s="15"/>
      <c r="BG2" s="15"/>
      <c r="BH2" s="19"/>
    </row>
    <row r="3" spans="1:61">
      <c r="A3" s="20" t="str">
        <f>IF(G7=1,"DETAIL OF EXPENDITURES BUDGET BY DEPARTMENT WITH COMPARATIVE AMOUNTS", "SUMMARY OF EXPENDITURES BUDGET BY DEPARTMENT WITH COMPARATIVE AMOUNTS")</f>
        <v>DETAIL OF EXPENDITURES BUDGET BY DEPARTMENT WITH COMPARATIVE AMOUNTS</v>
      </c>
      <c r="B3" s="21"/>
      <c r="C3" s="21"/>
      <c r="D3" s="22"/>
      <c r="E3" s="22"/>
      <c r="F3" s="3"/>
      <c r="H3" s="5"/>
      <c r="I3" s="23"/>
      <c r="J3" s="15"/>
      <c r="L3" s="15"/>
      <c r="M3" s="10"/>
      <c r="N3" s="10"/>
      <c r="O3" s="10"/>
      <c r="P3" s="24"/>
      <c r="R3" s="24"/>
      <c r="V3" s="24"/>
      <c r="W3" s="24"/>
      <c r="X3" s="15"/>
      <c r="Y3" s="24"/>
      <c r="AA3" s="24"/>
      <c r="AB3" s="24" t="e">
        <f>+#REF!</f>
        <v>#REF!</v>
      </c>
      <c r="AC3" s="24"/>
      <c r="AD3" s="24" t="e">
        <f>+#REF!</f>
        <v>#REF!</v>
      </c>
      <c r="AE3" s="24"/>
      <c r="AF3" s="10" t="e">
        <f>+#REF!</f>
        <v>#REF!</v>
      </c>
      <c r="AG3" s="239" t="s">
        <v>2</v>
      </c>
      <c r="AH3" s="239"/>
      <c r="AI3" s="25"/>
      <c r="AJ3" s="25" t="e">
        <f>+#REF!</f>
        <v>#REF!</v>
      </c>
      <c r="AK3" s="24"/>
      <c r="AL3" s="16" t="s">
        <v>1</v>
      </c>
      <c r="AM3" s="25"/>
      <c r="AN3" s="25"/>
      <c r="AO3" s="25"/>
      <c r="AP3" s="25"/>
      <c r="AQ3" s="24"/>
      <c r="AR3" s="24" t="e">
        <f>+#REF!</f>
        <v>#REF!</v>
      </c>
      <c r="AS3" s="24"/>
      <c r="AT3" s="24" t="e">
        <f>+#REF!</f>
        <v>#REF!</v>
      </c>
      <c r="AU3" s="24"/>
      <c r="AV3" s="24" t="e">
        <f>+#REF!</f>
        <v>#REF!</v>
      </c>
      <c r="AW3" s="24"/>
      <c r="AX3" s="24" t="e">
        <f>+#REF!</f>
        <v>#REF!</v>
      </c>
      <c r="AY3" s="24"/>
      <c r="AZ3" s="24"/>
      <c r="BA3" s="24"/>
      <c r="BB3" s="24"/>
      <c r="BC3" s="24"/>
      <c r="BD3" s="26"/>
      <c r="BE3" s="26"/>
      <c r="BF3" s="26"/>
      <c r="BG3" s="26"/>
      <c r="BH3" s="27"/>
    </row>
    <row r="4" spans="1:61" ht="15">
      <c r="A4" s="28" t="s">
        <v>1070</v>
      </c>
      <c r="B4" s="29"/>
      <c r="C4" s="29"/>
      <c r="D4" s="28"/>
      <c r="E4" s="28"/>
      <c r="F4" s="3"/>
      <c r="H4" s="30"/>
      <c r="I4" s="31" t="e">
        <f>+#REF!</f>
        <v>#REF!</v>
      </c>
      <c r="J4" s="31" t="e">
        <f>+#REF!</f>
        <v>#REF!</v>
      </c>
      <c r="L4" s="31"/>
      <c r="M4" s="32"/>
      <c r="N4" s="33"/>
      <c r="O4" s="32"/>
      <c r="P4" s="33"/>
      <c r="R4" s="33"/>
      <c r="T4" s="33"/>
      <c r="X4" s="31"/>
      <c r="Z4" s="10"/>
      <c r="AB4" s="241"/>
      <c r="AC4" s="241"/>
      <c r="AD4" s="241"/>
      <c r="AE4" s="35"/>
      <c r="AF4" s="34"/>
      <c r="AG4" s="240"/>
      <c r="AH4" s="240"/>
      <c r="AI4" s="17"/>
      <c r="AJ4" s="16"/>
      <c r="AK4" s="24"/>
      <c r="AL4" s="16"/>
      <c r="AM4" s="17"/>
      <c r="AN4" s="31"/>
      <c r="AO4" s="31"/>
      <c r="AP4" s="31"/>
      <c r="AR4" s="34" t="s">
        <v>5</v>
      </c>
      <c r="AU4" s="35"/>
      <c r="AV4" s="34"/>
      <c r="AW4" s="34"/>
      <c r="AX4" s="34" t="s">
        <v>5</v>
      </c>
      <c r="AY4" s="34"/>
      <c r="AZ4" s="34"/>
      <c r="BA4" s="34"/>
      <c r="BB4" s="34"/>
      <c r="BC4" s="34"/>
      <c r="BD4" s="37"/>
      <c r="BE4" s="37"/>
      <c r="BF4" s="37"/>
      <c r="BG4" s="37"/>
      <c r="BH4" s="38"/>
    </row>
    <row r="5" spans="1:61" ht="15">
      <c r="B5" s="29"/>
      <c r="C5" s="29"/>
      <c r="D5" s="28"/>
      <c r="E5" s="28"/>
      <c r="G5" s="28"/>
      <c r="H5" s="5"/>
      <c r="I5" s="41" t="s">
        <v>6</v>
      </c>
      <c r="J5" s="42" t="s">
        <v>7</v>
      </c>
      <c r="L5" s="16" t="s">
        <v>8</v>
      </c>
      <c r="M5" s="16"/>
      <c r="N5" s="16" t="s">
        <v>9</v>
      </c>
      <c r="O5" s="16"/>
      <c r="P5" s="16" t="s">
        <v>9</v>
      </c>
      <c r="Q5" s="17"/>
      <c r="R5" s="43"/>
      <c r="S5" s="17"/>
      <c r="T5" s="16"/>
      <c r="U5" s="17"/>
      <c r="V5" s="16" t="s">
        <v>9</v>
      </c>
      <c r="X5" s="16" t="s">
        <v>9</v>
      </c>
      <c r="Z5" s="34" t="s">
        <v>1</v>
      </c>
      <c r="AB5" s="243" t="s">
        <v>10</v>
      </c>
      <c r="AC5" s="243"/>
      <c r="AD5" s="243"/>
      <c r="AE5" s="35"/>
      <c r="AF5" s="34" t="s">
        <v>1</v>
      </c>
      <c r="AG5" s="17"/>
      <c r="AH5" s="16" t="s">
        <v>11</v>
      </c>
      <c r="AI5" s="17"/>
      <c r="AJ5" s="16" t="s">
        <v>1</v>
      </c>
      <c r="AK5" s="24"/>
      <c r="AL5" s="43" t="s">
        <v>12</v>
      </c>
      <c r="AM5" s="17"/>
      <c r="AN5" s="16" t="s">
        <v>1</v>
      </c>
      <c r="AO5" s="45" t="s">
        <v>1</v>
      </c>
      <c r="AP5" s="46" t="s">
        <v>5</v>
      </c>
      <c r="AQ5" s="47"/>
      <c r="AR5" s="48" t="s">
        <v>10</v>
      </c>
      <c r="AS5" s="47"/>
      <c r="AT5" s="47"/>
      <c r="AU5" s="47"/>
      <c r="AV5" s="46" t="s">
        <v>5</v>
      </c>
      <c r="AW5" s="34"/>
      <c r="AX5" s="49" t="s">
        <v>3</v>
      </c>
      <c r="AY5" s="34"/>
      <c r="AZ5" s="16" t="s">
        <v>1054</v>
      </c>
      <c r="BA5" s="16" t="s">
        <v>1054</v>
      </c>
      <c r="BB5" s="34" t="s">
        <v>1069</v>
      </c>
      <c r="BC5" s="34"/>
      <c r="BD5" s="50" t="s">
        <v>13</v>
      </c>
      <c r="BE5" s="37"/>
      <c r="BF5" s="37"/>
      <c r="BG5" s="37"/>
      <c r="BH5" s="51"/>
    </row>
    <row r="6" spans="1:61">
      <c r="A6" s="242"/>
      <c r="B6" s="242"/>
      <c r="C6" s="242"/>
      <c r="D6" s="242"/>
      <c r="E6" s="242"/>
      <c r="F6" s="242"/>
      <c r="G6" s="22"/>
      <c r="H6" s="5"/>
      <c r="I6" s="52" t="s">
        <v>14</v>
      </c>
      <c r="J6" s="52" t="s">
        <v>14</v>
      </c>
      <c r="L6" s="43" t="s">
        <v>14</v>
      </c>
      <c r="M6" s="43"/>
      <c r="N6" s="43" t="s">
        <v>15</v>
      </c>
      <c r="O6" s="43"/>
      <c r="P6" s="43" t="s">
        <v>4</v>
      </c>
      <c r="Q6" s="17"/>
      <c r="R6" s="43" t="s">
        <v>4</v>
      </c>
      <c r="S6" s="43"/>
      <c r="T6" s="43" t="s">
        <v>16</v>
      </c>
      <c r="U6" s="43"/>
      <c r="V6" s="43" t="s">
        <v>4</v>
      </c>
      <c r="W6" s="43"/>
      <c r="X6" s="43" t="s">
        <v>14</v>
      </c>
      <c r="Y6" s="43"/>
      <c r="Z6" s="34" t="s">
        <v>17</v>
      </c>
      <c r="AA6" s="43"/>
      <c r="AB6" s="53" t="s">
        <v>16</v>
      </c>
      <c r="AC6" s="53"/>
      <c r="AD6" s="34"/>
      <c r="AE6" s="53"/>
      <c r="AF6" s="34" t="s">
        <v>17</v>
      </c>
      <c r="AG6" s="43" t="s">
        <v>16</v>
      </c>
      <c r="AH6" s="16" t="s">
        <v>18</v>
      </c>
      <c r="AI6" s="43"/>
      <c r="AJ6" s="16" t="s">
        <v>19</v>
      </c>
      <c r="AK6" s="24"/>
      <c r="AL6" s="43" t="s">
        <v>16</v>
      </c>
      <c r="AM6" s="43"/>
      <c r="AN6" s="43" t="s">
        <v>14</v>
      </c>
      <c r="AO6" s="45" t="s">
        <v>20</v>
      </c>
      <c r="AP6" s="43" t="s">
        <v>14</v>
      </c>
      <c r="AQ6" s="54"/>
      <c r="AR6" s="54" t="s">
        <v>16</v>
      </c>
      <c r="AS6" s="54"/>
      <c r="AT6" s="46"/>
      <c r="AU6" s="54"/>
      <c r="AV6" s="46" t="s">
        <v>19</v>
      </c>
      <c r="AW6" s="34"/>
      <c r="AX6" s="55" t="s">
        <v>16</v>
      </c>
      <c r="AY6" s="34"/>
      <c r="AZ6" s="46" t="s">
        <v>17</v>
      </c>
      <c r="BA6" s="16" t="s">
        <v>17</v>
      </c>
      <c r="BB6" s="34" t="s">
        <v>19</v>
      </c>
      <c r="BC6" s="56"/>
      <c r="BD6" s="50" t="s">
        <v>21</v>
      </c>
      <c r="BE6" s="37"/>
      <c r="BF6" s="37"/>
      <c r="BG6" s="37"/>
      <c r="BH6" s="57"/>
    </row>
    <row r="7" spans="1:61" ht="15">
      <c r="A7" s="237"/>
      <c r="B7" s="237"/>
      <c r="C7" s="237"/>
      <c r="D7" s="237"/>
      <c r="E7" s="237"/>
      <c r="F7" s="237"/>
      <c r="G7" s="59">
        <v>1</v>
      </c>
      <c r="H7" s="60"/>
      <c r="I7" s="52" t="s">
        <v>22</v>
      </c>
      <c r="J7" s="52" t="s">
        <v>22</v>
      </c>
      <c r="L7" s="43" t="s">
        <v>22</v>
      </c>
      <c r="M7" s="43"/>
      <c r="N7" s="43" t="s">
        <v>23</v>
      </c>
      <c r="O7" s="43"/>
      <c r="P7" s="43" t="s">
        <v>24</v>
      </c>
      <c r="Q7" s="43"/>
      <c r="R7" s="43" t="s">
        <v>24</v>
      </c>
      <c r="S7" s="43"/>
      <c r="T7" s="43" t="s">
        <v>25</v>
      </c>
      <c r="U7" s="43"/>
      <c r="V7" s="43" t="s">
        <v>24</v>
      </c>
      <c r="W7" s="43"/>
      <c r="X7" s="43" t="s">
        <v>22</v>
      </c>
      <c r="Y7" s="43"/>
      <c r="Z7" s="53" t="s">
        <v>15</v>
      </c>
      <c r="AA7" s="43"/>
      <c r="AB7" s="53" t="s">
        <v>26</v>
      </c>
      <c r="AC7" s="53"/>
      <c r="AD7" s="53"/>
      <c r="AE7" s="53"/>
      <c r="AF7" s="53" t="s">
        <v>4</v>
      </c>
      <c r="AG7" s="43" t="s">
        <v>26</v>
      </c>
      <c r="AH7" s="43" t="s">
        <v>27</v>
      </c>
      <c r="AI7" s="43"/>
      <c r="AJ7" s="43" t="s">
        <v>4</v>
      </c>
      <c r="AK7" s="24"/>
      <c r="AL7" s="43" t="s">
        <v>26</v>
      </c>
      <c r="AM7" s="43"/>
      <c r="AN7" s="43" t="s">
        <v>22</v>
      </c>
      <c r="AO7" s="61" t="s">
        <v>22</v>
      </c>
      <c r="AP7" s="43" t="s">
        <v>22</v>
      </c>
      <c r="AQ7" s="54"/>
      <c r="AR7" s="54" t="s">
        <v>26</v>
      </c>
      <c r="AS7" s="54"/>
      <c r="AT7" s="54"/>
      <c r="AU7" s="54"/>
      <c r="AV7" s="54" t="s">
        <v>4</v>
      </c>
      <c r="AW7" s="53"/>
      <c r="AX7" s="55" t="s">
        <v>26</v>
      </c>
      <c r="AY7" s="53"/>
      <c r="AZ7" s="54" t="s">
        <v>15</v>
      </c>
      <c r="BA7" s="43" t="s">
        <v>4</v>
      </c>
      <c r="BB7" s="34" t="s">
        <v>15</v>
      </c>
      <c r="BC7" s="56"/>
      <c r="BD7" s="50" t="s">
        <v>28</v>
      </c>
      <c r="BE7" s="62"/>
      <c r="BF7" s="62"/>
      <c r="BG7" s="62"/>
      <c r="BH7" s="57"/>
      <c r="BI7" s="63"/>
    </row>
    <row r="8" spans="1:61" ht="15">
      <c r="A8" s="237" t="s">
        <v>29</v>
      </c>
      <c r="B8" s="237"/>
      <c r="C8" s="237"/>
      <c r="D8" s="237"/>
      <c r="E8" s="237"/>
      <c r="F8" s="64" t="s">
        <v>30</v>
      </c>
      <c r="G8" s="64" t="s">
        <v>31</v>
      </c>
      <c r="H8" s="60"/>
      <c r="I8" s="65" t="s">
        <v>32</v>
      </c>
      <c r="J8" s="65" t="s">
        <v>32</v>
      </c>
      <c r="L8" s="66" t="s">
        <v>32</v>
      </c>
      <c r="M8" s="36"/>
      <c r="N8" s="36" t="s">
        <v>2</v>
      </c>
      <c r="O8" s="36"/>
      <c r="P8" s="36" t="s">
        <v>33</v>
      </c>
      <c r="Q8" s="36"/>
      <c r="R8" s="36" t="s">
        <v>34</v>
      </c>
      <c r="S8" s="36"/>
      <c r="T8" s="36" t="s">
        <v>35</v>
      </c>
      <c r="U8" s="36"/>
      <c r="V8" s="36" t="s">
        <v>36</v>
      </c>
      <c r="W8" s="36"/>
      <c r="X8" s="66" t="s">
        <v>32</v>
      </c>
      <c r="Y8" s="36"/>
      <c r="Z8" s="44" t="s">
        <v>24</v>
      </c>
      <c r="AA8" s="36"/>
      <c r="AB8" s="44" t="s">
        <v>35</v>
      </c>
      <c r="AC8" s="44"/>
      <c r="AD8" s="44" t="s">
        <v>37</v>
      </c>
      <c r="AE8" s="44"/>
      <c r="AF8" s="44" t="s">
        <v>38</v>
      </c>
      <c r="AG8" s="36" t="s">
        <v>35</v>
      </c>
      <c r="AH8" s="36" t="s">
        <v>39</v>
      </c>
      <c r="AI8" s="36"/>
      <c r="AJ8" s="36" t="s">
        <v>40</v>
      </c>
      <c r="AK8" s="24"/>
      <c r="AL8" s="36" t="s">
        <v>35</v>
      </c>
      <c r="AM8" s="36"/>
      <c r="AN8" s="36" t="s">
        <v>32</v>
      </c>
      <c r="AO8" s="67" t="s">
        <v>32</v>
      </c>
      <c r="AP8" s="36" t="s">
        <v>32</v>
      </c>
      <c r="AQ8" s="48"/>
      <c r="AR8" s="48" t="s">
        <v>35</v>
      </c>
      <c r="AS8" s="48"/>
      <c r="AT8" s="48" t="s">
        <v>37</v>
      </c>
      <c r="AU8" s="48"/>
      <c r="AV8" s="48" t="s">
        <v>38</v>
      </c>
      <c r="AW8" s="44"/>
      <c r="AX8" s="49" t="s">
        <v>35</v>
      </c>
      <c r="AY8" s="44"/>
      <c r="AZ8" s="48" t="s">
        <v>2</v>
      </c>
      <c r="BA8" s="36" t="s">
        <v>40</v>
      </c>
      <c r="BB8" s="44" t="s">
        <v>2</v>
      </c>
      <c r="BC8" s="56"/>
      <c r="BD8" s="50" t="s">
        <v>41</v>
      </c>
      <c r="BE8" s="68"/>
      <c r="BF8" s="68"/>
      <c r="BG8" s="68"/>
      <c r="BH8" s="69"/>
    </row>
    <row r="9" spans="1:61" ht="15">
      <c r="A9" s="58"/>
      <c r="B9" s="58"/>
      <c r="C9" s="58"/>
      <c r="D9" s="64"/>
      <c r="E9" s="64"/>
      <c r="F9" s="64"/>
      <c r="G9" s="70"/>
      <c r="H9" s="60"/>
      <c r="J9" s="71"/>
      <c r="AK9" s="24"/>
      <c r="BA9" s="34"/>
      <c r="BB9" s="34"/>
      <c r="BC9" s="56"/>
      <c r="BH9" s="72">
        <v>2</v>
      </c>
    </row>
    <row r="10" spans="1:61" ht="15" outlineLevel="1">
      <c r="A10" s="28" t="s">
        <v>181</v>
      </c>
      <c r="B10" s="77"/>
      <c r="C10" s="77"/>
      <c r="D10" s="90"/>
      <c r="E10" s="90"/>
      <c r="F10" s="3"/>
      <c r="H10" s="87"/>
      <c r="L10" s="44"/>
      <c r="AK10" s="85"/>
      <c r="BA10" s="83"/>
      <c r="BB10" s="83"/>
      <c r="BC10" s="56"/>
    </row>
    <row r="11" spans="1:61" ht="20.100000000000001" customHeight="1" outlineLevel="1">
      <c r="A11" s="77" t="s">
        <v>43</v>
      </c>
      <c r="B11" s="77" t="s">
        <v>137</v>
      </c>
      <c r="C11" s="77" t="s">
        <v>1110</v>
      </c>
      <c r="D11" s="78" t="s">
        <v>46</v>
      </c>
      <c r="E11" s="78" t="str">
        <f>+D11</f>
        <v>000</v>
      </c>
      <c r="F11" s="3">
        <v>643002</v>
      </c>
      <c r="G11" s="102" t="s">
        <v>182</v>
      </c>
      <c r="H11" s="87"/>
      <c r="I11" s="82">
        <v>98798</v>
      </c>
      <c r="J11" s="82">
        <v>124020</v>
      </c>
      <c r="L11" s="83">
        <v>221915</v>
      </c>
      <c r="M11" s="83"/>
      <c r="N11" s="83">
        <v>125000</v>
      </c>
      <c r="O11" s="83"/>
      <c r="P11" s="83">
        <v>132328</v>
      </c>
      <c r="Q11" s="83"/>
      <c r="R11" s="83">
        <v>232328</v>
      </c>
      <c r="T11" s="7">
        <v>0</v>
      </c>
      <c r="U11" s="83"/>
      <c r="V11" s="83">
        <v>232328</v>
      </c>
      <c r="W11" s="83"/>
      <c r="X11" s="83">
        <f>312937.5+875</f>
        <v>313812.5</v>
      </c>
      <c r="Y11" s="83"/>
      <c r="Z11" s="83">
        <v>150000</v>
      </c>
      <c r="AA11" s="83"/>
      <c r="AB11" s="83"/>
      <c r="AC11" s="83"/>
      <c r="AD11" s="83"/>
      <c r="AE11" s="83"/>
      <c r="AF11" s="86">
        <f t="shared" ref="AF11:AF17" si="0">SUM(Z11:AE11)</f>
        <v>150000</v>
      </c>
      <c r="AG11" s="83">
        <v>0</v>
      </c>
      <c r="AH11" s="83">
        <v>0</v>
      </c>
      <c r="AI11" s="83"/>
      <c r="AJ11" s="86">
        <f t="shared" ref="AJ11:AJ17" si="1">SUM(AE11:AI11)</f>
        <v>150000</v>
      </c>
      <c r="AK11" s="85"/>
      <c r="AL11" s="83">
        <v>0</v>
      </c>
      <c r="AM11" s="83"/>
      <c r="AN11" s="86">
        <v>256665.71</v>
      </c>
      <c r="AO11" s="86">
        <v>0</v>
      </c>
      <c r="AP11" s="86">
        <v>311420.2</v>
      </c>
      <c r="AQ11" s="83"/>
      <c r="AR11" s="83">
        <v>0</v>
      </c>
      <c r="AS11" s="83"/>
      <c r="AT11" s="83">
        <v>8195</v>
      </c>
      <c r="AU11" s="83"/>
      <c r="AV11" s="86">
        <f t="shared" ref="AV11:AV19" si="2">SUM(AP11:AU11)</f>
        <v>319615.2</v>
      </c>
      <c r="AW11" s="86"/>
      <c r="AX11" s="86">
        <v>0</v>
      </c>
      <c r="AY11" s="86"/>
      <c r="AZ11" s="86">
        <v>150000</v>
      </c>
      <c r="BA11" s="86">
        <v>157595</v>
      </c>
      <c r="BB11" s="214"/>
      <c r="BC11" s="56"/>
      <c r="BD11" s="84">
        <f t="shared" ref="BD11:BD19" si="3">+AP11-AN11</f>
        <v>54754.49000000002</v>
      </c>
      <c r="BE11" s="84"/>
      <c r="BF11" s="84"/>
      <c r="BG11" s="84"/>
      <c r="BH11" s="72"/>
    </row>
    <row r="12" spans="1:61" ht="20.100000000000001" customHeight="1" outlineLevel="1">
      <c r="A12" s="77" t="s">
        <v>43</v>
      </c>
      <c r="B12" s="77" t="s">
        <v>137</v>
      </c>
      <c r="C12" s="77" t="s">
        <v>1110</v>
      </c>
      <c r="D12" s="78" t="s">
        <v>46</v>
      </c>
      <c r="E12" s="78" t="str">
        <f t="shared" ref="E12:E26" si="4">+D12</f>
        <v>000</v>
      </c>
      <c r="F12" s="3">
        <v>643018</v>
      </c>
      <c r="G12" s="102" t="s">
        <v>183</v>
      </c>
      <c r="H12" s="87"/>
      <c r="I12" s="118">
        <v>0</v>
      </c>
      <c r="J12" s="13">
        <v>0</v>
      </c>
      <c r="L12" s="56">
        <v>39175</v>
      </c>
      <c r="M12" s="56"/>
      <c r="N12" s="56">
        <v>0</v>
      </c>
      <c r="O12" s="83"/>
      <c r="P12" s="56">
        <v>13818</v>
      </c>
      <c r="Q12" s="83"/>
      <c r="R12" s="56">
        <v>13818</v>
      </c>
      <c r="S12" s="56"/>
      <c r="T12" s="56">
        <v>0</v>
      </c>
      <c r="U12" s="83"/>
      <c r="V12" s="56">
        <v>13818</v>
      </c>
      <c r="W12" s="83"/>
      <c r="X12" s="56">
        <v>13818</v>
      </c>
      <c r="Y12" s="83"/>
      <c r="Z12" s="56">
        <v>0</v>
      </c>
      <c r="AA12" s="83"/>
      <c r="AB12" s="56"/>
      <c r="AC12" s="83"/>
      <c r="AD12" s="56"/>
      <c r="AE12" s="83"/>
      <c r="AF12" s="56">
        <f t="shared" si="0"/>
        <v>0</v>
      </c>
      <c r="AG12" s="56">
        <v>0</v>
      </c>
      <c r="AH12" s="56">
        <v>0</v>
      </c>
      <c r="AI12" s="83"/>
      <c r="AJ12" s="56">
        <f t="shared" si="1"/>
        <v>0</v>
      </c>
      <c r="AK12" s="85"/>
      <c r="AL12" s="56">
        <v>0</v>
      </c>
      <c r="AM12" s="83"/>
      <c r="AN12" s="88">
        <f>SUM(AI12:AM12)</f>
        <v>0</v>
      </c>
      <c r="AO12" s="88">
        <v>0</v>
      </c>
      <c r="AP12" s="88">
        <v>0</v>
      </c>
      <c r="AQ12" s="83"/>
      <c r="AR12" s="56">
        <v>0</v>
      </c>
      <c r="AS12" s="83"/>
      <c r="AT12" s="56">
        <v>0</v>
      </c>
      <c r="AU12" s="83"/>
      <c r="AV12" s="56">
        <f t="shared" si="2"/>
        <v>0</v>
      </c>
      <c r="AW12" s="56"/>
      <c r="AX12" s="56">
        <v>0</v>
      </c>
      <c r="AY12" s="56"/>
      <c r="AZ12" s="56">
        <v>0</v>
      </c>
      <c r="BA12" s="56">
        <v>0</v>
      </c>
      <c r="BB12" s="214"/>
      <c r="BC12" s="56"/>
      <c r="BD12" s="84">
        <f t="shared" si="3"/>
        <v>0</v>
      </c>
      <c r="BE12" s="56"/>
      <c r="BF12" s="56"/>
      <c r="BG12" s="56"/>
      <c r="BH12" s="72"/>
    </row>
    <row r="13" spans="1:61" ht="20.100000000000001" customHeight="1" outlineLevel="1">
      <c r="A13" s="77" t="s">
        <v>43</v>
      </c>
      <c r="B13" s="77" t="s">
        <v>137</v>
      </c>
      <c r="C13" s="77" t="s">
        <v>1110</v>
      </c>
      <c r="D13" s="78" t="s">
        <v>46</v>
      </c>
      <c r="E13" s="78" t="str">
        <f t="shared" si="4"/>
        <v>000</v>
      </c>
      <c r="F13" s="225">
        <v>643011</v>
      </c>
      <c r="G13" s="102" t="s">
        <v>184</v>
      </c>
      <c r="H13" s="87"/>
      <c r="I13" s="118">
        <v>10216</v>
      </c>
      <c r="J13" s="13">
        <v>66062</v>
      </c>
      <c r="L13" s="56">
        <v>12376</v>
      </c>
      <c r="M13" s="56"/>
      <c r="N13" s="56">
        <v>200000</v>
      </c>
      <c r="O13" s="56"/>
      <c r="P13" s="56">
        <v>231608</v>
      </c>
      <c r="Q13" s="56"/>
      <c r="R13" s="56">
        <v>131608</v>
      </c>
      <c r="S13" s="119"/>
      <c r="T13" s="119">
        <v>0</v>
      </c>
      <c r="U13" s="56"/>
      <c r="V13" s="56">
        <v>131608</v>
      </c>
      <c r="W13" s="56"/>
      <c r="X13" s="56">
        <v>86996.68</v>
      </c>
      <c r="Y13" s="56"/>
      <c r="Z13" s="56">
        <v>200000</v>
      </c>
      <c r="AA13" s="56"/>
      <c r="AB13" s="56"/>
      <c r="AC13" s="56"/>
      <c r="AD13" s="56">
        <v>46690</v>
      </c>
      <c r="AE13" s="56"/>
      <c r="AF13" s="56">
        <f t="shared" si="0"/>
        <v>246690</v>
      </c>
      <c r="AG13" s="56">
        <v>0</v>
      </c>
      <c r="AH13" s="56">
        <v>0</v>
      </c>
      <c r="AI13" s="56"/>
      <c r="AJ13" s="56">
        <f t="shared" si="1"/>
        <v>246690</v>
      </c>
      <c r="AK13" s="85"/>
      <c r="AL13" s="56">
        <v>0</v>
      </c>
      <c r="AM13" s="56"/>
      <c r="AN13" s="88">
        <v>144158.9</v>
      </c>
      <c r="AO13" s="88">
        <v>0</v>
      </c>
      <c r="AP13" s="88">
        <v>32409</v>
      </c>
      <c r="AQ13" s="56"/>
      <c r="AR13" s="56">
        <v>0</v>
      </c>
      <c r="AS13" s="56"/>
      <c r="AT13" s="56">
        <v>31765.09</v>
      </c>
      <c r="AU13" s="56"/>
      <c r="AV13" s="56">
        <f t="shared" si="2"/>
        <v>64174.09</v>
      </c>
      <c r="AW13" s="56"/>
      <c r="AX13" s="56">
        <v>0</v>
      </c>
      <c r="AY13" s="56"/>
      <c r="AZ13" s="56">
        <v>245000</v>
      </c>
      <c r="BA13" s="56">
        <v>245000</v>
      </c>
      <c r="BB13" s="214"/>
      <c r="BC13" s="56"/>
      <c r="BD13" s="84">
        <f t="shared" si="3"/>
        <v>-111749.9</v>
      </c>
      <c r="BE13" s="56"/>
      <c r="BF13" s="56"/>
      <c r="BG13" s="56"/>
      <c r="BH13" s="72"/>
    </row>
    <row r="14" spans="1:61" ht="20.100000000000001" customHeight="1" outlineLevel="1">
      <c r="A14" s="77" t="s">
        <v>43</v>
      </c>
      <c r="B14" s="77" t="s">
        <v>137</v>
      </c>
      <c r="C14" s="77" t="s">
        <v>1110</v>
      </c>
      <c r="D14" s="78" t="s">
        <v>46</v>
      </c>
      <c r="E14" s="78" t="str">
        <f t="shared" si="4"/>
        <v>000</v>
      </c>
      <c r="F14" s="224">
        <v>643013</v>
      </c>
      <c r="G14" s="102" t="s">
        <v>185</v>
      </c>
      <c r="H14" s="87"/>
      <c r="I14" s="13">
        <v>15725</v>
      </c>
      <c r="J14" s="13">
        <v>528</v>
      </c>
      <c r="L14" s="56">
        <v>528</v>
      </c>
      <c r="M14" s="56"/>
      <c r="N14" s="56">
        <v>25850</v>
      </c>
      <c r="O14" s="56"/>
      <c r="P14" s="56">
        <v>25850</v>
      </c>
      <c r="Q14" s="56"/>
      <c r="R14" s="56">
        <v>25850</v>
      </c>
      <c r="S14" s="56"/>
      <c r="T14" s="56">
        <v>0</v>
      </c>
      <c r="U14" s="56"/>
      <c r="V14" s="56">
        <v>25850</v>
      </c>
      <c r="W14" s="56"/>
      <c r="X14" s="56">
        <v>0</v>
      </c>
      <c r="Y14" s="56"/>
      <c r="Z14" s="56">
        <v>25850</v>
      </c>
      <c r="AA14" s="56"/>
      <c r="AB14" s="56"/>
      <c r="AC14" s="56"/>
      <c r="AD14" s="56"/>
      <c r="AE14" s="56"/>
      <c r="AF14" s="56">
        <f t="shared" si="0"/>
        <v>25850</v>
      </c>
      <c r="AG14" s="56">
        <v>0</v>
      </c>
      <c r="AH14" s="56">
        <v>0</v>
      </c>
      <c r="AI14" s="56"/>
      <c r="AJ14" s="56">
        <f t="shared" si="1"/>
        <v>25850</v>
      </c>
      <c r="AK14" s="85"/>
      <c r="AL14" s="56">
        <v>0</v>
      </c>
      <c r="AM14" s="56"/>
      <c r="AN14" s="88">
        <v>528</v>
      </c>
      <c r="AO14" s="88">
        <v>0</v>
      </c>
      <c r="AP14" s="88">
        <v>14345.6</v>
      </c>
      <c r="AQ14" s="56"/>
      <c r="AR14" s="56">
        <v>0</v>
      </c>
      <c r="AS14" s="56"/>
      <c r="AT14" s="56">
        <v>0</v>
      </c>
      <c r="AU14" s="56"/>
      <c r="AV14" s="56">
        <f t="shared" si="2"/>
        <v>14345.6</v>
      </c>
      <c r="AW14" s="56"/>
      <c r="AX14" s="56">
        <v>0</v>
      </c>
      <c r="AY14" s="56"/>
      <c r="AZ14" s="56">
        <v>25850</v>
      </c>
      <c r="BA14" s="56">
        <v>25850</v>
      </c>
      <c r="BB14" s="214"/>
      <c r="BC14" s="56"/>
      <c r="BD14" s="84">
        <f t="shared" si="3"/>
        <v>13817.6</v>
      </c>
      <c r="BE14" s="56"/>
      <c r="BF14" s="56"/>
      <c r="BG14" s="56"/>
      <c r="BH14" s="72"/>
    </row>
    <row r="15" spans="1:61" ht="20.100000000000001" customHeight="1" outlineLevel="1">
      <c r="A15" s="77" t="s">
        <v>43</v>
      </c>
      <c r="B15" s="77" t="s">
        <v>137</v>
      </c>
      <c r="C15" s="77" t="s">
        <v>1110</v>
      </c>
      <c r="D15" s="78" t="s">
        <v>46</v>
      </c>
      <c r="E15" s="78" t="str">
        <f t="shared" si="4"/>
        <v>000</v>
      </c>
      <c r="F15" s="224">
        <v>653051</v>
      </c>
      <c r="G15" s="102" t="s">
        <v>71</v>
      </c>
      <c r="H15" s="87"/>
      <c r="I15" s="13"/>
      <c r="J15" s="13"/>
      <c r="L15" s="56">
        <v>0</v>
      </c>
      <c r="M15" s="56"/>
      <c r="N15" s="56"/>
      <c r="O15" s="56"/>
      <c r="P15" s="56"/>
      <c r="Q15" s="56"/>
      <c r="R15" s="56"/>
      <c r="S15" s="56"/>
      <c r="T15" s="56"/>
      <c r="U15" s="56"/>
      <c r="V15" s="56"/>
      <c r="W15" s="56"/>
      <c r="X15" s="56">
        <v>0</v>
      </c>
      <c r="Y15" s="56"/>
      <c r="Z15" s="56"/>
      <c r="AA15" s="56"/>
      <c r="AB15" s="56"/>
      <c r="AC15" s="56"/>
      <c r="AD15" s="56"/>
      <c r="AE15" s="56"/>
      <c r="AF15" s="56"/>
      <c r="AG15" s="56"/>
      <c r="AH15" s="56"/>
      <c r="AI15" s="56"/>
      <c r="AJ15" s="56"/>
      <c r="AK15" s="85"/>
      <c r="AL15" s="56"/>
      <c r="AM15" s="56"/>
      <c r="AN15" s="88">
        <v>0</v>
      </c>
      <c r="AO15" s="88"/>
      <c r="AP15" s="88">
        <v>248.87</v>
      </c>
      <c r="AQ15" s="56"/>
      <c r="AR15" s="56"/>
      <c r="AS15" s="56"/>
      <c r="AT15" s="56"/>
      <c r="AU15" s="56"/>
      <c r="AV15" s="56"/>
      <c r="AW15" s="56"/>
      <c r="AX15" s="56"/>
      <c r="AY15" s="56"/>
      <c r="AZ15" s="56">
        <v>0</v>
      </c>
      <c r="BA15" s="56">
        <v>225</v>
      </c>
      <c r="BB15" s="214"/>
      <c r="BC15" s="56"/>
      <c r="BD15" s="84">
        <f t="shared" si="3"/>
        <v>248.87</v>
      </c>
      <c r="BE15" s="56"/>
      <c r="BF15" s="56"/>
      <c r="BG15" s="56"/>
      <c r="BH15" s="72"/>
    </row>
    <row r="16" spans="1:61" ht="20.100000000000001" customHeight="1" outlineLevel="1">
      <c r="A16" s="77" t="s">
        <v>43</v>
      </c>
      <c r="B16" s="77" t="s">
        <v>137</v>
      </c>
      <c r="C16" s="77" t="s">
        <v>1110</v>
      </c>
      <c r="D16" s="78" t="s">
        <v>46</v>
      </c>
      <c r="E16" s="78" t="str">
        <f t="shared" si="4"/>
        <v>000</v>
      </c>
      <c r="F16" s="3">
        <v>661001</v>
      </c>
      <c r="G16" s="102" t="s">
        <v>186</v>
      </c>
      <c r="H16" s="87"/>
      <c r="I16" s="13">
        <v>235</v>
      </c>
      <c r="J16" s="13">
        <v>2149</v>
      </c>
      <c r="L16" s="56">
        <v>0</v>
      </c>
      <c r="M16" s="56"/>
      <c r="N16" s="56">
        <v>300</v>
      </c>
      <c r="O16" s="56"/>
      <c r="P16" s="56">
        <v>300</v>
      </c>
      <c r="Q16" s="56"/>
      <c r="R16" s="56">
        <v>300</v>
      </c>
      <c r="S16" s="56"/>
      <c r="T16" s="56">
        <v>0</v>
      </c>
      <c r="U16" s="56"/>
      <c r="V16" s="56">
        <v>300</v>
      </c>
      <c r="W16" s="56"/>
      <c r="X16" s="56">
        <v>0</v>
      </c>
      <c r="Y16" s="56"/>
      <c r="Z16" s="56">
        <v>300</v>
      </c>
      <c r="AA16" s="56"/>
      <c r="AB16" s="56"/>
      <c r="AC16" s="56"/>
      <c r="AD16" s="56"/>
      <c r="AE16" s="56"/>
      <c r="AF16" s="56">
        <f t="shared" si="0"/>
        <v>300</v>
      </c>
      <c r="AG16" s="56">
        <v>0</v>
      </c>
      <c r="AH16" s="56">
        <v>0</v>
      </c>
      <c r="AI16" s="56"/>
      <c r="AJ16" s="56">
        <f t="shared" si="1"/>
        <v>300</v>
      </c>
      <c r="AK16" s="85"/>
      <c r="AL16" s="56">
        <v>0</v>
      </c>
      <c r="AM16" s="56"/>
      <c r="AN16" s="88">
        <v>0</v>
      </c>
      <c r="AO16" s="88">
        <v>0</v>
      </c>
      <c r="AP16" s="88">
        <v>0</v>
      </c>
      <c r="AQ16" s="56"/>
      <c r="AR16" s="56">
        <v>0</v>
      </c>
      <c r="AS16" s="56"/>
      <c r="AT16" s="56">
        <v>0</v>
      </c>
      <c r="AU16" s="56"/>
      <c r="AV16" s="56">
        <f t="shared" si="2"/>
        <v>0</v>
      </c>
      <c r="AW16" s="56"/>
      <c r="AX16" s="56">
        <v>0</v>
      </c>
      <c r="AY16" s="56"/>
      <c r="AZ16" s="56">
        <v>300</v>
      </c>
      <c r="BA16" s="56">
        <v>300</v>
      </c>
      <c r="BB16" s="214"/>
      <c r="BC16" s="56"/>
      <c r="BD16" s="84">
        <f t="shared" si="3"/>
        <v>0</v>
      </c>
      <c r="BE16" s="56"/>
      <c r="BF16" s="56"/>
      <c r="BG16" s="56"/>
      <c r="BH16" s="72"/>
    </row>
    <row r="17" spans="1:62" ht="20.100000000000001" customHeight="1" outlineLevel="1">
      <c r="A17" s="77" t="s">
        <v>43</v>
      </c>
      <c r="B17" s="77" t="s">
        <v>137</v>
      </c>
      <c r="C17" s="77" t="s">
        <v>1110</v>
      </c>
      <c r="D17" s="78" t="s">
        <v>46</v>
      </c>
      <c r="E17" s="78" t="str">
        <f t="shared" si="4"/>
        <v>000</v>
      </c>
      <c r="F17" s="3">
        <v>661025</v>
      </c>
      <c r="G17" s="102" t="s">
        <v>187</v>
      </c>
      <c r="H17" s="87"/>
      <c r="I17" s="13">
        <v>0</v>
      </c>
      <c r="J17" s="13">
        <v>0</v>
      </c>
      <c r="L17" s="56">
        <f>17587-L18</f>
        <v>17551</v>
      </c>
      <c r="M17" s="56"/>
      <c r="N17" s="56">
        <v>0</v>
      </c>
      <c r="O17" s="56"/>
      <c r="P17" s="56">
        <v>0</v>
      </c>
      <c r="Q17" s="56"/>
      <c r="R17" s="56">
        <v>0</v>
      </c>
      <c r="S17" s="56"/>
      <c r="T17" s="56">
        <v>0</v>
      </c>
      <c r="U17" s="56"/>
      <c r="V17" s="56">
        <v>0</v>
      </c>
      <c r="W17" s="56"/>
      <c r="X17" s="56">
        <v>16941.87</v>
      </c>
      <c r="Y17" s="56"/>
      <c r="Z17" s="56">
        <v>18000</v>
      </c>
      <c r="AA17" s="56"/>
      <c r="AB17" s="56"/>
      <c r="AC17" s="56"/>
      <c r="AD17" s="56">
        <v>7146.8</v>
      </c>
      <c r="AE17" s="56"/>
      <c r="AF17" s="56">
        <f t="shared" si="0"/>
        <v>25146.799999999999</v>
      </c>
      <c r="AG17" s="56">
        <v>0</v>
      </c>
      <c r="AH17" s="56">
        <v>0</v>
      </c>
      <c r="AI17" s="56"/>
      <c r="AJ17" s="56">
        <f t="shared" si="1"/>
        <v>25146.799999999999</v>
      </c>
      <c r="AK17" s="85"/>
      <c r="AL17" s="56">
        <v>0</v>
      </c>
      <c r="AM17" s="56"/>
      <c r="AN17" s="88">
        <v>9058</v>
      </c>
      <c r="AO17" s="88">
        <v>0</v>
      </c>
      <c r="AP17" s="88">
        <v>763</v>
      </c>
      <c r="AQ17" s="56"/>
      <c r="AR17" s="56">
        <v>0</v>
      </c>
      <c r="AS17" s="56"/>
      <c r="AT17" s="56">
        <v>0</v>
      </c>
      <c r="AU17" s="56"/>
      <c r="AV17" s="56">
        <f t="shared" si="2"/>
        <v>763</v>
      </c>
      <c r="AW17" s="56"/>
      <c r="AX17" s="56">
        <v>0</v>
      </c>
      <c r="AY17" s="56"/>
      <c r="AZ17" s="56">
        <v>25000</v>
      </c>
      <c r="BA17" s="56">
        <v>25000</v>
      </c>
      <c r="BB17" s="214"/>
      <c r="BC17" s="56"/>
      <c r="BD17" s="84">
        <f t="shared" si="3"/>
        <v>-8295</v>
      </c>
      <c r="BE17" s="56"/>
      <c r="BF17" s="56"/>
      <c r="BG17" s="56"/>
      <c r="BH17" s="72"/>
    </row>
    <row r="18" spans="1:62" ht="20.100000000000001" hidden="1" customHeight="1" outlineLevel="1">
      <c r="A18" s="77" t="s">
        <v>43</v>
      </c>
      <c r="B18" s="77" t="s">
        <v>137</v>
      </c>
      <c r="C18" s="77" t="s">
        <v>1110</v>
      </c>
      <c r="D18" s="78" t="s">
        <v>46</v>
      </c>
      <c r="E18" s="78" t="str">
        <f t="shared" si="4"/>
        <v>000</v>
      </c>
      <c r="F18" s="3">
        <v>661025</v>
      </c>
      <c r="G18" s="102" t="s">
        <v>1056</v>
      </c>
      <c r="H18" s="87"/>
      <c r="I18" s="13"/>
      <c r="J18" s="13"/>
      <c r="L18" s="56">
        <v>36</v>
      </c>
      <c r="M18" s="56"/>
      <c r="N18" s="56"/>
      <c r="O18" s="56"/>
      <c r="P18" s="56"/>
      <c r="Q18" s="56"/>
      <c r="R18" s="56"/>
      <c r="S18" s="56"/>
      <c r="T18" s="56"/>
      <c r="U18" s="56"/>
      <c r="V18" s="56"/>
      <c r="W18" s="56"/>
      <c r="X18" s="56">
        <v>0</v>
      </c>
      <c r="Y18" s="56"/>
      <c r="Z18" s="56"/>
      <c r="AA18" s="56"/>
      <c r="AB18" s="56"/>
      <c r="AC18" s="56"/>
      <c r="AD18" s="56"/>
      <c r="AE18" s="56"/>
      <c r="AF18" s="56"/>
      <c r="AG18" s="56"/>
      <c r="AH18" s="56"/>
      <c r="AI18" s="56"/>
      <c r="AJ18" s="56"/>
      <c r="AK18" s="85"/>
      <c r="AL18" s="56"/>
      <c r="AM18" s="56"/>
      <c r="AN18" s="88">
        <v>0</v>
      </c>
      <c r="AO18" s="88"/>
      <c r="AP18" s="88">
        <v>0</v>
      </c>
      <c r="AQ18" s="56"/>
      <c r="AR18" s="56"/>
      <c r="AS18" s="56"/>
      <c r="AT18" s="56"/>
      <c r="AU18" s="56"/>
      <c r="AV18" s="56"/>
      <c r="AW18" s="56"/>
      <c r="AX18" s="56"/>
      <c r="AY18" s="56"/>
      <c r="AZ18" s="56">
        <v>0</v>
      </c>
      <c r="BA18" s="56">
        <v>0</v>
      </c>
      <c r="BB18" s="214"/>
      <c r="BC18" s="56"/>
      <c r="BD18" s="84">
        <f t="shared" si="3"/>
        <v>0</v>
      </c>
      <c r="BE18" s="56"/>
      <c r="BF18" s="56"/>
      <c r="BG18" s="56"/>
      <c r="BH18" s="72"/>
    </row>
    <row r="19" spans="1:62" ht="20.100000000000001" customHeight="1" outlineLevel="1">
      <c r="A19" s="77" t="s">
        <v>43</v>
      </c>
      <c r="B19" s="77" t="s">
        <v>137</v>
      </c>
      <c r="C19" s="77" t="s">
        <v>1110</v>
      </c>
      <c r="D19" s="78" t="s">
        <v>46</v>
      </c>
      <c r="E19" s="78" t="str">
        <f t="shared" si="4"/>
        <v>000</v>
      </c>
      <c r="F19" s="3">
        <v>673024</v>
      </c>
      <c r="G19" s="102" t="s">
        <v>188</v>
      </c>
      <c r="H19" s="87"/>
      <c r="I19" s="13"/>
      <c r="J19" s="13"/>
      <c r="L19" s="56">
        <v>0</v>
      </c>
      <c r="M19" s="56"/>
      <c r="N19" s="56"/>
      <c r="O19" s="56"/>
      <c r="P19" s="56">
        <v>0</v>
      </c>
      <c r="Q19" s="56"/>
      <c r="R19" s="56">
        <v>0</v>
      </c>
      <c r="S19" s="56"/>
      <c r="T19" s="56">
        <v>0</v>
      </c>
      <c r="U19" s="56"/>
      <c r="V19" s="56">
        <v>0</v>
      </c>
      <c r="W19" s="56"/>
      <c r="X19" s="56">
        <v>33021.14</v>
      </c>
      <c r="Y19" s="56"/>
      <c r="Z19" s="56">
        <v>0</v>
      </c>
      <c r="AA19" s="56"/>
      <c r="AB19" s="56"/>
      <c r="AC19" s="56"/>
      <c r="AD19" s="56"/>
      <c r="AE19" s="56"/>
      <c r="AF19" s="56">
        <f t="shared" ref="AF19:AF35" si="5">SUM(Z19:AE19)</f>
        <v>0</v>
      </c>
      <c r="AG19" s="56">
        <v>0</v>
      </c>
      <c r="AH19" s="56">
        <v>0</v>
      </c>
      <c r="AI19" s="56"/>
      <c r="AJ19" s="56">
        <f t="shared" ref="AJ19:AJ35" si="6">SUM(AE19:AI19)</f>
        <v>0</v>
      </c>
      <c r="AK19" s="85"/>
      <c r="AL19" s="56">
        <v>0</v>
      </c>
      <c r="AM19" s="56"/>
      <c r="AN19" s="88">
        <f>SUM(AI19:AM19)</f>
        <v>0</v>
      </c>
      <c r="AO19" s="88">
        <v>0</v>
      </c>
      <c r="AP19" s="88">
        <v>0</v>
      </c>
      <c r="AQ19" s="56"/>
      <c r="AR19" s="56">
        <v>0</v>
      </c>
      <c r="AS19" s="56"/>
      <c r="AT19" s="56">
        <v>0</v>
      </c>
      <c r="AU19" s="56"/>
      <c r="AV19" s="56">
        <f t="shared" si="2"/>
        <v>0</v>
      </c>
      <c r="AW19" s="56"/>
      <c r="AX19" s="56">
        <v>0</v>
      </c>
      <c r="AY19" s="56"/>
      <c r="AZ19" s="56">
        <v>0</v>
      </c>
      <c r="BA19" s="56">
        <v>0</v>
      </c>
      <c r="BB19" s="214"/>
      <c r="BC19" s="56"/>
      <c r="BD19" s="84">
        <f t="shared" si="3"/>
        <v>0</v>
      </c>
      <c r="BE19" s="56"/>
      <c r="BF19" s="56"/>
      <c r="BG19" s="56"/>
      <c r="BH19" s="72"/>
    </row>
    <row r="20" spans="1:62" ht="20.100000000000001" customHeight="1" outlineLevel="1">
      <c r="A20" s="77" t="s">
        <v>43</v>
      </c>
      <c r="B20" s="77" t="s">
        <v>189</v>
      </c>
      <c r="C20" s="77" t="s">
        <v>1110</v>
      </c>
      <c r="D20" s="78" t="s">
        <v>46</v>
      </c>
      <c r="E20" s="78" t="str">
        <f t="shared" si="4"/>
        <v>000</v>
      </c>
      <c r="F20" s="3">
        <v>643011</v>
      </c>
      <c r="G20" s="102" t="s">
        <v>1123</v>
      </c>
      <c r="H20" s="87"/>
      <c r="I20" s="13"/>
      <c r="J20" s="13"/>
      <c r="L20" s="56">
        <v>0</v>
      </c>
      <c r="M20" s="56"/>
      <c r="N20" s="56"/>
      <c r="O20" s="56"/>
      <c r="P20" s="56"/>
      <c r="Q20" s="56"/>
      <c r="R20" s="56"/>
      <c r="S20" s="56"/>
      <c r="T20" s="56"/>
      <c r="U20" s="56"/>
      <c r="V20" s="56"/>
      <c r="W20" s="56"/>
      <c r="X20" s="56">
        <v>0</v>
      </c>
      <c r="Y20" s="56"/>
      <c r="Z20" s="56"/>
      <c r="AA20" s="56"/>
      <c r="AB20" s="56"/>
      <c r="AC20" s="56"/>
      <c r="AD20" s="56"/>
      <c r="AE20" s="56"/>
      <c r="AF20" s="56"/>
      <c r="AG20" s="56"/>
      <c r="AH20" s="56"/>
      <c r="AI20" s="56"/>
      <c r="AJ20" s="56"/>
      <c r="AK20" s="85"/>
      <c r="AL20" s="56"/>
      <c r="AM20" s="56"/>
      <c r="AN20" s="88">
        <v>0</v>
      </c>
      <c r="AO20" s="88"/>
      <c r="AP20" s="88">
        <v>3360.82</v>
      </c>
      <c r="AQ20" s="56"/>
      <c r="AR20" s="56"/>
      <c r="AS20" s="56"/>
      <c r="AT20" s="56"/>
      <c r="AU20" s="56"/>
      <c r="AV20" s="56"/>
      <c r="AW20" s="56"/>
      <c r="AX20" s="56"/>
      <c r="AY20" s="56"/>
      <c r="AZ20" s="56">
        <v>0</v>
      </c>
      <c r="BA20" s="56">
        <v>0</v>
      </c>
      <c r="BB20" s="214"/>
      <c r="BC20" s="56"/>
      <c r="BD20" s="84"/>
      <c r="BE20" s="56"/>
      <c r="BF20" s="56"/>
      <c r="BG20" s="56"/>
      <c r="BH20" s="72"/>
    </row>
    <row r="21" spans="1:62" ht="20.100000000000001" customHeight="1" outlineLevel="1">
      <c r="A21" s="77" t="s">
        <v>43</v>
      </c>
      <c r="B21" s="77" t="s">
        <v>189</v>
      </c>
      <c r="C21" s="77" t="s">
        <v>1110</v>
      </c>
      <c r="D21" s="78" t="s">
        <v>46</v>
      </c>
      <c r="E21" s="78" t="str">
        <f t="shared" si="4"/>
        <v>000</v>
      </c>
      <c r="F21" s="3">
        <v>661001</v>
      </c>
      <c r="G21" s="102" t="s">
        <v>73</v>
      </c>
      <c r="H21" s="87"/>
      <c r="I21" s="13">
        <v>3859</v>
      </c>
      <c r="J21" s="13">
        <v>3046</v>
      </c>
      <c r="L21" s="56">
        <v>3492</v>
      </c>
      <c r="M21" s="56"/>
      <c r="N21" s="56">
        <v>7500</v>
      </c>
      <c r="O21" s="56"/>
      <c r="P21" s="56">
        <v>7500</v>
      </c>
      <c r="Q21" s="56"/>
      <c r="R21" s="56">
        <v>7500</v>
      </c>
      <c r="S21" s="56"/>
      <c r="T21" s="56">
        <v>0</v>
      </c>
      <c r="U21" s="56"/>
      <c r="V21" s="56">
        <v>7500</v>
      </c>
      <c r="W21" s="56"/>
      <c r="X21" s="56">
        <v>3512.28</v>
      </c>
      <c r="Y21" s="56"/>
      <c r="Z21" s="56">
        <v>7500</v>
      </c>
      <c r="AA21" s="56"/>
      <c r="AB21" s="56"/>
      <c r="AC21" s="56"/>
      <c r="AD21" s="56"/>
      <c r="AE21" s="56"/>
      <c r="AF21" s="56">
        <f t="shared" si="5"/>
        <v>7500</v>
      </c>
      <c r="AG21" s="56">
        <v>0</v>
      </c>
      <c r="AH21" s="56">
        <v>0</v>
      </c>
      <c r="AI21" s="56"/>
      <c r="AJ21" s="56">
        <f t="shared" si="6"/>
        <v>7500</v>
      </c>
      <c r="AK21" s="85"/>
      <c r="AL21" s="56">
        <v>0</v>
      </c>
      <c r="AM21" s="56"/>
      <c r="AN21" s="88">
        <v>6504.42</v>
      </c>
      <c r="AO21" s="88">
        <v>0</v>
      </c>
      <c r="AP21" s="88">
        <v>2799.21</v>
      </c>
      <c r="AQ21" s="56"/>
      <c r="AR21" s="56">
        <v>0</v>
      </c>
      <c r="AS21" s="56"/>
      <c r="AT21" s="56">
        <v>0</v>
      </c>
      <c r="AU21" s="56"/>
      <c r="AV21" s="56">
        <f t="shared" ref="AV21:AV36" si="7">SUM(AP21:AU21)</f>
        <v>2799.21</v>
      </c>
      <c r="AW21" s="56"/>
      <c r="AX21" s="56">
        <v>0</v>
      </c>
      <c r="AY21" s="56"/>
      <c r="AZ21" s="56">
        <v>7500</v>
      </c>
      <c r="BA21" s="56">
        <v>7500</v>
      </c>
      <c r="BB21" s="214"/>
      <c r="BC21" s="56"/>
      <c r="BD21" s="84">
        <f t="shared" ref="BD21:BD36" si="8">+AP21-AN21</f>
        <v>-3705.21</v>
      </c>
      <c r="BE21" s="56"/>
      <c r="BF21" s="56"/>
      <c r="BG21" s="56"/>
      <c r="BH21" s="72"/>
    </row>
    <row r="22" spans="1:62" ht="20.100000000000001" customHeight="1" outlineLevel="1">
      <c r="A22" s="77" t="s">
        <v>43</v>
      </c>
      <c r="B22" s="77" t="s">
        <v>167</v>
      </c>
      <c r="C22" s="77" t="s">
        <v>1110</v>
      </c>
      <c r="D22" s="78" t="s">
        <v>46</v>
      </c>
      <c r="E22" s="78" t="str">
        <f t="shared" si="4"/>
        <v>000</v>
      </c>
      <c r="F22" s="3">
        <v>611117</v>
      </c>
      <c r="G22" s="102" t="s">
        <v>190</v>
      </c>
      <c r="H22" s="87"/>
      <c r="I22" s="13">
        <v>48936</v>
      </c>
      <c r="J22" s="13">
        <v>48136</v>
      </c>
      <c r="L22" s="56">
        <v>51336</v>
      </c>
      <c r="M22" s="56"/>
      <c r="N22" s="56">
        <v>49886</v>
      </c>
      <c r="O22" s="56"/>
      <c r="P22" s="56">
        <v>49886</v>
      </c>
      <c r="Q22" s="56"/>
      <c r="R22" s="56">
        <v>56148</v>
      </c>
      <c r="S22" s="56"/>
      <c r="T22" s="56">
        <v>0</v>
      </c>
      <c r="U22" s="56"/>
      <c r="V22" s="56">
        <v>56148</v>
      </c>
      <c r="W22" s="56"/>
      <c r="X22" s="56">
        <v>56147.96</v>
      </c>
      <c r="Y22" s="56"/>
      <c r="Z22" s="56">
        <v>55216</v>
      </c>
      <c r="AA22" s="56"/>
      <c r="AB22" s="56"/>
      <c r="AC22" s="56"/>
      <c r="AD22" s="56"/>
      <c r="AE22" s="56"/>
      <c r="AF22" s="56">
        <f t="shared" si="5"/>
        <v>55216</v>
      </c>
      <c r="AG22" s="56">
        <v>0</v>
      </c>
      <c r="AH22" s="56">
        <v>2250</v>
      </c>
      <c r="AI22" s="56"/>
      <c r="AJ22" s="56">
        <f t="shared" si="6"/>
        <v>57466</v>
      </c>
      <c r="AK22" s="85"/>
      <c r="AL22" s="56">
        <v>0</v>
      </c>
      <c r="AM22" s="56"/>
      <c r="AN22" s="88">
        <v>57465.96</v>
      </c>
      <c r="AO22" s="88">
        <v>0</v>
      </c>
      <c r="AP22" s="88">
        <v>55995</v>
      </c>
      <c r="AQ22" s="56"/>
      <c r="AR22" s="56">
        <v>0</v>
      </c>
      <c r="AS22" s="56"/>
      <c r="AT22" s="56">
        <v>0</v>
      </c>
      <c r="AU22" s="56"/>
      <c r="AV22" s="56">
        <f t="shared" si="7"/>
        <v>55995</v>
      </c>
      <c r="AW22" s="56"/>
      <c r="AX22" s="56">
        <v>0</v>
      </c>
      <c r="AY22" s="56"/>
      <c r="AZ22" s="56">
        <v>55995</v>
      </c>
      <c r="BA22" s="56">
        <v>56785</v>
      </c>
      <c r="BB22" s="214"/>
      <c r="BC22" s="56"/>
      <c r="BD22" s="84">
        <f t="shared" si="8"/>
        <v>-1470.9599999999991</v>
      </c>
      <c r="BE22" s="56"/>
      <c r="BF22" s="56"/>
      <c r="BG22" s="56"/>
      <c r="BH22" s="72">
        <v>2</v>
      </c>
      <c r="BJ22">
        <v>2</v>
      </c>
    </row>
    <row r="23" spans="1:62" ht="20.100000000000001" customHeight="1" outlineLevel="1">
      <c r="A23" s="77" t="s">
        <v>43</v>
      </c>
      <c r="B23" s="77" t="s">
        <v>167</v>
      </c>
      <c r="C23" s="77" t="s">
        <v>1110</v>
      </c>
      <c r="D23" s="78" t="s">
        <v>46</v>
      </c>
      <c r="E23" s="78" t="str">
        <f t="shared" si="4"/>
        <v>000</v>
      </c>
      <c r="F23" s="3">
        <v>611411</v>
      </c>
      <c r="G23" s="102" t="s">
        <v>67</v>
      </c>
      <c r="H23" s="87"/>
      <c r="I23" s="13">
        <v>25042</v>
      </c>
      <c r="J23" s="13">
        <v>24242</v>
      </c>
      <c r="L23" s="56">
        <v>27442</v>
      </c>
      <c r="M23" s="56"/>
      <c r="N23" s="56">
        <v>25992</v>
      </c>
      <c r="O23" s="56"/>
      <c r="P23" s="56">
        <v>25992</v>
      </c>
      <c r="Q23" s="56"/>
      <c r="R23" s="56">
        <v>27942</v>
      </c>
      <c r="S23" s="56"/>
      <c r="T23" s="56">
        <v>0</v>
      </c>
      <c r="U23" s="56"/>
      <c r="V23" s="56">
        <v>27942</v>
      </c>
      <c r="W23" s="56"/>
      <c r="X23" s="56">
        <v>27941.96</v>
      </c>
      <c r="Y23" s="56"/>
      <c r="Z23" s="56">
        <v>26242</v>
      </c>
      <c r="AA23" s="56"/>
      <c r="AB23" s="56"/>
      <c r="AC23" s="56"/>
      <c r="AD23" s="56"/>
      <c r="AE23" s="56"/>
      <c r="AF23" s="56">
        <f t="shared" si="5"/>
        <v>26242</v>
      </c>
      <c r="AG23" s="56">
        <v>0</v>
      </c>
      <c r="AH23" s="56">
        <v>2250</v>
      </c>
      <c r="AI23" s="56"/>
      <c r="AJ23" s="56">
        <f t="shared" si="6"/>
        <v>28492</v>
      </c>
      <c r="AK23" s="85"/>
      <c r="AL23" s="56">
        <v>0</v>
      </c>
      <c r="AM23" s="56"/>
      <c r="AN23" s="88">
        <v>28491.96</v>
      </c>
      <c r="AO23" s="88">
        <v>0</v>
      </c>
      <c r="AP23" s="88">
        <v>26242</v>
      </c>
      <c r="AQ23" s="56"/>
      <c r="AR23" s="56">
        <v>0</v>
      </c>
      <c r="AS23" s="56"/>
      <c r="AT23" s="56">
        <v>0</v>
      </c>
      <c r="AU23" s="56"/>
      <c r="AV23" s="56">
        <f t="shared" si="7"/>
        <v>26242</v>
      </c>
      <c r="AW23" s="56"/>
      <c r="AX23" s="56">
        <v>0</v>
      </c>
      <c r="AY23" s="56"/>
      <c r="AZ23" s="56">
        <v>26242</v>
      </c>
      <c r="BA23" s="56">
        <v>26242</v>
      </c>
      <c r="BB23" s="214"/>
      <c r="BC23" s="56"/>
      <c r="BD23" s="84">
        <f t="shared" si="8"/>
        <v>-2249.9599999999991</v>
      </c>
      <c r="BE23" s="56"/>
      <c r="BF23" s="56"/>
      <c r="BG23" s="56"/>
      <c r="BH23" s="72">
        <v>1</v>
      </c>
      <c r="BJ23">
        <v>1</v>
      </c>
    </row>
    <row r="24" spans="1:62" ht="20.100000000000001" customHeight="1" outlineLevel="1">
      <c r="A24" s="77" t="s">
        <v>43</v>
      </c>
      <c r="B24" s="77" t="s">
        <v>167</v>
      </c>
      <c r="C24" s="77" t="s">
        <v>1110</v>
      </c>
      <c r="D24" s="78" t="s">
        <v>46</v>
      </c>
      <c r="E24" s="78" t="str">
        <f t="shared" si="4"/>
        <v>000</v>
      </c>
      <c r="F24" s="3">
        <v>611713</v>
      </c>
      <c r="G24" s="102" t="s">
        <v>191</v>
      </c>
      <c r="H24" s="87"/>
      <c r="I24" s="13">
        <v>0</v>
      </c>
      <c r="J24" s="13">
        <v>0</v>
      </c>
      <c r="L24" s="56">
        <v>0</v>
      </c>
      <c r="M24" s="56"/>
      <c r="N24" s="56">
        <v>0</v>
      </c>
      <c r="O24" s="56"/>
      <c r="P24" s="56">
        <v>0</v>
      </c>
      <c r="Q24" s="56"/>
      <c r="R24" s="56">
        <v>0</v>
      </c>
      <c r="S24" s="56"/>
      <c r="T24" s="56">
        <v>0</v>
      </c>
      <c r="U24" s="56"/>
      <c r="V24" s="56">
        <v>0</v>
      </c>
      <c r="W24" s="56"/>
      <c r="X24" s="56">
        <v>0</v>
      </c>
      <c r="Y24" s="56"/>
      <c r="Z24" s="56">
        <v>0</v>
      </c>
      <c r="AA24" s="56"/>
      <c r="AB24" s="56"/>
      <c r="AC24" s="56"/>
      <c r="AD24" s="56"/>
      <c r="AE24" s="56"/>
      <c r="AF24" s="56">
        <f t="shared" si="5"/>
        <v>0</v>
      </c>
      <c r="AG24" s="56">
        <v>0</v>
      </c>
      <c r="AH24" s="56">
        <v>0</v>
      </c>
      <c r="AI24" s="56"/>
      <c r="AJ24" s="56">
        <f t="shared" si="6"/>
        <v>0</v>
      </c>
      <c r="AK24" s="85"/>
      <c r="AL24" s="56">
        <v>0</v>
      </c>
      <c r="AM24" s="56"/>
      <c r="AN24" s="88">
        <f>SUM(AI24:AM24)</f>
        <v>0</v>
      </c>
      <c r="AO24" s="88">
        <v>0</v>
      </c>
      <c r="AP24" s="88">
        <v>0</v>
      </c>
      <c r="AQ24" s="56"/>
      <c r="AR24" s="56">
        <v>0</v>
      </c>
      <c r="AS24" s="56"/>
      <c r="AT24" s="56">
        <v>0</v>
      </c>
      <c r="AU24" s="56"/>
      <c r="AV24" s="56">
        <f t="shared" si="7"/>
        <v>0</v>
      </c>
      <c r="AW24" s="56"/>
      <c r="AX24" s="56">
        <v>0</v>
      </c>
      <c r="AY24" s="56"/>
      <c r="AZ24" s="56">
        <v>0</v>
      </c>
      <c r="BA24" s="56">
        <v>0</v>
      </c>
      <c r="BB24" s="214"/>
      <c r="BC24" s="56"/>
      <c r="BD24" s="84">
        <f t="shared" si="8"/>
        <v>0</v>
      </c>
      <c r="BE24" s="56"/>
      <c r="BF24" s="56"/>
      <c r="BG24" s="56"/>
      <c r="BH24" s="72">
        <v>1</v>
      </c>
    </row>
    <row r="25" spans="1:62" ht="20.100000000000001" customHeight="1" outlineLevel="1">
      <c r="A25" s="77" t="s">
        <v>43</v>
      </c>
      <c r="B25" s="77" t="s">
        <v>167</v>
      </c>
      <c r="C25" s="77" t="s">
        <v>1110</v>
      </c>
      <c r="D25" s="78" t="s">
        <v>46</v>
      </c>
      <c r="E25" s="78" t="str">
        <f t="shared" si="4"/>
        <v>000</v>
      </c>
      <c r="F25" s="3">
        <v>633411</v>
      </c>
      <c r="G25" s="102" t="s">
        <v>192</v>
      </c>
      <c r="H25" s="87"/>
      <c r="I25" s="13">
        <v>4368</v>
      </c>
      <c r="J25" s="13">
        <v>8916</v>
      </c>
      <c r="L25" s="56">
        <v>30321</v>
      </c>
      <c r="M25" s="56"/>
      <c r="N25" s="56">
        <v>30000</v>
      </c>
      <c r="O25" s="56"/>
      <c r="P25" s="56">
        <v>33850</v>
      </c>
      <c r="Q25" s="56"/>
      <c r="R25" s="56">
        <v>33850</v>
      </c>
      <c r="S25" s="56"/>
      <c r="T25" s="56">
        <v>0</v>
      </c>
      <c r="U25" s="56"/>
      <c r="V25" s="56">
        <v>33850</v>
      </c>
      <c r="W25" s="56"/>
      <c r="X25" s="56">
        <v>8400</v>
      </c>
      <c r="Y25" s="56"/>
      <c r="Z25" s="56">
        <v>30000</v>
      </c>
      <c r="AA25" s="56"/>
      <c r="AB25" s="56"/>
      <c r="AC25" s="56"/>
      <c r="AD25" s="56"/>
      <c r="AE25" s="56"/>
      <c r="AF25" s="56">
        <f t="shared" si="5"/>
        <v>30000</v>
      </c>
      <c r="AG25" s="56">
        <v>0</v>
      </c>
      <c r="AH25" s="56">
        <v>0</v>
      </c>
      <c r="AI25" s="56"/>
      <c r="AJ25" s="56">
        <f t="shared" si="6"/>
        <v>30000</v>
      </c>
      <c r="AK25" s="85"/>
      <c r="AL25" s="56">
        <v>0</v>
      </c>
      <c r="AM25" s="56"/>
      <c r="AN25" s="88">
        <v>1967.5</v>
      </c>
      <c r="AO25" s="88">
        <v>0</v>
      </c>
      <c r="AP25" s="88">
        <v>600</v>
      </c>
      <c r="AQ25" s="56"/>
      <c r="AR25" s="56">
        <v>0</v>
      </c>
      <c r="AS25" s="56"/>
      <c r="AT25" s="56">
        <v>0</v>
      </c>
      <c r="AU25" s="56"/>
      <c r="AV25" s="56">
        <f t="shared" si="7"/>
        <v>600</v>
      </c>
      <c r="AW25" s="56"/>
      <c r="AX25" s="56">
        <v>0</v>
      </c>
      <c r="AY25" s="56"/>
      <c r="AZ25" s="56">
        <v>30000</v>
      </c>
      <c r="BA25" s="56">
        <v>30000</v>
      </c>
      <c r="BB25" s="214"/>
      <c r="BC25" s="56"/>
      <c r="BD25" s="84">
        <f t="shared" si="8"/>
        <v>-1367.5</v>
      </c>
      <c r="BE25" s="56"/>
      <c r="BF25" s="56"/>
      <c r="BG25" s="56"/>
      <c r="BH25" s="72"/>
    </row>
    <row r="26" spans="1:62" ht="20.100000000000001" customHeight="1" outlineLevel="1">
      <c r="A26" s="77" t="s">
        <v>43</v>
      </c>
      <c r="B26" s="77" t="s">
        <v>167</v>
      </c>
      <c r="C26" s="77" t="s">
        <v>1110</v>
      </c>
      <c r="D26" s="78" t="s">
        <v>46</v>
      </c>
      <c r="E26" s="78" t="str">
        <f t="shared" si="4"/>
        <v>000</v>
      </c>
      <c r="F26" s="3">
        <v>658211</v>
      </c>
      <c r="G26" s="102" t="s">
        <v>72</v>
      </c>
      <c r="H26" s="87"/>
      <c r="I26" s="13">
        <v>1138</v>
      </c>
      <c r="J26" s="13">
        <v>1057</v>
      </c>
      <c r="L26" s="56">
        <v>991</v>
      </c>
      <c r="M26" s="56"/>
      <c r="N26" s="56">
        <v>2500</v>
      </c>
      <c r="O26" s="56"/>
      <c r="P26" s="56">
        <v>2500</v>
      </c>
      <c r="Q26" s="56"/>
      <c r="R26" s="56">
        <v>2500</v>
      </c>
      <c r="S26" s="56"/>
      <c r="T26" s="56">
        <v>0</v>
      </c>
      <c r="U26" s="56"/>
      <c r="V26" s="56">
        <v>2500</v>
      </c>
      <c r="W26" s="56"/>
      <c r="X26" s="56">
        <v>1110.97</v>
      </c>
      <c r="Y26" s="56"/>
      <c r="Z26" s="56">
        <v>2500</v>
      </c>
      <c r="AA26" s="56"/>
      <c r="AB26" s="56"/>
      <c r="AC26" s="56"/>
      <c r="AD26" s="56"/>
      <c r="AE26" s="56"/>
      <c r="AF26" s="56">
        <f t="shared" si="5"/>
        <v>2500</v>
      </c>
      <c r="AG26" s="56">
        <v>0</v>
      </c>
      <c r="AH26" s="56">
        <v>0</v>
      </c>
      <c r="AI26" s="56"/>
      <c r="AJ26" s="56">
        <f t="shared" si="6"/>
        <v>2500</v>
      </c>
      <c r="AK26" s="85"/>
      <c r="AL26" s="56">
        <v>0</v>
      </c>
      <c r="AM26" s="56"/>
      <c r="AN26" s="88">
        <v>498.23</v>
      </c>
      <c r="AO26" s="88">
        <v>0</v>
      </c>
      <c r="AP26" s="88">
        <v>94.4</v>
      </c>
      <c r="AQ26" s="56"/>
      <c r="AR26" s="56">
        <v>0</v>
      </c>
      <c r="AS26" s="56"/>
      <c r="AT26" s="56">
        <v>0</v>
      </c>
      <c r="AU26" s="56"/>
      <c r="AV26" s="56">
        <f t="shared" si="7"/>
        <v>94.4</v>
      </c>
      <c r="AW26" s="56"/>
      <c r="AX26" s="56">
        <v>0</v>
      </c>
      <c r="AY26" s="56"/>
      <c r="AZ26" s="56">
        <v>2500</v>
      </c>
      <c r="BA26" s="56">
        <v>2500</v>
      </c>
      <c r="BB26" s="214"/>
      <c r="BC26" s="56"/>
      <c r="BD26" s="84">
        <f t="shared" si="8"/>
        <v>-403.83000000000004</v>
      </c>
      <c r="BE26" s="56"/>
      <c r="BF26" s="56"/>
      <c r="BG26" s="56"/>
      <c r="BH26" s="72"/>
    </row>
    <row r="27" spans="1:62" ht="20.100000000000001" customHeight="1" outlineLevel="1">
      <c r="A27" s="77" t="s">
        <v>43</v>
      </c>
      <c r="B27" s="77" t="s">
        <v>167</v>
      </c>
      <c r="C27" s="77" t="s">
        <v>1110</v>
      </c>
      <c r="D27" s="78" t="s">
        <v>46</v>
      </c>
      <c r="E27" s="78" t="str">
        <f>+D27</f>
        <v>000</v>
      </c>
      <c r="F27" s="3">
        <v>671011</v>
      </c>
      <c r="G27" s="102" t="s">
        <v>193</v>
      </c>
      <c r="H27" s="87"/>
      <c r="I27" s="13">
        <v>0</v>
      </c>
      <c r="J27" s="13">
        <v>0</v>
      </c>
      <c r="L27" s="56">
        <v>0</v>
      </c>
      <c r="M27" s="56"/>
      <c r="N27" s="56">
        <v>0</v>
      </c>
      <c r="O27" s="56"/>
      <c r="P27" s="56">
        <v>0</v>
      </c>
      <c r="Q27" s="56"/>
      <c r="R27" s="56">
        <v>0</v>
      </c>
      <c r="S27" s="56"/>
      <c r="T27" s="56">
        <v>0</v>
      </c>
      <c r="U27" s="56"/>
      <c r="V27" s="56">
        <v>0</v>
      </c>
      <c r="W27" s="56"/>
      <c r="X27" s="56">
        <f>6270+9215.18</f>
        <v>15485.18</v>
      </c>
      <c r="Y27" s="56"/>
      <c r="Z27" s="56">
        <v>0</v>
      </c>
      <c r="AA27" s="56"/>
      <c r="AB27" s="56"/>
      <c r="AC27" s="56"/>
      <c r="AD27" s="56"/>
      <c r="AE27" s="56"/>
      <c r="AF27" s="56">
        <f t="shared" si="5"/>
        <v>0</v>
      </c>
      <c r="AG27" s="56">
        <v>0</v>
      </c>
      <c r="AH27" s="56">
        <v>0</v>
      </c>
      <c r="AI27" s="56"/>
      <c r="AJ27" s="56">
        <f t="shared" si="6"/>
        <v>0</v>
      </c>
      <c r="AK27" s="85"/>
      <c r="AL27" s="56">
        <v>0</v>
      </c>
      <c r="AM27" s="56"/>
      <c r="AN27" s="88">
        <f>SUM(AI27:AM27)</f>
        <v>0</v>
      </c>
      <c r="AO27" s="88">
        <v>0</v>
      </c>
      <c r="AP27" s="88">
        <v>0</v>
      </c>
      <c r="AQ27" s="56"/>
      <c r="AR27" s="56">
        <v>0</v>
      </c>
      <c r="AS27" s="56"/>
      <c r="AT27" s="56">
        <v>0</v>
      </c>
      <c r="AU27" s="56"/>
      <c r="AV27" s="56">
        <f t="shared" si="7"/>
        <v>0</v>
      </c>
      <c r="AW27" s="56"/>
      <c r="AX27" s="56">
        <v>0</v>
      </c>
      <c r="AY27" s="56"/>
      <c r="AZ27" s="56">
        <v>0</v>
      </c>
      <c r="BA27" s="56">
        <v>0</v>
      </c>
      <c r="BB27" s="214"/>
      <c r="BC27" s="56"/>
      <c r="BD27" s="84">
        <f t="shared" si="8"/>
        <v>0</v>
      </c>
      <c r="BE27" s="56"/>
      <c r="BF27" s="56"/>
      <c r="BG27" s="56"/>
      <c r="BH27" s="72"/>
    </row>
    <row r="28" spans="1:62" ht="20.100000000000001" customHeight="1" outlineLevel="1">
      <c r="A28" s="77" t="s">
        <v>43</v>
      </c>
      <c r="B28" s="77" t="s">
        <v>167</v>
      </c>
      <c r="C28" s="77" t="s">
        <v>1110</v>
      </c>
      <c r="D28" s="78" t="s">
        <v>46</v>
      </c>
      <c r="E28" s="78" t="str">
        <f t="shared" ref="E28:E36" si="9">+D28</f>
        <v>000</v>
      </c>
      <c r="F28" s="3">
        <v>671018</v>
      </c>
      <c r="G28" s="102" t="s">
        <v>196</v>
      </c>
      <c r="H28" s="87"/>
      <c r="I28" s="13">
        <v>0</v>
      </c>
      <c r="J28" s="13">
        <v>0</v>
      </c>
      <c r="L28" s="56">
        <v>0</v>
      </c>
      <c r="M28" s="56"/>
      <c r="N28" s="56">
        <v>0</v>
      </c>
      <c r="O28" s="56"/>
      <c r="P28" s="56">
        <v>0</v>
      </c>
      <c r="Q28" s="56"/>
      <c r="R28" s="56">
        <v>0</v>
      </c>
      <c r="S28" s="56"/>
      <c r="T28" s="56">
        <v>0</v>
      </c>
      <c r="U28" s="56"/>
      <c r="V28" s="56">
        <v>0</v>
      </c>
      <c r="W28" s="56"/>
      <c r="X28" s="56">
        <v>0</v>
      </c>
      <c r="Y28" s="56"/>
      <c r="Z28" s="56">
        <v>0</v>
      </c>
      <c r="AA28" s="56"/>
      <c r="AB28" s="56"/>
      <c r="AC28" s="56"/>
      <c r="AD28" s="56"/>
      <c r="AE28" s="56"/>
      <c r="AF28" s="56">
        <f t="shared" si="5"/>
        <v>0</v>
      </c>
      <c r="AG28" s="56">
        <v>0</v>
      </c>
      <c r="AH28" s="56">
        <v>0</v>
      </c>
      <c r="AI28" s="56"/>
      <c r="AJ28" s="56">
        <f t="shared" si="6"/>
        <v>0</v>
      </c>
      <c r="AK28" s="85"/>
      <c r="AL28" s="56">
        <v>0</v>
      </c>
      <c r="AM28" s="56"/>
      <c r="AN28" s="88">
        <f>SUM(AI28:AM28)</f>
        <v>0</v>
      </c>
      <c r="AO28" s="88">
        <v>0</v>
      </c>
      <c r="AP28" s="88">
        <v>0</v>
      </c>
      <c r="AQ28" s="56"/>
      <c r="AR28" s="56">
        <v>0</v>
      </c>
      <c r="AS28" s="56"/>
      <c r="AT28" s="56">
        <v>0</v>
      </c>
      <c r="AU28" s="56"/>
      <c r="AV28" s="56">
        <f t="shared" si="7"/>
        <v>0</v>
      </c>
      <c r="AW28" s="56"/>
      <c r="AX28" s="56">
        <v>0</v>
      </c>
      <c r="AY28" s="56"/>
      <c r="AZ28" s="56">
        <v>0</v>
      </c>
      <c r="BA28" s="56">
        <v>0</v>
      </c>
      <c r="BB28" s="214"/>
      <c r="BC28" s="56"/>
      <c r="BD28" s="84">
        <f t="shared" si="8"/>
        <v>0</v>
      </c>
      <c r="BE28" s="56"/>
      <c r="BF28" s="56"/>
      <c r="BG28" s="56"/>
      <c r="BH28" s="72"/>
    </row>
    <row r="29" spans="1:62" ht="20.100000000000001" customHeight="1" outlineLevel="1">
      <c r="A29" s="77" t="s">
        <v>43</v>
      </c>
      <c r="B29" s="77" t="s">
        <v>167</v>
      </c>
      <c r="C29" s="77" t="s">
        <v>1110</v>
      </c>
      <c r="D29" s="78" t="s">
        <v>46</v>
      </c>
      <c r="E29" s="78" t="str">
        <f t="shared" si="9"/>
        <v>000</v>
      </c>
      <c r="F29" s="3">
        <v>673001</v>
      </c>
      <c r="G29" s="102" t="s">
        <v>199</v>
      </c>
      <c r="H29" s="87"/>
      <c r="I29" s="13">
        <v>0</v>
      </c>
      <c r="J29" s="13">
        <v>0</v>
      </c>
      <c r="L29" s="56">
        <v>0</v>
      </c>
      <c r="M29" s="56"/>
      <c r="N29" s="56">
        <v>0</v>
      </c>
      <c r="O29" s="56"/>
      <c r="P29" s="56">
        <v>0</v>
      </c>
      <c r="Q29" s="56"/>
      <c r="R29" s="56">
        <v>0</v>
      </c>
      <c r="S29" s="56"/>
      <c r="T29" s="56">
        <v>0</v>
      </c>
      <c r="U29" s="56"/>
      <c r="V29" s="56">
        <v>0</v>
      </c>
      <c r="W29" s="56"/>
      <c r="X29" s="56">
        <v>0</v>
      </c>
      <c r="Y29" s="56"/>
      <c r="Z29" s="56">
        <v>0</v>
      </c>
      <c r="AA29" s="56"/>
      <c r="AB29" s="56"/>
      <c r="AC29" s="56"/>
      <c r="AD29" s="56"/>
      <c r="AE29" s="56"/>
      <c r="AF29" s="56">
        <f t="shared" si="5"/>
        <v>0</v>
      </c>
      <c r="AG29" s="56">
        <v>0</v>
      </c>
      <c r="AH29" s="56">
        <v>0</v>
      </c>
      <c r="AI29" s="56"/>
      <c r="AJ29" s="56">
        <f t="shared" si="6"/>
        <v>0</v>
      </c>
      <c r="AK29" s="85"/>
      <c r="AL29" s="56">
        <v>0</v>
      </c>
      <c r="AM29" s="56"/>
      <c r="AN29" s="88">
        <f>SUM(AI29:AM29)</f>
        <v>0</v>
      </c>
      <c r="AO29" s="88">
        <v>0</v>
      </c>
      <c r="AP29" s="88">
        <v>0</v>
      </c>
      <c r="AQ29" s="56"/>
      <c r="AR29" s="56">
        <v>0</v>
      </c>
      <c r="AS29" s="56"/>
      <c r="AT29" s="56">
        <v>0</v>
      </c>
      <c r="AU29" s="56"/>
      <c r="AV29" s="56">
        <f t="shared" si="7"/>
        <v>0</v>
      </c>
      <c r="AW29" s="56"/>
      <c r="AX29" s="56">
        <v>0</v>
      </c>
      <c r="AY29" s="56"/>
      <c r="AZ29" s="56">
        <v>0</v>
      </c>
      <c r="BA29" s="56">
        <v>0</v>
      </c>
      <c r="BB29" s="214"/>
      <c r="BC29" s="56"/>
      <c r="BD29" s="84">
        <f t="shared" si="8"/>
        <v>0</v>
      </c>
      <c r="BE29" s="56"/>
      <c r="BF29" s="56"/>
      <c r="BG29" s="56"/>
      <c r="BH29" s="72"/>
    </row>
    <row r="30" spans="1:62" ht="20.100000000000001" customHeight="1" outlineLevel="1">
      <c r="A30" s="77" t="s">
        <v>43</v>
      </c>
      <c r="B30" s="77" t="s">
        <v>167</v>
      </c>
      <c r="C30" s="77" t="s">
        <v>1110</v>
      </c>
      <c r="D30" s="78" t="s">
        <v>46</v>
      </c>
      <c r="E30" s="78" t="str">
        <f t="shared" si="9"/>
        <v>000</v>
      </c>
      <c r="F30" s="3">
        <v>673011</v>
      </c>
      <c r="G30" s="102" t="s">
        <v>57</v>
      </c>
      <c r="H30" s="87"/>
      <c r="I30" s="13">
        <v>4600</v>
      </c>
      <c r="J30" s="13">
        <v>1750</v>
      </c>
      <c r="L30" s="56">
        <v>4873</v>
      </c>
      <c r="M30" s="56"/>
      <c r="N30" s="56">
        <v>2500</v>
      </c>
      <c r="O30" s="56"/>
      <c r="P30" s="56">
        <v>2500</v>
      </c>
      <c r="Q30" s="56"/>
      <c r="R30" s="56">
        <v>2500</v>
      </c>
      <c r="S30" s="56"/>
      <c r="T30" s="56">
        <v>0</v>
      </c>
      <c r="U30" s="56"/>
      <c r="V30" s="56">
        <v>2500</v>
      </c>
      <c r="W30" s="56"/>
      <c r="X30" s="56">
        <v>0</v>
      </c>
      <c r="Y30" s="56"/>
      <c r="Z30" s="56">
        <v>2500</v>
      </c>
      <c r="AA30" s="56"/>
      <c r="AB30" s="56"/>
      <c r="AC30" s="56"/>
      <c r="AD30" s="56"/>
      <c r="AE30" s="56"/>
      <c r="AF30" s="56">
        <f t="shared" si="5"/>
        <v>2500</v>
      </c>
      <c r="AG30" s="56">
        <v>0</v>
      </c>
      <c r="AH30" s="56">
        <v>0</v>
      </c>
      <c r="AI30" s="56"/>
      <c r="AJ30" s="56">
        <f t="shared" si="6"/>
        <v>2500</v>
      </c>
      <c r="AK30" s="85"/>
      <c r="AL30" s="56">
        <v>0</v>
      </c>
      <c r="AM30" s="56"/>
      <c r="AN30" s="88">
        <v>0</v>
      </c>
      <c r="AO30" s="88">
        <v>0</v>
      </c>
      <c r="AP30" s="88">
        <v>0</v>
      </c>
      <c r="AQ30" s="56"/>
      <c r="AR30" s="56">
        <v>0</v>
      </c>
      <c r="AS30" s="56"/>
      <c r="AT30" s="56">
        <v>0</v>
      </c>
      <c r="AU30" s="56"/>
      <c r="AV30" s="56">
        <f t="shared" si="7"/>
        <v>0</v>
      </c>
      <c r="AW30" s="56"/>
      <c r="AX30" s="56">
        <v>0</v>
      </c>
      <c r="AY30" s="56"/>
      <c r="AZ30" s="56">
        <v>2500</v>
      </c>
      <c r="BA30" s="56">
        <v>2500</v>
      </c>
      <c r="BB30" s="214"/>
      <c r="BC30" s="56"/>
      <c r="BD30" s="84">
        <f t="shared" si="8"/>
        <v>0</v>
      </c>
      <c r="BE30" s="56"/>
      <c r="BF30" s="56"/>
      <c r="BG30" s="56"/>
      <c r="BH30" s="72"/>
    </row>
    <row r="31" spans="1:62" ht="20.100000000000001" customHeight="1" outlineLevel="1">
      <c r="A31" s="77" t="s">
        <v>43</v>
      </c>
      <c r="B31" s="77" t="s">
        <v>167</v>
      </c>
      <c r="C31" s="77" t="s">
        <v>1110</v>
      </c>
      <c r="D31" s="78" t="s">
        <v>46</v>
      </c>
      <c r="E31" s="78" t="str">
        <f t="shared" si="9"/>
        <v>000</v>
      </c>
      <c r="F31" s="3">
        <v>673211</v>
      </c>
      <c r="G31" s="102" t="s">
        <v>197</v>
      </c>
      <c r="H31" s="87"/>
      <c r="I31" s="13">
        <v>0</v>
      </c>
      <c r="J31" s="13">
        <v>0</v>
      </c>
      <c r="L31" s="56">
        <v>0</v>
      </c>
      <c r="M31" s="56"/>
      <c r="N31" s="56">
        <v>0</v>
      </c>
      <c r="O31" s="56"/>
      <c r="P31" s="56">
        <v>0</v>
      </c>
      <c r="Q31" s="56"/>
      <c r="R31" s="56">
        <v>0</v>
      </c>
      <c r="S31" s="56"/>
      <c r="T31" s="56">
        <v>0</v>
      </c>
      <c r="U31" s="56"/>
      <c r="V31" s="56">
        <v>0</v>
      </c>
      <c r="W31" s="56"/>
      <c r="X31" s="56">
        <v>0</v>
      </c>
      <c r="Y31" s="56"/>
      <c r="Z31" s="56">
        <v>0</v>
      </c>
      <c r="AA31" s="56"/>
      <c r="AB31" s="56"/>
      <c r="AC31" s="56"/>
      <c r="AD31" s="56"/>
      <c r="AE31" s="56"/>
      <c r="AF31" s="56">
        <f t="shared" si="5"/>
        <v>0</v>
      </c>
      <c r="AG31" s="56">
        <v>0</v>
      </c>
      <c r="AH31" s="56">
        <v>0</v>
      </c>
      <c r="AI31" s="56"/>
      <c r="AJ31" s="56">
        <f t="shared" si="6"/>
        <v>0</v>
      </c>
      <c r="AK31" s="85"/>
      <c r="AL31" s="56">
        <v>0</v>
      </c>
      <c r="AM31" s="56"/>
      <c r="AN31" s="88">
        <f>SUM(AI31:AM31)</f>
        <v>0</v>
      </c>
      <c r="AO31" s="88">
        <v>0</v>
      </c>
      <c r="AP31" s="88">
        <v>0</v>
      </c>
      <c r="AQ31" s="56"/>
      <c r="AR31" s="56">
        <v>0</v>
      </c>
      <c r="AS31" s="56"/>
      <c r="AT31" s="56">
        <v>0</v>
      </c>
      <c r="AU31" s="56"/>
      <c r="AV31" s="56">
        <f t="shared" si="7"/>
        <v>0</v>
      </c>
      <c r="AW31" s="56"/>
      <c r="AX31" s="56">
        <v>0</v>
      </c>
      <c r="AY31" s="56"/>
      <c r="AZ31" s="56">
        <v>0</v>
      </c>
      <c r="BA31" s="56">
        <v>0</v>
      </c>
      <c r="BB31" s="214"/>
      <c r="BC31" s="56"/>
      <c r="BD31" s="84">
        <f t="shared" si="8"/>
        <v>0</v>
      </c>
      <c r="BE31" s="56"/>
      <c r="BF31" s="56"/>
      <c r="BG31" s="56"/>
      <c r="BH31" s="72"/>
    </row>
    <row r="32" spans="1:62" ht="20.100000000000001" customHeight="1" outlineLevel="1">
      <c r="A32" s="77" t="s">
        <v>43</v>
      </c>
      <c r="B32" s="77" t="s">
        <v>167</v>
      </c>
      <c r="C32" s="77" t="s">
        <v>1110</v>
      </c>
      <c r="D32" s="78" t="s">
        <v>46</v>
      </c>
      <c r="E32" s="78" t="str">
        <f t="shared" si="9"/>
        <v>000</v>
      </c>
      <c r="F32" s="3">
        <v>681011</v>
      </c>
      <c r="G32" s="102" t="s">
        <v>198</v>
      </c>
      <c r="H32" s="87"/>
      <c r="I32" s="13">
        <v>120</v>
      </c>
      <c r="J32" s="13">
        <v>0</v>
      </c>
      <c r="L32" s="56">
        <v>150</v>
      </c>
      <c r="M32" s="56"/>
      <c r="N32" s="56">
        <v>1000</v>
      </c>
      <c r="O32" s="56"/>
      <c r="P32" s="56">
        <v>1000</v>
      </c>
      <c r="Q32" s="56"/>
      <c r="R32" s="56">
        <v>1000</v>
      </c>
      <c r="S32" s="56"/>
      <c r="T32" s="56">
        <v>0</v>
      </c>
      <c r="U32" s="56"/>
      <c r="V32" s="56">
        <v>1000</v>
      </c>
      <c r="W32" s="56"/>
      <c r="X32" s="56">
        <v>100</v>
      </c>
      <c r="Y32" s="56"/>
      <c r="Z32" s="56">
        <v>1000</v>
      </c>
      <c r="AA32" s="56"/>
      <c r="AB32" s="56"/>
      <c r="AC32" s="56"/>
      <c r="AD32" s="56"/>
      <c r="AE32" s="56"/>
      <c r="AF32" s="56">
        <f t="shared" si="5"/>
        <v>1000</v>
      </c>
      <c r="AG32" s="56">
        <v>0</v>
      </c>
      <c r="AH32" s="56">
        <v>0</v>
      </c>
      <c r="AI32" s="56"/>
      <c r="AJ32" s="56">
        <f t="shared" si="6"/>
        <v>1000</v>
      </c>
      <c r="AK32" s="85"/>
      <c r="AL32" s="56">
        <v>0</v>
      </c>
      <c r="AM32" s="56"/>
      <c r="AN32" s="88">
        <v>100</v>
      </c>
      <c r="AO32" s="88">
        <v>0</v>
      </c>
      <c r="AP32" s="88">
        <v>410.66</v>
      </c>
      <c r="AQ32" s="56"/>
      <c r="AR32" s="56">
        <v>0</v>
      </c>
      <c r="AS32" s="56"/>
      <c r="AT32" s="56">
        <v>0</v>
      </c>
      <c r="AU32" s="56"/>
      <c r="AV32" s="56">
        <f t="shared" si="7"/>
        <v>410.66</v>
      </c>
      <c r="AW32" s="56"/>
      <c r="AX32" s="56">
        <v>0</v>
      </c>
      <c r="AY32" s="56"/>
      <c r="AZ32" s="56">
        <v>1000</v>
      </c>
      <c r="BA32" s="56">
        <v>1000</v>
      </c>
      <c r="BB32" s="214"/>
      <c r="BC32" s="56"/>
      <c r="BD32" s="84">
        <f t="shared" si="8"/>
        <v>310.66000000000003</v>
      </c>
      <c r="BE32" s="56"/>
      <c r="BF32" s="56"/>
      <c r="BG32" s="56"/>
      <c r="BH32" s="72"/>
    </row>
    <row r="33" spans="1:60" ht="20.100000000000001" customHeight="1" outlineLevel="1">
      <c r="A33" s="77" t="s">
        <v>43</v>
      </c>
      <c r="B33" s="77" t="s">
        <v>167</v>
      </c>
      <c r="C33" s="77" t="s">
        <v>1110</v>
      </c>
      <c r="D33" s="78" t="s">
        <v>46</v>
      </c>
      <c r="E33" s="78" t="str">
        <f t="shared" si="9"/>
        <v>000</v>
      </c>
      <c r="F33" s="3">
        <v>689011</v>
      </c>
      <c r="G33" s="102" t="s">
        <v>200</v>
      </c>
      <c r="H33" s="87"/>
      <c r="I33" s="13">
        <v>12887</v>
      </c>
      <c r="J33" s="13">
        <v>15154</v>
      </c>
      <c r="L33" s="56">
        <v>23157</v>
      </c>
      <c r="M33" s="56"/>
      <c r="N33" s="56">
        <v>25000</v>
      </c>
      <c r="O33" s="56"/>
      <c r="P33" s="56">
        <v>25000</v>
      </c>
      <c r="Q33" s="56"/>
      <c r="R33" s="56">
        <v>25000</v>
      </c>
      <c r="S33" s="56"/>
      <c r="T33" s="56">
        <v>0</v>
      </c>
      <c r="U33" s="56"/>
      <c r="V33" s="56">
        <v>25000</v>
      </c>
      <c r="W33" s="56"/>
      <c r="X33" s="56">
        <v>26214.07</v>
      </c>
      <c r="Y33" s="56"/>
      <c r="Z33" s="56">
        <v>25000</v>
      </c>
      <c r="AA33" s="56"/>
      <c r="AB33" s="56"/>
      <c r="AC33" s="56"/>
      <c r="AD33" s="56"/>
      <c r="AE33" s="56"/>
      <c r="AF33" s="56">
        <f t="shared" si="5"/>
        <v>25000</v>
      </c>
      <c r="AG33" s="56">
        <v>0</v>
      </c>
      <c r="AH33" s="56">
        <v>0</v>
      </c>
      <c r="AI33" s="56"/>
      <c r="AJ33" s="56">
        <f t="shared" si="6"/>
        <v>25000</v>
      </c>
      <c r="AK33" s="85"/>
      <c r="AL33" s="56">
        <v>0</v>
      </c>
      <c r="AM33" s="56"/>
      <c r="AN33" s="88">
        <v>27870.9</v>
      </c>
      <c r="AO33" s="88">
        <v>0</v>
      </c>
      <c r="AP33" s="88">
        <v>29282.29</v>
      </c>
      <c r="AQ33" s="56"/>
      <c r="AR33" s="56">
        <v>0</v>
      </c>
      <c r="AS33" s="56"/>
      <c r="AT33" s="56">
        <v>0</v>
      </c>
      <c r="AU33" s="56"/>
      <c r="AV33" s="56">
        <f t="shared" si="7"/>
        <v>29282.29</v>
      </c>
      <c r="AW33" s="56"/>
      <c r="AX33" s="56">
        <v>0</v>
      </c>
      <c r="AY33" s="56"/>
      <c r="AZ33" s="56">
        <v>0</v>
      </c>
      <c r="BA33" s="56">
        <v>0</v>
      </c>
      <c r="BB33" s="214"/>
      <c r="BC33" s="56"/>
      <c r="BD33" s="84">
        <f t="shared" si="8"/>
        <v>1411.3899999999994</v>
      </c>
      <c r="BE33" s="56"/>
      <c r="BF33" s="56"/>
      <c r="BG33" s="56"/>
      <c r="BH33" s="72"/>
    </row>
    <row r="34" spans="1:60" ht="20.100000000000001" customHeight="1" outlineLevel="1">
      <c r="A34" s="77" t="s">
        <v>43</v>
      </c>
      <c r="B34" s="77" t="s">
        <v>195</v>
      </c>
      <c r="C34" s="77" t="s">
        <v>1110</v>
      </c>
      <c r="D34" s="78" t="s">
        <v>46</v>
      </c>
      <c r="E34" s="78" t="str">
        <f t="shared" si="9"/>
        <v>000</v>
      </c>
      <c r="F34" s="3">
        <v>645124</v>
      </c>
      <c r="G34" s="102" t="s">
        <v>175</v>
      </c>
      <c r="H34" s="87"/>
      <c r="I34" s="13">
        <v>0</v>
      </c>
      <c r="J34" s="13">
        <v>0</v>
      </c>
      <c r="L34" s="56">
        <v>7529</v>
      </c>
      <c r="M34" s="56"/>
      <c r="N34" s="56">
        <v>0</v>
      </c>
      <c r="O34" s="56"/>
      <c r="P34" s="56">
        <v>0</v>
      </c>
      <c r="Q34" s="56"/>
      <c r="R34" s="56">
        <v>0</v>
      </c>
      <c r="S34" s="56"/>
      <c r="T34" s="56">
        <v>0</v>
      </c>
      <c r="U34" s="56"/>
      <c r="V34" s="56">
        <v>0</v>
      </c>
      <c r="W34" s="56"/>
      <c r="X34" s="56">
        <v>0</v>
      </c>
      <c r="Y34" s="56"/>
      <c r="Z34" s="56">
        <v>0</v>
      </c>
      <c r="AA34" s="56"/>
      <c r="AB34" s="56"/>
      <c r="AC34" s="56"/>
      <c r="AD34" s="56"/>
      <c r="AE34" s="56"/>
      <c r="AF34" s="56">
        <f t="shared" si="5"/>
        <v>0</v>
      </c>
      <c r="AG34" s="56">
        <v>0</v>
      </c>
      <c r="AH34" s="56">
        <v>0</v>
      </c>
      <c r="AI34" s="56"/>
      <c r="AJ34" s="56">
        <f t="shared" si="6"/>
        <v>0</v>
      </c>
      <c r="AK34" s="85"/>
      <c r="AL34" s="56">
        <v>0</v>
      </c>
      <c r="AM34" s="56"/>
      <c r="AN34" s="88">
        <f>SUM(AI34:AM34)</f>
        <v>0</v>
      </c>
      <c r="AO34" s="88">
        <v>0</v>
      </c>
      <c r="AP34" s="88">
        <v>0</v>
      </c>
      <c r="AQ34" s="56"/>
      <c r="AR34" s="56">
        <v>0</v>
      </c>
      <c r="AS34" s="56"/>
      <c r="AT34" s="56">
        <v>0</v>
      </c>
      <c r="AU34" s="56"/>
      <c r="AV34" s="56">
        <f t="shared" si="7"/>
        <v>0</v>
      </c>
      <c r="AW34" s="56"/>
      <c r="AX34" s="56">
        <v>0</v>
      </c>
      <c r="AY34" s="56"/>
      <c r="AZ34" s="56">
        <v>0</v>
      </c>
      <c r="BA34" s="56">
        <v>0</v>
      </c>
      <c r="BB34" s="214"/>
      <c r="BC34" s="56"/>
      <c r="BD34" s="84">
        <f t="shared" si="8"/>
        <v>0</v>
      </c>
      <c r="BE34" s="56"/>
      <c r="BF34" s="56"/>
      <c r="BG34" s="56"/>
      <c r="BH34" s="72"/>
    </row>
    <row r="35" spans="1:60" ht="20.100000000000001" customHeight="1" outlineLevel="1">
      <c r="A35" s="77" t="s">
        <v>43</v>
      </c>
      <c r="B35" s="77" t="s">
        <v>173</v>
      </c>
      <c r="C35" s="77" t="s">
        <v>1110</v>
      </c>
      <c r="D35" s="78" t="s">
        <v>46</v>
      </c>
      <c r="E35" s="78" t="str">
        <f t="shared" si="9"/>
        <v>000</v>
      </c>
      <c r="F35" s="3">
        <v>645122</v>
      </c>
      <c r="G35" s="102" t="s">
        <v>170</v>
      </c>
      <c r="H35" s="87"/>
      <c r="I35" s="13">
        <v>4956</v>
      </c>
      <c r="J35" s="13">
        <v>0</v>
      </c>
      <c r="L35" s="56">
        <v>307830</v>
      </c>
      <c r="M35" s="56"/>
      <c r="N35" s="56">
        <v>0</v>
      </c>
      <c r="O35" s="56"/>
      <c r="P35" s="56">
        <v>0</v>
      </c>
      <c r="Q35" s="56"/>
      <c r="R35" s="56">
        <v>0</v>
      </c>
      <c r="S35" s="56"/>
      <c r="T35" s="56">
        <v>0</v>
      </c>
      <c r="U35" s="56"/>
      <c r="V35" s="56">
        <v>0</v>
      </c>
      <c r="W35" s="56"/>
      <c r="X35" s="56">
        <v>1000</v>
      </c>
      <c r="Y35" s="56"/>
      <c r="Z35" s="56">
        <v>0</v>
      </c>
      <c r="AA35" s="56"/>
      <c r="AB35" s="56"/>
      <c r="AC35" s="56"/>
      <c r="AD35" s="56"/>
      <c r="AE35" s="56"/>
      <c r="AF35" s="56">
        <f t="shared" si="5"/>
        <v>0</v>
      </c>
      <c r="AG35" s="56">
        <v>0</v>
      </c>
      <c r="AH35" s="56">
        <v>0</v>
      </c>
      <c r="AI35" s="56"/>
      <c r="AJ35" s="56">
        <f t="shared" si="6"/>
        <v>0</v>
      </c>
      <c r="AK35" s="85"/>
      <c r="AL35" s="89">
        <f>100000+100000</f>
        <v>200000</v>
      </c>
      <c r="AM35" s="56"/>
      <c r="AN35" s="88">
        <v>212518.3</v>
      </c>
      <c r="AO35" s="88">
        <v>0</v>
      </c>
      <c r="AP35" s="88">
        <v>104824.7</v>
      </c>
      <c r="AQ35" s="56"/>
      <c r="AR35" s="56">
        <v>0</v>
      </c>
      <c r="AS35" s="56"/>
      <c r="AT35" s="56">
        <v>0</v>
      </c>
      <c r="AU35" s="56"/>
      <c r="AV35" s="56">
        <f t="shared" si="7"/>
        <v>104824.7</v>
      </c>
      <c r="AW35" s="56"/>
      <c r="AX35" s="56">
        <v>0</v>
      </c>
      <c r="AY35" s="56"/>
      <c r="AZ35" s="56">
        <v>50000</v>
      </c>
      <c r="BA35" s="56">
        <v>50000</v>
      </c>
      <c r="BB35" s="214"/>
      <c r="BC35" s="56"/>
      <c r="BD35" s="84">
        <f t="shared" si="8"/>
        <v>-107693.59999999999</v>
      </c>
      <c r="BE35" s="56"/>
      <c r="BF35" s="56"/>
      <c r="BG35" s="56"/>
      <c r="BH35" s="72"/>
    </row>
    <row r="36" spans="1:60" ht="20.100000000000001" customHeight="1" outlineLevel="1">
      <c r="A36" s="77" t="s">
        <v>43</v>
      </c>
      <c r="B36" s="77" t="s">
        <v>173</v>
      </c>
      <c r="C36" s="77" t="s">
        <v>1110</v>
      </c>
      <c r="D36" s="78" t="s">
        <v>46</v>
      </c>
      <c r="E36" s="78" t="str">
        <f t="shared" si="9"/>
        <v>000</v>
      </c>
      <c r="F36" s="3">
        <v>645123</v>
      </c>
      <c r="G36" s="102" t="s">
        <v>194</v>
      </c>
      <c r="H36" s="87"/>
      <c r="I36" s="13"/>
      <c r="J36" s="13"/>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85"/>
      <c r="AL36" s="89"/>
      <c r="AM36" s="56"/>
      <c r="AN36" s="88">
        <v>6953.5</v>
      </c>
      <c r="AO36" s="88">
        <v>0</v>
      </c>
      <c r="AP36" s="88">
        <v>11332.18</v>
      </c>
      <c r="AQ36" s="56"/>
      <c r="AR36" s="56">
        <v>0</v>
      </c>
      <c r="AS36" s="56"/>
      <c r="AT36" s="56">
        <v>4635.68</v>
      </c>
      <c r="AU36" s="56"/>
      <c r="AV36" s="56">
        <f t="shared" si="7"/>
        <v>15967.86</v>
      </c>
      <c r="AW36" s="56"/>
      <c r="AX36" s="56">
        <v>0</v>
      </c>
      <c r="AY36" s="56"/>
      <c r="AZ36" s="56">
        <v>4750</v>
      </c>
      <c r="BA36" s="56">
        <v>5494</v>
      </c>
      <c r="BB36" s="214"/>
      <c r="BC36" s="56"/>
      <c r="BD36" s="84">
        <f t="shared" si="8"/>
        <v>4378.68</v>
      </c>
      <c r="BE36" s="56"/>
      <c r="BF36" s="56"/>
      <c r="BG36" s="56"/>
      <c r="BH36" s="72"/>
    </row>
    <row r="37" spans="1:60">
      <c r="B37" s="77"/>
      <c r="C37" s="77"/>
      <c r="D37" s="90"/>
      <c r="E37" s="90"/>
      <c r="F37" s="3"/>
      <c r="G37" s="110" t="s">
        <v>201</v>
      </c>
      <c r="H37" s="81"/>
      <c r="I37" s="92">
        <v>230880</v>
      </c>
      <c r="J37" s="93">
        <v>295060</v>
      </c>
      <c r="L37" s="94">
        <v>748702</v>
      </c>
      <c r="M37" s="95"/>
      <c r="N37" s="94">
        <v>495528</v>
      </c>
      <c r="O37" s="95"/>
      <c r="P37" s="94">
        <v>552132</v>
      </c>
      <c r="Q37" s="95"/>
      <c r="R37" s="94">
        <v>560344</v>
      </c>
      <c r="S37" s="95"/>
      <c r="T37" s="94">
        <v>0</v>
      </c>
      <c r="U37" s="95"/>
      <c r="V37" s="94">
        <v>560344</v>
      </c>
      <c r="W37" s="95"/>
      <c r="X37" s="94">
        <f>SUBTOTAL(9,X11:X36)</f>
        <v>604502.61</v>
      </c>
      <c r="Y37" s="95"/>
      <c r="Z37" s="94">
        <f>SUBTOTAL(9,Z11:Z36)</f>
        <v>544108</v>
      </c>
      <c r="AA37" s="95"/>
      <c r="AB37" s="94">
        <f>SUBTOTAL(9,AB11:AB36)</f>
        <v>0</v>
      </c>
      <c r="AC37" s="95"/>
      <c r="AD37" s="94">
        <f>SUBTOTAL(9,AD11:AD36)</f>
        <v>53836.800000000003</v>
      </c>
      <c r="AE37" s="95"/>
      <c r="AF37" s="94">
        <f>SUBTOTAL(9,AF11:AF36)</f>
        <v>597944.80000000005</v>
      </c>
      <c r="AG37" s="92">
        <f>SUBTOTAL(9,AG11:AG36)</f>
        <v>0</v>
      </c>
      <c r="AH37" s="94">
        <f>SUBTOTAL(9,AH11:AH36)</f>
        <v>4500</v>
      </c>
      <c r="AI37" s="95"/>
      <c r="AJ37" s="94">
        <f>SUBTOTAL(9,AJ11:AJ36)</f>
        <v>602444.80000000005</v>
      </c>
      <c r="AK37" s="96"/>
      <c r="AL37" s="94">
        <f>SUBTOTAL(9,AL11:AL36)</f>
        <v>200000</v>
      </c>
      <c r="AM37" s="95"/>
      <c r="AN37" s="97">
        <f>SUBTOTAL(9,AN11:AN36)</f>
        <v>752781.37999999989</v>
      </c>
      <c r="AO37" s="97">
        <f>SUBTOTAL(9,AO11:AO36)</f>
        <v>0</v>
      </c>
      <c r="AP37" s="97">
        <f>SUBTOTAL(9,AP11:AP36)</f>
        <v>594127.93000000005</v>
      </c>
      <c r="AQ37" s="95"/>
      <c r="AR37" s="94">
        <f>SUBTOTAL(9,AR11:AR36)</f>
        <v>0</v>
      </c>
      <c r="AS37" s="95"/>
      <c r="AT37" s="94">
        <f>SUBTOTAL(9,AT11:AT36)</f>
        <v>44595.77</v>
      </c>
      <c r="AU37" s="95"/>
      <c r="AV37" s="94">
        <f>SUBTOTAL(9,AV11:AV36)</f>
        <v>635114.01</v>
      </c>
      <c r="AW37" s="95"/>
      <c r="AX37" s="94">
        <f>SUBTOTAL(9,AX11:AX36)</f>
        <v>0</v>
      </c>
      <c r="AY37" s="95"/>
      <c r="AZ37" s="94">
        <f>SUBTOTAL(9,AZ11:AZ36)</f>
        <v>626637</v>
      </c>
      <c r="BA37" s="94">
        <f>SUBTOTAL(9,BA11:BA36)</f>
        <v>635991</v>
      </c>
      <c r="BB37" s="214"/>
      <c r="BC37" s="56"/>
      <c r="BD37" s="98">
        <f>+AP37-AN37</f>
        <v>-158653.44999999984</v>
      </c>
      <c r="BE37" s="95"/>
      <c r="BF37" s="95"/>
      <c r="BG37" s="95"/>
      <c r="BH37" s="99"/>
    </row>
  </sheetData>
  <autoFilter ref="A9:BH37"/>
  <mergeCells count="8">
    <mergeCell ref="A6:F6"/>
    <mergeCell ref="A7:F7"/>
    <mergeCell ref="AB5:AD5"/>
    <mergeCell ref="A8:E8"/>
    <mergeCell ref="AG2:AH2"/>
    <mergeCell ref="AG3:AH3"/>
    <mergeCell ref="AG4:AH4"/>
    <mergeCell ref="AB4:AD4"/>
  </mergeCells>
  <phoneticPr fontId="3" type="noConversion"/>
  <conditionalFormatting sqref="F1:F1048576">
    <cfRule type="cellIs" dxfId="4" priority="1" stopIfTrue="1" operator="between">
      <formula>610000</formula>
      <formula>619999</formula>
    </cfRule>
  </conditionalFormatting>
  <pageMargins left="0.54" right="0.25" top="0.24" bottom="0.49" header="0.25" footer="0"/>
  <pageSetup scale="77" fitToHeight="0" orientation="landscape" r:id="rId1"/>
  <headerFooter alignWithMargins="0">
    <oddFooter>&amp;C&amp;8Detail of Expenditures Budget By Department, Page &amp;P of &amp;N</oddFooter>
  </headerFooter>
  <legacyDrawing r:id="rId2"/>
</worksheet>
</file>

<file path=xl/worksheets/sheet33.xml><?xml version="1.0" encoding="utf-8"?>
<worksheet xmlns="http://schemas.openxmlformats.org/spreadsheetml/2006/main" xmlns:r="http://schemas.openxmlformats.org/officeDocument/2006/relationships">
  <sheetPr codeName="Sheet34" enableFormatConditionsCalculation="0">
    <tabColor indexed="17"/>
    <pageSetUpPr fitToPage="1"/>
  </sheetPr>
  <dimension ref="A1:BK63"/>
  <sheetViews>
    <sheetView zoomScale="87" zoomScaleNormal="90" workbookViewId="0">
      <pane xSplit="8" ySplit="9" topLeftCell="AP10" activePane="bottomRight" state="frozen"/>
      <selection activeCell="A28" sqref="A28"/>
      <selection pane="topRight" activeCell="A28" sqref="A28"/>
      <selection pane="bottomLeft" activeCell="A28" sqref="A28"/>
      <selection pane="bottomRight"/>
    </sheetView>
  </sheetViews>
  <sheetFormatPr defaultRowHeight="12.75" outlineLevelRow="1" outlineLevelCol="1"/>
  <cols>
    <col min="1" max="1" width="7" style="39" customWidth="1" outlineLevel="1"/>
    <col min="2" max="2" width="6.140625" style="39" customWidth="1" outlineLevel="1"/>
    <col min="3" max="3" width="3.7109375" style="39" customWidth="1" outlineLevel="1"/>
    <col min="4" max="5" width="4.85546875" style="168" customWidth="1" outlineLevel="1"/>
    <col min="6" max="6" width="8.7109375" style="40" customWidth="1" outlineLevel="1"/>
    <col min="7" max="7" width="28.5703125" style="4" customWidth="1"/>
    <col min="8" max="8" width="16.5703125" style="4" hidden="1" customWidth="1"/>
    <col min="9" max="10" width="15.140625" style="4" hidden="1" customWidth="1" collapsed="1"/>
    <col min="11" max="11" width="39.5703125" style="4" hidden="1" customWidth="1"/>
    <col min="12" max="12" width="15.140625" style="7" bestFit="1" customWidth="1" collapsed="1"/>
    <col min="13" max="13" width="31.7109375" style="7" hidden="1" customWidth="1"/>
    <col min="14" max="14" width="35.5703125" style="7" hidden="1" customWidth="1" collapsed="1"/>
    <col min="15" max="15" width="0.140625" style="7" customWidth="1"/>
    <col min="16" max="16" width="25.28515625" style="7" hidden="1" customWidth="1" outlineLevel="1" collapsed="1"/>
    <col min="17" max="17" width="23.42578125" style="7" hidden="1" customWidth="1" outlineLevel="1"/>
    <col min="18" max="18" width="20.5703125" style="7" hidden="1" customWidth="1" outlineLevel="1" collapsed="1"/>
    <col min="19" max="19" width="18" style="7" hidden="1" customWidth="1" outlineLevel="1"/>
    <col min="20" max="20" width="19.5703125" style="7" hidden="1" customWidth="1" outlineLevel="1"/>
    <col min="21" max="21" width="18.42578125" style="7" hidden="1" customWidth="1" outlineLevel="1"/>
    <col min="22" max="22" width="13.140625" style="7" hidden="1" customWidth="1"/>
    <col min="23" max="23" width="14.140625" style="7" hidden="1" customWidth="1"/>
    <col min="24" max="24" width="14.5703125" style="7" customWidth="1" collapsed="1"/>
    <col min="25" max="25" width="0.85546875" style="7" hidden="1" customWidth="1"/>
    <col min="26" max="26" width="16.140625" style="7" hidden="1" customWidth="1"/>
    <col min="27" max="27" width="0.140625" style="7" hidden="1" customWidth="1"/>
    <col min="28" max="28" width="16.140625" style="7" hidden="1" customWidth="1" outlineLevel="1"/>
    <col min="29" max="29" width="0.42578125" style="7" hidden="1" customWidth="1" outlineLevel="1"/>
    <col min="30" max="30" width="17.85546875" style="7" hidden="1" customWidth="1" outlineLevel="1"/>
    <col min="31" max="31" width="0.42578125" style="7" hidden="1" customWidth="1" outlineLevel="1"/>
    <col min="32" max="32" width="16.140625" style="7" hidden="1" customWidth="1" collapsed="1"/>
    <col min="33" max="33" width="16" style="7" hidden="1" customWidth="1" outlineLevel="1"/>
    <col min="34" max="34" width="17" style="7" hidden="1" customWidth="1" outlineLevel="1"/>
    <col min="35" max="35" width="10.5703125" style="7" hidden="1" customWidth="1" outlineLevel="1"/>
    <col min="36" max="36" width="16.140625" style="7" hidden="1" customWidth="1" collapsed="1"/>
    <col min="37" max="37" width="0.7109375" style="7" hidden="1" customWidth="1"/>
    <col min="38" max="38" width="16.140625" style="7" hidden="1" customWidth="1" outlineLevel="1"/>
    <col min="39" max="39" width="4.140625" style="7" hidden="1" customWidth="1" outlineLevel="1"/>
    <col min="40" max="40" width="16.140625" style="17" customWidth="1" collapsed="1"/>
    <col min="41" max="41" width="16.140625" style="17" hidden="1" customWidth="1" collapsed="1"/>
    <col min="42" max="42" width="16.140625" style="17" customWidth="1" collapsed="1"/>
    <col min="43" max="43" width="0.7109375" style="7" hidden="1" customWidth="1" outlineLevel="1"/>
    <col min="44" max="44" width="22.140625" style="7" hidden="1" customWidth="1" outlineLevel="1"/>
    <col min="45" max="45" width="0.42578125" style="7" hidden="1" customWidth="1" outlineLevel="1"/>
    <col min="46" max="46" width="17.85546875" style="7" hidden="1" customWidth="1" outlineLevel="1"/>
    <col min="47" max="47" width="0.42578125" style="7" hidden="1" customWidth="1" outlineLevel="1"/>
    <col min="48" max="48" width="18" style="7" hidden="1" customWidth="1" collapsed="1"/>
    <col min="49" max="49" width="0.5703125" style="7" hidden="1" customWidth="1"/>
    <col min="50" max="50" width="18" style="7" hidden="1" customWidth="1"/>
    <col min="51" max="51" width="0.5703125" style="7" customWidth="1"/>
    <col min="52" max="52" width="15.140625" style="7" customWidth="1"/>
    <col min="53" max="53" width="15.7109375" style="7" bestFit="1" customWidth="1"/>
    <col min="54" max="54" width="15.140625" style="7" customWidth="1"/>
    <col min="55" max="55" width="23.140625" style="7" customWidth="1"/>
    <col min="56" max="56" width="19.85546875" style="7" bestFit="1" customWidth="1"/>
    <col min="57" max="59" width="12.42578125" style="7" customWidth="1"/>
    <col min="60" max="60" width="3.85546875" style="76" customWidth="1"/>
    <col min="61" max="61" width="14.5703125" style="12" bestFit="1" customWidth="1"/>
  </cols>
  <sheetData>
    <row r="1" spans="1:61" ht="15">
      <c r="A1" s="1" t="s">
        <v>0</v>
      </c>
      <c r="B1" s="2"/>
      <c r="C1" s="2"/>
      <c r="D1" s="1"/>
      <c r="E1" s="1"/>
      <c r="F1" s="3"/>
      <c r="H1" s="5"/>
      <c r="I1" s="6"/>
      <c r="T1" s="8"/>
      <c r="Z1" s="9"/>
      <c r="AB1" s="9"/>
      <c r="AD1" s="9"/>
      <c r="AF1" s="9"/>
      <c r="AH1" s="10" t="e">
        <f>+#REF!</f>
        <v>#REF!</v>
      </c>
      <c r="AJ1" s="9"/>
      <c r="AK1" s="9"/>
      <c r="AN1" s="9"/>
      <c r="AO1" s="9"/>
      <c r="AP1" s="9"/>
      <c r="AR1" s="9"/>
      <c r="AT1" s="9"/>
      <c r="AV1" s="9"/>
      <c r="AW1" s="9"/>
      <c r="AX1" s="9"/>
      <c r="AY1" s="9"/>
      <c r="AZ1" s="9"/>
      <c r="BA1" s="9"/>
      <c r="BB1" s="9"/>
      <c r="BC1" s="9"/>
      <c r="BD1" s="9"/>
      <c r="BE1" s="9"/>
      <c r="BF1" s="9"/>
      <c r="BG1" s="9"/>
      <c r="BH1" s="11"/>
    </row>
    <row r="2" spans="1:61" ht="15">
      <c r="A2" s="1" t="s">
        <v>1053</v>
      </c>
      <c r="B2" s="2"/>
      <c r="C2" s="2"/>
      <c r="D2" s="1"/>
      <c r="E2" s="1"/>
      <c r="F2" s="3"/>
      <c r="H2" s="5"/>
      <c r="I2" s="13"/>
      <c r="J2" s="14"/>
      <c r="K2" s="14"/>
      <c r="L2" s="15"/>
      <c r="M2" s="15"/>
      <c r="N2" s="15"/>
      <c r="O2" s="15"/>
      <c r="P2" s="15"/>
      <c r="R2" s="15"/>
      <c r="T2" s="8"/>
      <c r="V2" s="15"/>
      <c r="X2" s="15"/>
      <c r="Z2" s="15"/>
      <c r="AB2" s="15"/>
      <c r="AD2" s="15"/>
      <c r="AF2" s="15"/>
      <c r="AG2" s="238" t="s">
        <v>1</v>
      </c>
      <c r="AH2" s="238"/>
      <c r="AI2" s="17"/>
      <c r="AJ2" s="18"/>
      <c r="AK2" s="15"/>
      <c r="AL2" s="10" t="e">
        <f>+#REF!</f>
        <v>#REF!</v>
      </c>
      <c r="AN2" s="18"/>
      <c r="AO2" s="18"/>
      <c r="AP2" s="18"/>
      <c r="AR2" s="15"/>
      <c r="AT2" s="15"/>
      <c r="AV2" s="15"/>
      <c r="AW2" s="15"/>
      <c r="AX2" s="15"/>
      <c r="AY2" s="15"/>
      <c r="AZ2" s="15"/>
      <c r="BA2" s="15"/>
      <c r="BB2" s="15"/>
      <c r="BC2" s="15"/>
      <c r="BD2" s="15"/>
      <c r="BE2" s="15"/>
      <c r="BF2" s="15"/>
      <c r="BG2" s="15"/>
      <c r="BH2" s="19"/>
    </row>
    <row r="3" spans="1:61">
      <c r="A3" s="20" t="str">
        <f>IF(G7=1,"DETAIL OF EXPENDITURES BUDGET BY DEPARTMENT WITH COMPARATIVE AMOUNTS", "SUMMARY OF EXPENDITURES BUDGET BY DEPARTMENT WITH COMPARATIVE AMOUNTS")</f>
        <v>DETAIL OF EXPENDITURES BUDGET BY DEPARTMENT WITH COMPARATIVE AMOUNTS</v>
      </c>
      <c r="B3" s="21"/>
      <c r="C3" s="21"/>
      <c r="D3" s="22"/>
      <c r="E3" s="22"/>
      <c r="F3" s="3"/>
      <c r="H3" s="5"/>
      <c r="I3" s="23"/>
      <c r="J3" s="15"/>
      <c r="L3" s="15"/>
      <c r="M3" s="10"/>
      <c r="N3" s="10"/>
      <c r="O3" s="10"/>
      <c r="P3" s="24"/>
      <c r="R3" s="24"/>
      <c r="V3" s="24"/>
      <c r="W3" s="24"/>
      <c r="X3" s="15"/>
      <c r="Y3" s="24"/>
      <c r="AA3" s="24"/>
      <c r="AB3" s="24" t="e">
        <f>+#REF!</f>
        <v>#REF!</v>
      </c>
      <c r="AC3" s="24"/>
      <c r="AD3" s="24" t="e">
        <f>+#REF!</f>
        <v>#REF!</v>
      </c>
      <c r="AE3" s="24"/>
      <c r="AF3" s="10" t="e">
        <f>+#REF!</f>
        <v>#REF!</v>
      </c>
      <c r="AG3" s="239" t="s">
        <v>2</v>
      </c>
      <c r="AH3" s="239"/>
      <c r="AI3" s="25"/>
      <c r="AJ3" s="25" t="e">
        <f>+#REF!</f>
        <v>#REF!</v>
      </c>
      <c r="AK3" s="24"/>
      <c r="AL3" s="16" t="s">
        <v>1</v>
      </c>
      <c r="AM3" s="25"/>
      <c r="AN3" s="25"/>
      <c r="AO3" s="25"/>
      <c r="AP3" s="25"/>
      <c r="AQ3" s="24"/>
      <c r="AR3" s="24" t="e">
        <f>+#REF!</f>
        <v>#REF!</v>
      </c>
      <c r="AS3" s="24"/>
      <c r="AT3" s="24" t="e">
        <f>+#REF!</f>
        <v>#REF!</v>
      </c>
      <c r="AU3" s="24"/>
      <c r="AV3" s="24" t="e">
        <f>+#REF!</f>
        <v>#REF!</v>
      </c>
      <c r="AW3" s="24"/>
      <c r="AX3" s="24" t="e">
        <f>+#REF!</f>
        <v>#REF!</v>
      </c>
      <c r="AY3" s="24"/>
      <c r="AZ3" s="24"/>
      <c r="BA3" s="24"/>
      <c r="BB3" s="24"/>
      <c r="BC3" s="24"/>
      <c r="BD3" s="26"/>
      <c r="BE3" s="26"/>
      <c r="BF3" s="26"/>
      <c r="BG3" s="26"/>
      <c r="BH3" s="27"/>
    </row>
    <row r="4" spans="1:61" ht="15">
      <c r="A4" s="28" t="s">
        <v>1070</v>
      </c>
      <c r="B4" s="29"/>
      <c r="C4" s="29"/>
      <c r="D4" s="28"/>
      <c r="E4" s="28"/>
      <c r="F4" s="3"/>
      <c r="H4" s="30"/>
      <c r="I4" s="31"/>
      <c r="J4" s="31"/>
      <c r="L4" s="31"/>
      <c r="M4" s="32"/>
      <c r="N4" s="33"/>
      <c r="O4" s="32"/>
      <c r="P4" s="33"/>
      <c r="R4" s="33"/>
      <c r="T4" s="33"/>
      <c r="X4" s="31"/>
      <c r="Z4" s="10"/>
      <c r="AB4" s="241"/>
      <c r="AC4" s="241"/>
      <c r="AD4" s="241"/>
      <c r="AE4" s="35"/>
      <c r="AF4" s="34"/>
      <c r="AG4" s="240"/>
      <c r="AH4" s="240"/>
      <c r="AI4" s="17"/>
      <c r="AJ4" s="16"/>
      <c r="AK4" s="24"/>
      <c r="AL4" s="16"/>
      <c r="AM4" s="17"/>
      <c r="AN4" s="31"/>
      <c r="AO4" s="31"/>
      <c r="AP4" s="31"/>
      <c r="AR4" s="34" t="s">
        <v>5</v>
      </c>
      <c r="AU4" s="35"/>
      <c r="AV4" s="34"/>
      <c r="AW4" s="34"/>
      <c r="AX4" s="34" t="s">
        <v>5</v>
      </c>
      <c r="AY4" s="34"/>
      <c r="AZ4" s="34"/>
      <c r="BA4" s="34"/>
      <c r="BB4" s="34"/>
      <c r="BC4" s="34"/>
      <c r="BD4" s="37"/>
      <c r="BE4" s="37"/>
      <c r="BF4" s="37"/>
      <c r="BG4" s="37"/>
      <c r="BH4" s="38"/>
    </row>
    <row r="5" spans="1:61" ht="15">
      <c r="B5" s="29"/>
      <c r="C5" s="29"/>
      <c r="D5" s="28"/>
      <c r="E5" s="28"/>
      <c r="G5" s="28"/>
      <c r="H5" s="5"/>
      <c r="I5" s="41" t="s">
        <v>6</v>
      </c>
      <c r="J5" s="42" t="s">
        <v>7</v>
      </c>
      <c r="L5" s="16" t="s">
        <v>8</v>
      </c>
      <c r="M5" s="16"/>
      <c r="N5" s="16" t="s">
        <v>9</v>
      </c>
      <c r="O5" s="16"/>
      <c r="P5" s="16" t="s">
        <v>9</v>
      </c>
      <c r="Q5" s="17"/>
      <c r="R5" s="43"/>
      <c r="S5" s="17"/>
      <c r="T5" s="16"/>
      <c r="U5" s="17"/>
      <c r="V5" s="16" t="s">
        <v>9</v>
      </c>
      <c r="X5" s="16" t="s">
        <v>9</v>
      </c>
      <c r="Z5" s="34" t="s">
        <v>1</v>
      </c>
      <c r="AB5" s="243" t="s">
        <v>10</v>
      </c>
      <c r="AC5" s="243"/>
      <c r="AD5" s="243"/>
      <c r="AE5" s="35"/>
      <c r="AF5" s="34" t="s">
        <v>1</v>
      </c>
      <c r="AG5" s="17"/>
      <c r="AH5" s="16" t="s">
        <v>11</v>
      </c>
      <c r="AI5" s="17"/>
      <c r="AJ5" s="16" t="s">
        <v>1</v>
      </c>
      <c r="AK5" s="24"/>
      <c r="AL5" s="43" t="s">
        <v>12</v>
      </c>
      <c r="AM5" s="17"/>
      <c r="AN5" s="16" t="s">
        <v>1</v>
      </c>
      <c r="AO5" s="45" t="s">
        <v>1</v>
      </c>
      <c r="AP5" s="46" t="s">
        <v>5</v>
      </c>
      <c r="AQ5" s="47"/>
      <c r="AR5" s="48" t="s">
        <v>10</v>
      </c>
      <c r="AS5" s="47"/>
      <c r="AT5" s="47"/>
      <c r="AU5" s="47"/>
      <c r="AV5" s="46" t="s">
        <v>5</v>
      </c>
      <c r="AW5" s="34"/>
      <c r="AX5" s="49" t="s">
        <v>3</v>
      </c>
      <c r="AY5" s="34"/>
      <c r="AZ5" s="34" t="s">
        <v>1054</v>
      </c>
      <c r="BA5" s="34" t="s">
        <v>1054</v>
      </c>
      <c r="BB5" s="34" t="s">
        <v>1069</v>
      </c>
      <c r="BC5" s="34"/>
      <c r="BD5" s="50" t="s">
        <v>13</v>
      </c>
      <c r="BE5" s="37"/>
      <c r="BF5" s="37"/>
      <c r="BG5" s="37"/>
      <c r="BH5" s="51"/>
    </row>
    <row r="6" spans="1:61">
      <c r="A6" s="242"/>
      <c r="B6" s="242"/>
      <c r="C6" s="242"/>
      <c r="D6" s="242"/>
      <c r="E6" s="242"/>
      <c r="F6" s="242"/>
      <c r="G6" s="22"/>
      <c r="H6" s="5"/>
      <c r="I6" s="52" t="s">
        <v>14</v>
      </c>
      <c r="J6" s="52" t="s">
        <v>14</v>
      </c>
      <c r="L6" s="43" t="s">
        <v>14</v>
      </c>
      <c r="M6" s="43"/>
      <c r="N6" s="43" t="s">
        <v>15</v>
      </c>
      <c r="O6" s="43"/>
      <c r="P6" s="43" t="s">
        <v>4</v>
      </c>
      <c r="Q6" s="17"/>
      <c r="R6" s="43" t="s">
        <v>4</v>
      </c>
      <c r="S6" s="43"/>
      <c r="T6" s="43" t="s">
        <v>16</v>
      </c>
      <c r="U6" s="43"/>
      <c r="V6" s="43" t="s">
        <v>4</v>
      </c>
      <c r="W6" s="43"/>
      <c r="X6" s="43" t="s">
        <v>14</v>
      </c>
      <c r="Y6" s="43"/>
      <c r="Z6" s="34" t="s">
        <v>17</v>
      </c>
      <c r="AA6" s="43"/>
      <c r="AB6" s="53" t="s">
        <v>16</v>
      </c>
      <c r="AC6" s="53"/>
      <c r="AD6" s="34"/>
      <c r="AE6" s="53"/>
      <c r="AF6" s="34" t="s">
        <v>17</v>
      </c>
      <c r="AG6" s="43" t="s">
        <v>16</v>
      </c>
      <c r="AH6" s="16" t="s">
        <v>18</v>
      </c>
      <c r="AI6" s="43"/>
      <c r="AJ6" s="16" t="s">
        <v>19</v>
      </c>
      <c r="AK6" s="24"/>
      <c r="AL6" s="43" t="s">
        <v>16</v>
      </c>
      <c r="AM6" s="43"/>
      <c r="AN6" s="43" t="s">
        <v>14</v>
      </c>
      <c r="AO6" s="45" t="s">
        <v>20</v>
      </c>
      <c r="AP6" s="43" t="s">
        <v>14</v>
      </c>
      <c r="AQ6" s="54"/>
      <c r="AR6" s="54" t="s">
        <v>16</v>
      </c>
      <c r="AS6" s="54"/>
      <c r="AT6" s="46"/>
      <c r="AU6" s="54"/>
      <c r="AV6" s="46" t="s">
        <v>19</v>
      </c>
      <c r="AW6" s="34"/>
      <c r="AX6" s="55" t="s">
        <v>16</v>
      </c>
      <c r="AY6" s="34"/>
      <c r="AZ6" s="34" t="s">
        <v>19</v>
      </c>
      <c r="BA6" s="34" t="s">
        <v>19</v>
      </c>
      <c r="BB6" s="34" t="s">
        <v>19</v>
      </c>
      <c r="BC6" s="56"/>
      <c r="BD6" s="50" t="s">
        <v>21</v>
      </c>
      <c r="BE6" s="37"/>
      <c r="BF6" s="37"/>
      <c r="BG6" s="37"/>
      <c r="BH6" s="57"/>
    </row>
    <row r="7" spans="1:61" ht="15">
      <c r="A7" s="237"/>
      <c r="B7" s="237"/>
      <c r="C7" s="237"/>
      <c r="D7" s="237"/>
      <c r="E7" s="237"/>
      <c r="F7" s="237"/>
      <c r="G7" s="59">
        <v>1</v>
      </c>
      <c r="H7" s="60"/>
      <c r="I7" s="52" t="s">
        <v>22</v>
      </c>
      <c r="J7" s="52" t="s">
        <v>22</v>
      </c>
      <c r="L7" s="43" t="s">
        <v>22</v>
      </c>
      <c r="M7" s="43"/>
      <c r="N7" s="43" t="s">
        <v>23</v>
      </c>
      <c r="O7" s="43"/>
      <c r="P7" s="43" t="s">
        <v>24</v>
      </c>
      <c r="Q7" s="43"/>
      <c r="R7" s="43" t="s">
        <v>24</v>
      </c>
      <c r="S7" s="43"/>
      <c r="T7" s="43" t="s">
        <v>25</v>
      </c>
      <c r="U7" s="43"/>
      <c r="V7" s="43" t="s">
        <v>24</v>
      </c>
      <c r="W7" s="43"/>
      <c r="X7" s="43" t="s">
        <v>22</v>
      </c>
      <c r="Y7" s="43"/>
      <c r="Z7" s="53" t="s">
        <v>15</v>
      </c>
      <c r="AA7" s="43"/>
      <c r="AB7" s="53" t="s">
        <v>26</v>
      </c>
      <c r="AC7" s="53"/>
      <c r="AD7" s="53"/>
      <c r="AE7" s="53"/>
      <c r="AF7" s="53" t="s">
        <v>4</v>
      </c>
      <c r="AG7" s="43" t="s">
        <v>26</v>
      </c>
      <c r="AH7" s="43" t="s">
        <v>27</v>
      </c>
      <c r="AI7" s="43"/>
      <c r="AJ7" s="43" t="s">
        <v>4</v>
      </c>
      <c r="AK7" s="24"/>
      <c r="AL7" s="43" t="s">
        <v>26</v>
      </c>
      <c r="AM7" s="43"/>
      <c r="AN7" s="43" t="s">
        <v>22</v>
      </c>
      <c r="AO7" s="61" t="s">
        <v>22</v>
      </c>
      <c r="AP7" s="43" t="s">
        <v>22</v>
      </c>
      <c r="AQ7" s="54"/>
      <c r="AR7" s="54" t="s">
        <v>26</v>
      </c>
      <c r="AS7" s="54"/>
      <c r="AT7" s="54"/>
      <c r="AU7" s="54"/>
      <c r="AV7" s="54" t="s">
        <v>4</v>
      </c>
      <c r="AW7" s="53"/>
      <c r="AX7" s="55" t="s">
        <v>26</v>
      </c>
      <c r="AY7" s="53"/>
      <c r="AZ7" s="34" t="s">
        <v>15</v>
      </c>
      <c r="BA7" s="53" t="s">
        <v>4</v>
      </c>
      <c r="BB7" s="34" t="s">
        <v>15</v>
      </c>
      <c r="BC7" s="56"/>
      <c r="BD7" s="50" t="s">
        <v>28</v>
      </c>
      <c r="BE7" s="62"/>
      <c r="BF7" s="62"/>
      <c r="BG7" s="62"/>
      <c r="BH7" s="57"/>
      <c r="BI7" s="63"/>
    </row>
    <row r="8" spans="1:61" ht="15">
      <c r="A8" s="237" t="s">
        <v>29</v>
      </c>
      <c r="B8" s="237"/>
      <c r="C8" s="237"/>
      <c r="D8" s="237"/>
      <c r="E8" s="237"/>
      <c r="F8" s="64" t="s">
        <v>30</v>
      </c>
      <c r="G8" s="64" t="s">
        <v>31</v>
      </c>
      <c r="H8" s="60"/>
      <c r="I8" s="65" t="s">
        <v>32</v>
      </c>
      <c r="J8" s="65" t="s">
        <v>32</v>
      </c>
      <c r="L8" s="66" t="s">
        <v>32</v>
      </c>
      <c r="M8" s="36"/>
      <c r="N8" s="36" t="s">
        <v>2</v>
      </c>
      <c r="O8" s="36"/>
      <c r="P8" s="36" t="s">
        <v>33</v>
      </c>
      <c r="Q8" s="36"/>
      <c r="R8" s="36" t="s">
        <v>34</v>
      </c>
      <c r="S8" s="36"/>
      <c r="T8" s="36" t="s">
        <v>35</v>
      </c>
      <c r="U8" s="36"/>
      <c r="V8" s="36" t="s">
        <v>36</v>
      </c>
      <c r="W8" s="36"/>
      <c r="X8" s="66" t="s">
        <v>32</v>
      </c>
      <c r="Y8" s="36"/>
      <c r="Z8" s="44" t="s">
        <v>24</v>
      </c>
      <c r="AA8" s="36"/>
      <c r="AB8" s="44" t="s">
        <v>35</v>
      </c>
      <c r="AC8" s="44"/>
      <c r="AD8" s="44" t="s">
        <v>37</v>
      </c>
      <c r="AE8" s="44"/>
      <c r="AF8" s="44" t="s">
        <v>38</v>
      </c>
      <c r="AG8" s="36" t="s">
        <v>35</v>
      </c>
      <c r="AH8" s="36" t="s">
        <v>39</v>
      </c>
      <c r="AI8" s="36"/>
      <c r="AJ8" s="36" t="s">
        <v>40</v>
      </c>
      <c r="AK8" s="24"/>
      <c r="AL8" s="36" t="s">
        <v>35</v>
      </c>
      <c r="AM8" s="36"/>
      <c r="AN8" s="36" t="s">
        <v>32</v>
      </c>
      <c r="AO8" s="67" t="s">
        <v>32</v>
      </c>
      <c r="AP8" s="36" t="s">
        <v>32</v>
      </c>
      <c r="AQ8" s="48"/>
      <c r="AR8" s="48" t="s">
        <v>35</v>
      </c>
      <c r="AS8" s="48"/>
      <c r="AT8" s="48" t="s">
        <v>37</v>
      </c>
      <c r="AU8" s="48"/>
      <c r="AV8" s="48" t="s">
        <v>38</v>
      </c>
      <c r="AW8" s="44"/>
      <c r="AX8" s="49" t="s">
        <v>35</v>
      </c>
      <c r="AY8" s="44"/>
      <c r="AZ8" s="44" t="s">
        <v>2</v>
      </c>
      <c r="BA8" s="44" t="s">
        <v>40</v>
      </c>
      <c r="BB8" s="44" t="s">
        <v>2</v>
      </c>
      <c r="BC8" s="56"/>
      <c r="BD8" s="50" t="s">
        <v>41</v>
      </c>
      <c r="BE8" s="68"/>
      <c r="BF8" s="68"/>
      <c r="BG8" s="68"/>
      <c r="BH8" s="69"/>
    </row>
    <row r="9" spans="1:61" ht="15">
      <c r="A9" s="58"/>
      <c r="B9" s="58"/>
      <c r="C9" s="58"/>
      <c r="D9" s="64"/>
      <c r="E9" s="64"/>
      <c r="F9" s="64"/>
      <c r="G9" s="70"/>
      <c r="H9" s="60"/>
      <c r="J9" s="71"/>
      <c r="AK9" s="24"/>
      <c r="AZ9" s="34"/>
      <c r="BB9" s="34"/>
      <c r="BC9" s="56"/>
      <c r="BH9" s="72">
        <v>2</v>
      </c>
    </row>
    <row r="10" spans="1:61" ht="20.100000000000001" customHeight="1" outlineLevel="1">
      <c r="A10" s="145" t="s">
        <v>992</v>
      </c>
      <c r="B10" s="77"/>
      <c r="C10" s="77"/>
      <c r="D10" s="90"/>
      <c r="E10" s="90"/>
      <c r="F10" s="3"/>
      <c r="H10" s="87"/>
      <c r="L10" s="83"/>
      <c r="M10" s="83"/>
      <c r="N10" s="83"/>
      <c r="O10" s="83"/>
      <c r="P10" s="83"/>
      <c r="Q10" s="83"/>
      <c r="R10" s="83"/>
      <c r="S10" s="83"/>
      <c r="T10" s="83"/>
      <c r="U10" s="83"/>
      <c r="V10" s="83"/>
      <c r="W10" s="83"/>
      <c r="X10" s="83"/>
      <c r="Y10" s="83"/>
      <c r="Z10" s="83"/>
      <c r="AA10" s="83"/>
      <c r="AB10" s="83"/>
      <c r="AD10" s="83"/>
      <c r="AE10" s="83"/>
      <c r="AF10" s="83"/>
      <c r="AG10" s="83"/>
      <c r="AH10" s="83"/>
      <c r="AI10" s="83"/>
      <c r="AJ10" s="83"/>
      <c r="AK10" s="85"/>
      <c r="AL10" s="83"/>
      <c r="AM10" s="83"/>
      <c r="AN10" s="100"/>
      <c r="AO10" s="100"/>
      <c r="AP10" s="100"/>
      <c r="AQ10" s="83"/>
      <c r="AR10" s="83"/>
      <c r="AT10" s="83"/>
      <c r="AU10" s="83"/>
      <c r="AV10" s="83"/>
      <c r="AW10" s="83"/>
      <c r="AX10" s="83"/>
      <c r="AY10" s="83"/>
      <c r="AZ10" s="83"/>
      <c r="BA10" s="83"/>
      <c r="BB10" s="83"/>
      <c r="BC10" s="83"/>
      <c r="BD10" s="83"/>
      <c r="BE10" s="83"/>
      <c r="BF10" s="83"/>
      <c r="BG10" s="83"/>
      <c r="BH10" s="19"/>
    </row>
    <row r="11" spans="1:61" ht="20.100000000000001" customHeight="1" outlineLevel="1">
      <c r="A11" s="77" t="s">
        <v>43</v>
      </c>
      <c r="B11" s="77" t="s">
        <v>91</v>
      </c>
      <c r="C11" s="77" t="s">
        <v>1111</v>
      </c>
      <c r="D11" s="78" t="s">
        <v>46</v>
      </c>
      <c r="E11" s="78" t="str">
        <f t="shared" ref="E11:E23" si="0">+D11</f>
        <v>000</v>
      </c>
      <c r="F11" s="3">
        <v>661001</v>
      </c>
      <c r="G11" s="102" t="s">
        <v>994</v>
      </c>
      <c r="H11" s="87"/>
      <c r="I11" s="13">
        <v>35687</v>
      </c>
      <c r="J11" s="13">
        <v>0</v>
      </c>
      <c r="L11" s="83">
        <v>0</v>
      </c>
      <c r="M11" s="83"/>
      <c r="N11" s="83">
        <v>0</v>
      </c>
      <c r="O11" s="83"/>
      <c r="P11" s="83">
        <v>0</v>
      </c>
      <c r="Q11" s="83"/>
      <c r="R11" s="83">
        <v>0</v>
      </c>
      <c r="S11" s="83"/>
      <c r="T11" s="83">
        <v>0</v>
      </c>
      <c r="U11" s="83"/>
      <c r="V11" s="83">
        <v>0</v>
      </c>
      <c r="W11" s="83"/>
      <c r="X11" s="83">
        <v>0</v>
      </c>
      <c r="Y11" s="83"/>
      <c r="Z11" s="83">
        <v>0</v>
      </c>
      <c r="AA11" s="83"/>
      <c r="AB11" s="83"/>
      <c r="AD11" s="83"/>
      <c r="AE11" s="83"/>
      <c r="AF11" s="86">
        <f t="shared" ref="AF11:AF23" si="1">SUM(Z11:AE11)</f>
        <v>0</v>
      </c>
      <c r="AG11" s="83">
        <v>0</v>
      </c>
      <c r="AH11" s="83">
        <v>0</v>
      </c>
      <c r="AI11" s="83"/>
      <c r="AJ11" s="86">
        <f t="shared" ref="AJ11:AJ23" si="2">SUM(AE11:AI11)</f>
        <v>0</v>
      </c>
      <c r="AK11" s="85"/>
      <c r="AL11" s="83">
        <v>0</v>
      </c>
      <c r="AM11" s="83"/>
      <c r="AN11" s="86">
        <f t="shared" ref="AN11:AN23" si="3">SUM(AI11:AM11)</f>
        <v>0</v>
      </c>
      <c r="AO11" s="86">
        <v>0</v>
      </c>
      <c r="AP11" s="86">
        <v>285075.63</v>
      </c>
      <c r="AQ11" s="83"/>
      <c r="AR11" s="83">
        <v>0</v>
      </c>
      <c r="AT11" s="83">
        <v>0</v>
      </c>
      <c r="AU11" s="83"/>
      <c r="AV11" s="86">
        <f t="shared" ref="AV11:AV23" si="4">SUM(AP11:AU11)</f>
        <v>285075.63</v>
      </c>
      <c r="AW11" s="86"/>
      <c r="AX11" s="86">
        <v>0</v>
      </c>
      <c r="AY11" s="86"/>
      <c r="AZ11" s="86">
        <v>0</v>
      </c>
      <c r="BA11" s="86">
        <v>0</v>
      </c>
      <c r="BB11" s="214"/>
      <c r="BC11" s="56"/>
      <c r="BD11" s="84">
        <f t="shared" ref="BD11:BD24" si="5">+AP11-AN11</f>
        <v>285075.63</v>
      </c>
      <c r="BE11" s="56"/>
      <c r="BF11" s="56"/>
      <c r="BG11" s="56"/>
      <c r="BH11" s="72"/>
    </row>
    <row r="12" spans="1:61" ht="20.100000000000001" customHeight="1" outlineLevel="1">
      <c r="A12" s="77" t="s">
        <v>43</v>
      </c>
      <c r="B12" s="77" t="s">
        <v>91</v>
      </c>
      <c r="C12" s="77" t="s">
        <v>1111</v>
      </c>
      <c r="D12" s="78" t="s">
        <v>46</v>
      </c>
      <c r="E12" s="78" t="str">
        <f t="shared" si="0"/>
        <v>000</v>
      </c>
      <c r="F12" s="3">
        <v>661025</v>
      </c>
      <c r="G12" s="102" t="s">
        <v>83</v>
      </c>
      <c r="H12" s="87"/>
      <c r="I12" s="13">
        <v>3577</v>
      </c>
      <c r="J12" s="13">
        <v>0</v>
      </c>
      <c r="L12" s="56">
        <v>0</v>
      </c>
      <c r="M12" s="56"/>
      <c r="N12" s="56">
        <v>0</v>
      </c>
      <c r="O12" s="56"/>
      <c r="P12" s="56">
        <v>0</v>
      </c>
      <c r="Q12" s="56"/>
      <c r="R12" s="56">
        <v>0</v>
      </c>
      <c r="S12" s="56"/>
      <c r="T12" s="56">
        <v>0</v>
      </c>
      <c r="U12" s="56"/>
      <c r="V12" s="56">
        <v>0</v>
      </c>
      <c r="W12" s="56"/>
      <c r="X12" s="56">
        <v>0</v>
      </c>
      <c r="Y12" s="56"/>
      <c r="Z12" s="56">
        <v>0</v>
      </c>
      <c r="AA12" s="56"/>
      <c r="AB12" s="56"/>
      <c r="AD12" s="56"/>
      <c r="AE12" s="56"/>
      <c r="AF12" s="56">
        <f t="shared" si="1"/>
        <v>0</v>
      </c>
      <c r="AG12" s="56">
        <v>0</v>
      </c>
      <c r="AH12" s="56">
        <v>0</v>
      </c>
      <c r="AI12" s="56"/>
      <c r="AJ12" s="56">
        <f t="shared" si="2"/>
        <v>0</v>
      </c>
      <c r="AK12" s="85"/>
      <c r="AL12" s="56">
        <v>0</v>
      </c>
      <c r="AM12" s="56"/>
      <c r="AN12" s="88">
        <f t="shared" si="3"/>
        <v>0</v>
      </c>
      <c r="AO12" s="88">
        <v>0</v>
      </c>
      <c r="AP12" s="88">
        <v>21472.39</v>
      </c>
      <c r="AQ12" s="56"/>
      <c r="AR12" s="182">
        <v>0</v>
      </c>
      <c r="AT12" s="56">
        <v>0</v>
      </c>
      <c r="AU12" s="56"/>
      <c r="AV12" s="56">
        <f t="shared" si="4"/>
        <v>21472.39</v>
      </c>
      <c r="AW12" s="56"/>
      <c r="AX12" s="56">
        <v>0</v>
      </c>
      <c r="AY12" s="56"/>
      <c r="AZ12" s="88">
        <v>0</v>
      </c>
      <c r="BA12" s="56">
        <v>0</v>
      </c>
      <c r="BB12" s="214"/>
      <c r="BC12" s="56"/>
      <c r="BD12" s="84">
        <f t="shared" si="5"/>
        <v>21472.39</v>
      </c>
      <c r="BE12" s="56"/>
      <c r="BF12" s="56"/>
      <c r="BG12" s="56"/>
      <c r="BH12" s="72"/>
    </row>
    <row r="13" spans="1:61" ht="20.100000000000001" customHeight="1" outlineLevel="1">
      <c r="A13" s="77" t="s">
        <v>43</v>
      </c>
      <c r="B13" s="77" t="s">
        <v>91</v>
      </c>
      <c r="C13" s="77" t="s">
        <v>1111</v>
      </c>
      <c r="D13" s="78" t="s">
        <v>46</v>
      </c>
      <c r="E13" s="78" t="str">
        <f t="shared" si="0"/>
        <v>000</v>
      </c>
      <c r="F13" s="3">
        <v>643011</v>
      </c>
      <c r="G13" s="102" t="s">
        <v>995</v>
      </c>
      <c r="H13" s="87"/>
      <c r="I13" s="13">
        <v>8333</v>
      </c>
      <c r="J13" s="13">
        <v>1738</v>
      </c>
      <c r="L13" s="56">
        <v>0</v>
      </c>
      <c r="M13" s="56"/>
      <c r="N13" s="56">
        <v>0</v>
      </c>
      <c r="O13" s="56"/>
      <c r="P13" s="56">
        <v>0</v>
      </c>
      <c r="Q13" s="56"/>
      <c r="R13" s="56">
        <v>0</v>
      </c>
      <c r="S13" s="56"/>
      <c r="T13" s="56">
        <v>0</v>
      </c>
      <c r="U13" s="56"/>
      <c r="V13" s="56">
        <v>0</v>
      </c>
      <c r="W13" s="56"/>
      <c r="X13" s="56">
        <v>0</v>
      </c>
      <c r="Y13" s="56"/>
      <c r="Z13" s="56">
        <v>0</v>
      </c>
      <c r="AA13" s="56"/>
      <c r="AB13" s="56"/>
      <c r="AD13" s="56"/>
      <c r="AE13" s="56"/>
      <c r="AF13" s="56">
        <f t="shared" si="1"/>
        <v>0</v>
      </c>
      <c r="AG13" s="56">
        <v>0</v>
      </c>
      <c r="AH13" s="56">
        <v>0</v>
      </c>
      <c r="AI13" s="56"/>
      <c r="AJ13" s="56">
        <f t="shared" si="2"/>
        <v>0</v>
      </c>
      <c r="AK13" s="85"/>
      <c r="AL13" s="56">
        <v>0</v>
      </c>
      <c r="AM13" s="56"/>
      <c r="AN13" s="88">
        <f t="shared" si="3"/>
        <v>0</v>
      </c>
      <c r="AO13" s="88">
        <v>0</v>
      </c>
      <c r="AP13" s="88">
        <v>64530.26</v>
      </c>
      <c r="AQ13" s="56"/>
      <c r="AR13" s="56">
        <v>0</v>
      </c>
      <c r="AT13" s="56">
        <v>0</v>
      </c>
      <c r="AU13" s="56"/>
      <c r="AV13" s="56">
        <f t="shared" si="4"/>
        <v>64530.26</v>
      </c>
      <c r="AW13" s="56"/>
      <c r="AX13" s="56">
        <v>0</v>
      </c>
      <c r="AY13" s="56"/>
      <c r="AZ13" s="88">
        <v>0</v>
      </c>
      <c r="BA13" s="56">
        <v>0</v>
      </c>
      <c r="BB13" s="214"/>
      <c r="BC13" s="56"/>
      <c r="BD13" s="84">
        <f t="shared" si="5"/>
        <v>64530.26</v>
      </c>
      <c r="BE13" s="56"/>
      <c r="BF13" s="56"/>
      <c r="BG13" s="56"/>
      <c r="BH13" s="72"/>
    </row>
    <row r="14" spans="1:61" ht="20.100000000000001" customHeight="1" outlineLevel="1">
      <c r="A14" s="77" t="s">
        <v>43</v>
      </c>
      <c r="B14" s="77" t="s">
        <v>91</v>
      </c>
      <c r="C14" s="77" t="s">
        <v>1111</v>
      </c>
      <c r="D14" s="78" t="s">
        <v>46</v>
      </c>
      <c r="E14" s="78" t="str">
        <f t="shared" si="0"/>
        <v>000</v>
      </c>
      <c r="F14" s="3">
        <v>673001</v>
      </c>
      <c r="G14" s="102" t="s">
        <v>996</v>
      </c>
      <c r="H14" s="87"/>
      <c r="I14" s="13">
        <v>0</v>
      </c>
      <c r="J14" s="13">
        <v>0</v>
      </c>
      <c r="L14" s="56">
        <v>1236</v>
      </c>
      <c r="M14" s="56"/>
      <c r="N14" s="56">
        <v>20000</v>
      </c>
      <c r="O14" s="56"/>
      <c r="P14" s="56">
        <v>20000</v>
      </c>
      <c r="Q14" s="56"/>
      <c r="R14" s="56">
        <v>20000</v>
      </c>
      <c r="S14" s="56"/>
      <c r="T14" s="56">
        <v>0</v>
      </c>
      <c r="U14" s="56"/>
      <c r="V14" s="56">
        <v>20000</v>
      </c>
      <c r="W14" s="56"/>
      <c r="X14" s="56">
        <v>3568.32</v>
      </c>
      <c r="Y14" s="56"/>
      <c r="Z14" s="56">
        <v>20000</v>
      </c>
      <c r="AA14" s="56"/>
      <c r="AB14" s="56"/>
      <c r="AD14" s="56"/>
      <c r="AE14" s="56"/>
      <c r="AF14" s="56">
        <f t="shared" si="1"/>
        <v>20000</v>
      </c>
      <c r="AG14" s="56">
        <v>0</v>
      </c>
      <c r="AH14" s="56">
        <v>0</v>
      </c>
      <c r="AI14" s="56"/>
      <c r="AJ14" s="56">
        <f t="shared" si="2"/>
        <v>20000</v>
      </c>
      <c r="AK14" s="85"/>
      <c r="AL14" s="56">
        <v>0</v>
      </c>
      <c r="AM14" s="56"/>
      <c r="AN14" s="88">
        <f t="shared" si="3"/>
        <v>20000</v>
      </c>
      <c r="AO14" s="88">
        <v>0</v>
      </c>
      <c r="AP14" s="88">
        <v>10878</v>
      </c>
      <c r="AQ14" s="56"/>
      <c r="AR14" s="56">
        <v>0</v>
      </c>
      <c r="AT14" s="56">
        <v>0</v>
      </c>
      <c r="AU14" s="56"/>
      <c r="AV14" s="56">
        <f t="shared" si="4"/>
        <v>10878</v>
      </c>
      <c r="AW14" s="56"/>
      <c r="AX14" s="56">
        <v>-20000</v>
      </c>
      <c r="AY14" s="56"/>
      <c r="AZ14" s="88">
        <v>20000</v>
      </c>
      <c r="BA14" s="56">
        <v>20000</v>
      </c>
      <c r="BB14" s="214"/>
      <c r="BC14" s="56"/>
      <c r="BD14" s="84">
        <f t="shared" si="5"/>
        <v>-9122</v>
      </c>
      <c r="BE14" s="56"/>
      <c r="BF14" s="56"/>
      <c r="BG14" s="56"/>
      <c r="BH14" s="72"/>
    </row>
    <row r="15" spans="1:61" ht="20.100000000000001" customHeight="1" outlineLevel="1">
      <c r="A15" s="77" t="s">
        <v>43</v>
      </c>
      <c r="B15" s="77" t="s">
        <v>137</v>
      </c>
      <c r="C15" s="77" t="s">
        <v>1111</v>
      </c>
      <c r="D15" s="78" t="s">
        <v>46</v>
      </c>
      <c r="E15" s="78" t="str">
        <f t="shared" si="0"/>
        <v>000</v>
      </c>
      <c r="F15" s="79">
        <v>643001</v>
      </c>
      <c r="G15" s="102" t="s">
        <v>993</v>
      </c>
      <c r="H15" s="87"/>
      <c r="I15" s="82">
        <v>667164</v>
      </c>
      <c r="J15" s="82">
        <v>1610840</v>
      </c>
      <c r="L15" s="56">
        <v>1639345</v>
      </c>
      <c r="M15" s="56"/>
      <c r="N15" s="56">
        <v>1665000</v>
      </c>
      <c r="O15" s="56"/>
      <c r="P15" s="56">
        <v>1665000</v>
      </c>
      <c r="Q15" s="56"/>
      <c r="R15" s="56">
        <v>1665000</v>
      </c>
      <c r="S15" s="56"/>
      <c r="T15" s="56">
        <v>0</v>
      </c>
      <c r="U15" s="56"/>
      <c r="V15" s="56">
        <v>1665000</v>
      </c>
      <c r="W15" s="56"/>
      <c r="X15" s="56">
        <v>1667298</v>
      </c>
      <c r="Y15" s="56"/>
      <c r="Z15" s="56">
        <v>1668000</v>
      </c>
      <c r="AA15" s="56"/>
      <c r="AB15" s="56"/>
      <c r="AD15" s="56">
        <v>35179</v>
      </c>
      <c r="AE15" s="56"/>
      <c r="AF15" s="56">
        <f t="shared" si="1"/>
        <v>1703179</v>
      </c>
      <c r="AG15" s="56">
        <v>0</v>
      </c>
      <c r="AH15" s="56">
        <v>0</v>
      </c>
      <c r="AI15" s="56"/>
      <c r="AJ15" s="56">
        <f t="shared" si="2"/>
        <v>1703179</v>
      </c>
      <c r="AK15" s="85"/>
      <c r="AL15" s="56">
        <v>0</v>
      </c>
      <c r="AM15" s="56"/>
      <c r="AN15" s="88">
        <f t="shared" si="3"/>
        <v>1703179</v>
      </c>
      <c r="AO15" s="88">
        <v>0</v>
      </c>
      <c r="AP15" s="88">
        <v>1739982.49</v>
      </c>
      <c r="AQ15" s="56"/>
      <c r="AR15" s="56">
        <v>0</v>
      </c>
      <c r="AT15" s="56">
        <v>0</v>
      </c>
      <c r="AU15" s="56"/>
      <c r="AV15" s="56">
        <f t="shared" si="4"/>
        <v>1739982.49</v>
      </c>
      <c r="AW15" s="56"/>
      <c r="AX15" s="56">
        <v>0</v>
      </c>
      <c r="AY15" s="56"/>
      <c r="AZ15" s="88">
        <v>1703179</v>
      </c>
      <c r="BA15" s="56">
        <v>1712527</v>
      </c>
      <c r="BB15" s="214"/>
      <c r="BC15" s="86"/>
      <c r="BD15" s="84">
        <f t="shared" si="5"/>
        <v>36803.489999999991</v>
      </c>
      <c r="BE15" s="86"/>
      <c r="BF15" s="86"/>
      <c r="BG15" s="86"/>
      <c r="BH15" s="72"/>
    </row>
    <row r="16" spans="1:61" ht="20.100000000000001" customHeight="1" outlineLevel="1">
      <c r="A16" s="77" t="s">
        <v>43</v>
      </c>
      <c r="B16" s="77" t="s">
        <v>137</v>
      </c>
      <c r="C16" s="77" t="s">
        <v>1111</v>
      </c>
      <c r="D16" s="78" t="s">
        <v>46</v>
      </c>
      <c r="E16" s="78" t="str">
        <f t="shared" si="0"/>
        <v>000</v>
      </c>
      <c r="F16" s="3">
        <v>641111</v>
      </c>
      <c r="G16" s="102" t="s">
        <v>997</v>
      </c>
      <c r="H16" s="87"/>
      <c r="I16" s="13">
        <v>188059</v>
      </c>
      <c r="J16" s="13">
        <v>194324</v>
      </c>
      <c r="L16" s="56">
        <v>192046</v>
      </c>
      <c r="M16" s="56"/>
      <c r="N16" s="56">
        <v>175000</v>
      </c>
      <c r="O16" s="56"/>
      <c r="P16" s="56">
        <v>175000</v>
      </c>
      <c r="Q16" s="56"/>
      <c r="R16" s="56">
        <v>175000</v>
      </c>
      <c r="S16" s="56"/>
      <c r="T16" s="56">
        <v>0</v>
      </c>
      <c r="U16" s="56"/>
      <c r="V16" s="56">
        <v>175000</v>
      </c>
      <c r="W16" s="56"/>
      <c r="X16" s="56">
        <v>182033.18</v>
      </c>
      <c r="Y16" s="56"/>
      <c r="Z16" s="56">
        <v>200000</v>
      </c>
      <c r="AA16" s="56"/>
      <c r="AB16" s="56"/>
      <c r="AD16" s="56"/>
      <c r="AE16" s="56"/>
      <c r="AF16" s="56">
        <f t="shared" si="1"/>
        <v>200000</v>
      </c>
      <c r="AG16" s="56">
        <v>0</v>
      </c>
      <c r="AH16" s="56">
        <v>0</v>
      </c>
      <c r="AI16" s="56"/>
      <c r="AJ16" s="56">
        <f t="shared" si="2"/>
        <v>200000</v>
      </c>
      <c r="AK16" s="85"/>
      <c r="AL16" s="56">
        <v>0</v>
      </c>
      <c r="AM16" s="56"/>
      <c r="AN16" s="88">
        <f t="shared" si="3"/>
        <v>200000</v>
      </c>
      <c r="AO16" s="88">
        <v>0</v>
      </c>
      <c r="AP16" s="88">
        <v>200278.19</v>
      </c>
      <c r="AQ16" s="56"/>
      <c r="AR16" s="56">
        <v>0</v>
      </c>
      <c r="AT16" s="56">
        <v>0</v>
      </c>
      <c r="AU16" s="56"/>
      <c r="AV16" s="56">
        <f t="shared" si="4"/>
        <v>200278.19</v>
      </c>
      <c r="AW16" s="56"/>
      <c r="AX16" s="56">
        <v>0</v>
      </c>
      <c r="AY16" s="56"/>
      <c r="AZ16" s="88">
        <v>200000</v>
      </c>
      <c r="BA16" s="56">
        <v>200000</v>
      </c>
      <c r="BB16" s="214"/>
      <c r="BC16" s="56"/>
      <c r="BD16" s="84">
        <f t="shared" si="5"/>
        <v>278.19000000000233</v>
      </c>
      <c r="BE16" s="56"/>
      <c r="BF16" s="56"/>
      <c r="BG16" s="56"/>
      <c r="BH16" s="72"/>
    </row>
    <row r="17" spans="1:60" ht="20.100000000000001" customHeight="1" outlineLevel="1">
      <c r="A17" s="77" t="s">
        <v>43</v>
      </c>
      <c r="B17" s="77" t="s">
        <v>137</v>
      </c>
      <c r="C17" s="77" t="s">
        <v>1111</v>
      </c>
      <c r="D17" s="78" t="s">
        <v>46</v>
      </c>
      <c r="E17" s="78" t="str">
        <f t="shared" si="0"/>
        <v>000</v>
      </c>
      <c r="F17" s="3">
        <v>641112</v>
      </c>
      <c r="G17" s="102" t="s">
        <v>998</v>
      </c>
      <c r="H17" s="87"/>
      <c r="I17" s="13">
        <v>116713</v>
      </c>
      <c r="J17" s="13">
        <v>131583</v>
      </c>
      <c r="L17" s="56">
        <v>131018</v>
      </c>
      <c r="M17" s="56"/>
      <c r="N17" s="56">
        <v>120000</v>
      </c>
      <c r="O17" s="56"/>
      <c r="P17" s="56">
        <v>120000</v>
      </c>
      <c r="Q17" s="56"/>
      <c r="R17" s="56">
        <v>120000</v>
      </c>
      <c r="S17" s="56"/>
      <c r="T17" s="56">
        <v>0</v>
      </c>
      <c r="U17" s="56"/>
      <c r="V17" s="56">
        <v>120000</v>
      </c>
      <c r="W17" s="56"/>
      <c r="X17" s="56">
        <v>129290.88</v>
      </c>
      <c r="Y17" s="56"/>
      <c r="Z17" s="56">
        <v>132000</v>
      </c>
      <c r="AA17" s="56"/>
      <c r="AB17" s="56"/>
      <c r="AD17" s="56"/>
      <c r="AE17" s="56"/>
      <c r="AF17" s="56">
        <f t="shared" si="1"/>
        <v>132000</v>
      </c>
      <c r="AG17" s="56">
        <v>0</v>
      </c>
      <c r="AH17" s="56">
        <v>0</v>
      </c>
      <c r="AI17" s="56"/>
      <c r="AJ17" s="56">
        <f t="shared" si="2"/>
        <v>132000</v>
      </c>
      <c r="AK17" s="85"/>
      <c r="AL17" s="56">
        <v>0</v>
      </c>
      <c r="AM17" s="56"/>
      <c r="AN17" s="88">
        <f t="shared" si="3"/>
        <v>132000</v>
      </c>
      <c r="AO17" s="88">
        <v>0</v>
      </c>
      <c r="AP17" s="88">
        <v>162895.21</v>
      </c>
      <c r="AQ17" s="56"/>
      <c r="AR17" s="56">
        <v>0</v>
      </c>
      <c r="AT17" s="56">
        <v>0</v>
      </c>
      <c r="AU17" s="56"/>
      <c r="AV17" s="56">
        <f t="shared" si="4"/>
        <v>162895.21</v>
      </c>
      <c r="AW17" s="56"/>
      <c r="AX17" s="56">
        <v>0</v>
      </c>
      <c r="AY17" s="56"/>
      <c r="AZ17" s="88">
        <v>132000</v>
      </c>
      <c r="BA17" s="56">
        <v>132000</v>
      </c>
      <c r="BB17" s="214"/>
      <c r="BC17" s="56"/>
      <c r="BD17" s="84">
        <f t="shared" si="5"/>
        <v>30895.209999999992</v>
      </c>
      <c r="BE17" s="56"/>
      <c r="BF17" s="56"/>
      <c r="BG17" s="56"/>
      <c r="BH17" s="72"/>
    </row>
    <row r="18" spans="1:60" ht="20.100000000000001" customHeight="1" outlineLevel="1">
      <c r="A18" s="77" t="s">
        <v>43</v>
      </c>
      <c r="B18" s="77" t="s">
        <v>137</v>
      </c>
      <c r="C18" s="77" t="s">
        <v>1111</v>
      </c>
      <c r="D18" s="78" t="s">
        <v>46</v>
      </c>
      <c r="E18" s="78" t="str">
        <f t="shared" si="0"/>
        <v>000</v>
      </c>
      <c r="F18" s="3">
        <v>653021</v>
      </c>
      <c r="G18" s="102" t="s">
        <v>999</v>
      </c>
      <c r="H18" s="87"/>
      <c r="I18" s="13">
        <v>167305</v>
      </c>
      <c r="J18" s="13">
        <v>178192</v>
      </c>
      <c r="L18" s="56">
        <v>210178</v>
      </c>
      <c r="M18" s="56"/>
      <c r="N18" s="56">
        <v>120000</v>
      </c>
      <c r="O18" s="56"/>
      <c r="P18" s="56">
        <v>122840</v>
      </c>
      <c r="Q18" s="56"/>
      <c r="R18" s="56">
        <v>147840</v>
      </c>
      <c r="S18" s="56"/>
      <c r="T18" s="56">
        <v>0</v>
      </c>
      <c r="U18" s="56"/>
      <c r="V18" s="56">
        <v>147840</v>
      </c>
      <c r="W18" s="56"/>
      <c r="X18" s="56">
        <v>201196.72</v>
      </c>
      <c r="Y18" s="56"/>
      <c r="Z18" s="56">
        <v>125000</v>
      </c>
      <c r="AA18" s="56"/>
      <c r="AB18" s="56"/>
      <c r="AD18" s="56"/>
      <c r="AE18" s="56"/>
      <c r="AF18" s="56">
        <f t="shared" si="1"/>
        <v>125000</v>
      </c>
      <c r="AG18" s="56">
        <v>0</v>
      </c>
      <c r="AH18" s="56">
        <v>0</v>
      </c>
      <c r="AI18" s="56"/>
      <c r="AJ18" s="56">
        <f t="shared" si="2"/>
        <v>125000</v>
      </c>
      <c r="AK18" s="85"/>
      <c r="AL18" s="56">
        <v>0</v>
      </c>
      <c r="AM18" s="56"/>
      <c r="AN18" s="88">
        <f t="shared" si="3"/>
        <v>125000</v>
      </c>
      <c r="AO18" s="88">
        <v>0</v>
      </c>
      <c r="AP18" s="88">
        <v>232340.55</v>
      </c>
      <c r="AQ18" s="56"/>
      <c r="AR18" s="56">
        <v>0</v>
      </c>
      <c r="AT18" s="56">
        <v>0</v>
      </c>
      <c r="AU18" s="56"/>
      <c r="AV18" s="56">
        <f t="shared" si="4"/>
        <v>232340.55</v>
      </c>
      <c r="AW18" s="56"/>
      <c r="AX18" s="89">
        <f>-AX15+180000</f>
        <v>180000</v>
      </c>
      <c r="AY18" s="56"/>
      <c r="AZ18" s="88">
        <v>125000</v>
      </c>
      <c r="BA18" s="56">
        <v>129995</v>
      </c>
      <c r="BB18" s="214"/>
      <c r="BC18" s="56"/>
      <c r="BD18" s="84">
        <f t="shared" si="5"/>
        <v>107340.54999999999</v>
      </c>
      <c r="BE18" s="56"/>
      <c r="BF18" s="56"/>
      <c r="BG18" s="56"/>
      <c r="BH18" s="72"/>
    </row>
    <row r="19" spans="1:60" ht="20.100000000000001" customHeight="1" outlineLevel="1">
      <c r="A19" s="77" t="s">
        <v>43</v>
      </c>
      <c r="B19" s="77" t="s">
        <v>137</v>
      </c>
      <c r="C19" s="77" t="s">
        <v>1111</v>
      </c>
      <c r="D19" s="78" t="s">
        <v>46</v>
      </c>
      <c r="E19" s="78" t="str">
        <f t="shared" si="0"/>
        <v>000</v>
      </c>
      <c r="F19" s="3">
        <v>662111</v>
      </c>
      <c r="G19" s="102" t="s">
        <v>1000</v>
      </c>
      <c r="H19" s="87"/>
      <c r="I19" s="13">
        <v>532183</v>
      </c>
      <c r="J19" s="13">
        <v>633648</v>
      </c>
      <c r="L19" s="56">
        <v>504360</v>
      </c>
      <c r="M19" s="56"/>
      <c r="N19" s="56">
        <v>570000</v>
      </c>
      <c r="O19" s="56"/>
      <c r="P19" s="56">
        <v>570000</v>
      </c>
      <c r="Q19" s="56"/>
      <c r="R19" s="56">
        <v>570000</v>
      </c>
      <c r="S19" s="56"/>
      <c r="T19" s="56">
        <v>0</v>
      </c>
      <c r="U19" s="56"/>
      <c r="V19" s="56">
        <v>570000</v>
      </c>
      <c r="W19" s="56"/>
      <c r="X19" s="56">
        <v>484354.14</v>
      </c>
      <c r="Y19" s="56"/>
      <c r="Z19" s="56">
        <v>500000</v>
      </c>
      <c r="AA19" s="56"/>
      <c r="AB19" s="56"/>
      <c r="AD19" s="56"/>
      <c r="AE19" s="56"/>
      <c r="AF19" s="56">
        <f t="shared" si="1"/>
        <v>500000</v>
      </c>
      <c r="AG19" s="56">
        <v>0</v>
      </c>
      <c r="AH19" s="56">
        <v>0</v>
      </c>
      <c r="AI19" s="56"/>
      <c r="AJ19" s="56">
        <f t="shared" si="2"/>
        <v>500000</v>
      </c>
      <c r="AK19" s="85"/>
      <c r="AL19" s="56">
        <v>0</v>
      </c>
      <c r="AM19" s="56"/>
      <c r="AN19" s="88">
        <f t="shared" si="3"/>
        <v>500000</v>
      </c>
      <c r="AO19" s="88">
        <v>0</v>
      </c>
      <c r="AP19" s="88">
        <v>517750.72</v>
      </c>
      <c r="AQ19" s="56"/>
      <c r="AR19" s="56">
        <v>0</v>
      </c>
      <c r="AT19" s="56">
        <v>0</v>
      </c>
      <c r="AU19" s="56"/>
      <c r="AV19" s="56">
        <f t="shared" si="4"/>
        <v>517750.72</v>
      </c>
      <c r="AW19" s="56"/>
      <c r="AX19" s="56">
        <v>0</v>
      </c>
      <c r="AY19" s="56"/>
      <c r="AZ19" s="88">
        <v>500000</v>
      </c>
      <c r="BA19" s="56">
        <v>500000</v>
      </c>
      <c r="BB19" s="214"/>
      <c r="BC19" s="56"/>
      <c r="BD19" s="84">
        <f t="shared" si="5"/>
        <v>17750.719999999972</v>
      </c>
      <c r="BE19" s="56"/>
      <c r="BF19" s="56"/>
      <c r="BG19" s="56"/>
      <c r="BH19" s="72"/>
    </row>
    <row r="20" spans="1:60" ht="20.100000000000001" customHeight="1" outlineLevel="1">
      <c r="A20" s="77" t="s">
        <v>43</v>
      </c>
      <c r="B20" s="77" t="s">
        <v>137</v>
      </c>
      <c r="C20" s="77" t="s">
        <v>1111</v>
      </c>
      <c r="D20" s="78" t="s">
        <v>46</v>
      </c>
      <c r="E20" s="78" t="str">
        <f t="shared" si="0"/>
        <v>000</v>
      </c>
      <c r="F20" s="3">
        <v>662211</v>
      </c>
      <c r="G20" s="102" t="s">
        <v>1001</v>
      </c>
      <c r="H20" s="87"/>
      <c r="I20" s="13">
        <v>5558182</v>
      </c>
      <c r="J20" s="13">
        <v>7130050</v>
      </c>
      <c r="L20" s="56">
        <v>6560927</v>
      </c>
      <c r="M20" s="56"/>
      <c r="N20" s="56">
        <v>5600000</v>
      </c>
      <c r="O20" s="56"/>
      <c r="P20" s="56">
        <v>5600000</v>
      </c>
      <c r="Q20" s="56"/>
      <c r="R20" s="56">
        <v>5600000</v>
      </c>
      <c r="S20" s="56"/>
      <c r="T20" s="56">
        <v>0</v>
      </c>
      <c r="U20" s="56"/>
      <c r="V20" s="56">
        <v>5600000</v>
      </c>
      <c r="W20" s="56"/>
      <c r="X20" s="56">
        <v>7075831.7699999996</v>
      </c>
      <c r="Y20" s="56"/>
      <c r="Z20" s="56">
        <v>6500000</v>
      </c>
      <c r="AA20" s="56"/>
      <c r="AB20" s="56"/>
      <c r="AD20" s="56"/>
      <c r="AE20" s="56"/>
      <c r="AF20" s="56">
        <f t="shared" si="1"/>
        <v>6500000</v>
      </c>
      <c r="AG20" s="56">
        <v>0</v>
      </c>
      <c r="AH20" s="56">
        <v>0</v>
      </c>
      <c r="AI20" s="56"/>
      <c r="AJ20" s="56">
        <f t="shared" si="2"/>
        <v>6500000</v>
      </c>
      <c r="AK20" s="85"/>
      <c r="AL20" s="56">
        <v>0</v>
      </c>
      <c r="AM20" s="56"/>
      <c r="AN20" s="88">
        <f t="shared" si="3"/>
        <v>6500000</v>
      </c>
      <c r="AO20" s="88">
        <v>0</v>
      </c>
      <c r="AP20" s="88">
        <v>5978947.3799999999</v>
      </c>
      <c r="AQ20" s="56"/>
      <c r="AR20" s="56">
        <v>0</v>
      </c>
      <c r="AT20" s="56">
        <v>0</v>
      </c>
      <c r="AU20" s="56"/>
      <c r="AV20" s="56">
        <f t="shared" si="4"/>
        <v>5978947.3799999999</v>
      </c>
      <c r="AW20" s="56"/>
      <c r="AX20" s="56">
        <v>0</v>
      </c>
      <c r="AY20" s="56"/>
      <c r="AZ20" s="88">
        <v>6965000</v>
      </c>
      <c r="BA20" s="56">
        <v>6965000</v>
      </c>
      <c r="BB20" s="214"/>
      <c r="BC20" s="56"/>
      <c r="BD20" s="84">
        <f t="shared" si="5"/>
        <v>-521052.62000000011</v>
      </c>
      <c r="BE20" s="56"/>
      <c r="BF20" s="56"/>
      <c r="BG20" s="56"/>
      <c r="BH20" s="72"/>
    </row>
    <row r="21" spans="1:60" ht="20.100000000000001" customHeight="1" outlineLevel="1">
      <c r="A21" s="77" t="s">
        <v>43</v>
      </c>
      <c r="B21" s="77" t="s">
        <v>176</v>
      </c>
      <c r="C21" s="77" t="s">
        <v>1111</v>
      </c>
      <c r="D21" s="78" t="s">
        <v>46</v>
      </c>
      <c r="E21" s="78" t="str">
        <f t="shared" si="0"/>
        <v>000</v>
      </c>
      <c r="F21" s="3">
        <v>634012</v>
      </c>
      <c r="G21" s="102" t="s">
        <v>271</v>
      </c>
      <c r="H21" s="87"/>
      <c r="I21" s="13">
        <v>250</v>
      </c>
      <c r="J21" s="13">
        <v>1401</v>
      </c>
      <c r="L21" s="56">
        <v>1102</v>
      </c>
      <c r="M21" s="56"/>
      <c r="N21" s="56">
        <v>0</v>
      </c>
      <c r="O21" s="56"/>
      <c r="P21" s="56">
        <v>0</v>
      </c>
      <c r="Q21" s="56"/>
      <c r="R21" s="56">
        <v>0</v>
      </c>
      <c r="S21" s="56"/>
      <c r="T21" s="56">
        <v>0</v>
      </c>
      <c r="U21" s="56"/>
      <c r="V21" s="56">
        <v>0</v>
      </c>
      <c r="W21" s="56"/>
      <c r="X21" s="56">
        <v>922.6</v>
      </c>
      <c r="Y21" s="56"/>
      <c r="Z21" s="56">
        <v>1000</v>
      </c>
      <c r="AA21" s="56"/>
      <c r="AB21" s="56"/>
      <c r="AD21" s="56"/>
      <c r="AE21" s="56"/>
      <c r="AF21" s="56">
        <f t="shared" si="1"/>
        <v>1000</v>
      </c>
      <c r="AG21" s="56">
        <v>0</v>
      </c>
      <c r="AH21" s="56">
        <v>0</v>
      </c>
      <c r="AI21" s="56"/>
      <c r="AJ21" s="56">
        <f t="shared" si="2"/>
        <v>1000</v>
      </c>
      <c r="AK21" s="85"/>
      <c r="AL21" s="56">
        <v>0</v>
      </c>
      <c r="AM21" s="56"/>
      <c r="AN21" s="88">
        <f t="shared" si="3"/>
        <v>1000</v>
      </c>
      <c r="AO21" s="88">
        <v>0</v>
      </c>
      <c r="AP21" s="88">
        <v>0</v>
      </c>
      <c r="AQ21" s="56"/>
      <c r="AR21" s="56">
        <v>0</v>
      </c>
      <c r="AT21" s="56">
        <v>0</v>
      </c>
      <c r="AU21" s="56"/>
      <c r="AV21" s="56">
        <f t="shared" si="4"/>
        <v>0</v>
      </c>
      <c r="AW21" s="56"/>
      <c r="AX21" s="56">
        <v>0</v>
      </c>
      <c r="AY21" s="56"/>
      <c r="AZ21" s="88">
        <v>1000</v>
      </c>
      <c r="BA21" s="56">
        <v>1000</v>
      </c>
      <c r="BB21" s="214"/>
      <c r="BC21" s="56"/>
      <c r="BD21" s="84">
        <f t="shared" si="5"/>
        <v>-1000</v>
      </c>
      <c r="BE21" s="56"/>
      <c r="BF21" s="56"/>
      <c r="BG21" s="56"/>
      <c r="BH21" s="72"/>
    </row>
    <row r="22" spans="1:60" ht="20.100000000000001" customHeight="1" outlineLevel="1">
      <c r="A22" s="77" t="s">
        <v>43</v>
      </c>
      <c r="B22" s="77" t="s">
        <v>176</v>
      </c>
      <c r="C22" s="77" t="s">
        <v>1111</v>
      </c>
      <c r="D22" s="78" t="s">
        <v>46</v>
      </c>
      <c r="E22" s="78" t="str">
        <f t="shared" si="0"/>
        <v>000</v>
      </c>
      <c r="F22" s="224">
        <v>683011</v>
      </c>
      <c r="G22" s="102" t="s">
        <v>1002</v>
      </c>
      <c r="H22" s="87"/>
      <c r="I22" s="13">
        <v>53725</v>
      </c>
      <c r="J22" s="13">
        <v>279458</v>
      </c>
      <c r="L22" s="56">
        <v>274675</v>
      </c>
      <c r="M22" s="56"/>
      <c r="N22" s="56">
        <v>228775</v>
      </c>
      <c r="O22" s="56"/>
      <c r="P22" s="56">
        <v>228775</v>
      </c>
      <c r="Q22" s="56"/>
      <c r="R22" s="56">
        <v>228775</v>
      </c>
      <c r="S22" s="56"/>
      <c r="T22" s="56">
        <v>0</v>
      </c>
      <c r="U22" s="56"/>
      <c r="V22" s="56">
        <v>228775</v>
      </c>
      <c r="W22" s="56"/>
      <c r="X22" s="56">
        <v>228775</v>
      </c>
      <c r="Y22" s="56"/>
      <c r="Z22" s="56">
        <v>204000</v>
      </c>
      <c r="AA22" s="56"/>
      <c r="AB22" s="56"/>
      <c r="AD22" s="56"/>
      <c r="AE22" s="56"/>
      <c r="AF22" s="56">
        <f t="shared" si="1"/>
        <v>204000</v>
      </c>
      <c r="AG22" s="56">
        <v>0</v>
      </c>
      <c r="AH22" s="56">
        <v>0</v>
      </c>
      <c r="AI22" s="56"/>
      <c r="AJ22" s="56">
        <f t="shared" si="2"/>
        <v>204000</v>
      </c>
      <c r="AK22" s="85"/>
      <c r="AL22" s="56">
        <v>0</v>
      </c>
      <c r="AM22" s="56"/>
      <c r="AN22" s="88">
        <f t="shared" si="3"/>
        <v>204000</v>
      </c>
      <c r="AO22" s="88">
        <v>0</v>
      </c>
      <c r="AP22" s="88">
        <v>180635</v>
      </c>
      <c r="AQ22" s="56"/>
      <c r="AR22" s="56">
        <v>0</v>
      </c>
      <c r="AT22" s="56">
        <v>0</v>
      </c>
      <c r="AU22" s="56"/>
      <c r="AV22" s="56">
        <f t="shared" si="4"/>
        <v>180635</v>
      </c>
      <c r="AW22" s="56"/>
      <c r="AX22" s="56">
        <v>0</v>
      </c>
      <c r="AY22" s="56"/>
      <c r="AZ22" s="88">
        <v>156315</v>
      </c>
      <c r="BA22" s="56">
        <v>156315</v>
      </c>
      <c r="BB22" s="214"/>
      <c r="BC22" s="56"/>
      <c r="BD22" s="84">
        <f t="shared" si="5"/>
        <v>-23365</v>
      </c>
      <c r="BE22" s="56"/>
      <c r="BF22" s="56"/>
      <c r="BG22" s="56"/>
      <c r="BH22" s="72"/>
    </row>
    <row r="23" spans="1:60" ht="20.100000000000001" customHeight="1" outlineLevel="1">
      <c r="A23" s="77" t="s">
        <v>43</v>
      </c>
      <c r="B23" s="77" t="s">
        <v>176</v>
      </c>
      <c r="C23" s="77" t="s">
        <v>1111</v>
      </c>
      <c r="D23" s="78" t="s">
        <v>46</v>
      </c>
      <c r="E23" s="78" t="str">
        <f t="shared" si="0"/>
        <v>000</v>
      </c>
      <c r="F23" s="224">
        <v>683101</v>
      </c>
      <c r="G23" s="102" t="s">
        <v>1003</v>
      </c>
      <c r="H23" s="87"/>
      <c r="I23" s="13">
        <v>534703</v>
      </c>
      <c r="J23" s="13">
        <v>554703</v>
      </c>
      <c r="L23" s="56">
        <v>1259703</v>
      </c>
      <c r="M23" s="56"/>
      <c r="N23" s="56">
        <v>720000</v>
      </c>
      <c r="O23" s="56"/>
      <c r="P23" s="56">
        <v>720000</v>
      </c>
      <c r="Q23" s="56"/>
      <c r="R23" s="56">
        <v>804703</v>
      </c>
      <c r="S23" s="56"/>
      <c r="T23" s="56">
        <v>0</v>
      </c>
      <c r="U23" s="56"/>
      <c r="V23" s="56">
        <v>804703</v>
      </c>
      <c r="W23" s="56"/>
      <c r="X23" s="56">
        <f>84703.12+720000</f>
        <v>804703.12</v>
      </c>
      <c r="Y23" s="56"/>
      <c r="Z23" s="56">
        <f>84703+740000</f>
        <v>824703</v>
      </c>
      <c r="AA23" s="56"/>
      <c r="AB23" s="56"/>
      <c r="AD23" s="56"/>
      <c r="AE23" s="56"/>
      <c r="AF23" s="56">
        <f t="shared" si="1"/>
        <v>824703</v>
      </c>
      <c r="AG23" s="56">
        <v>0</v>
      </c>
      <c r="AH23" s="56">
        <v>0</v>
      </c>
      <c r="AI23" s="56"/>
      <c r="AJ23" s="56">
        <f t="shared" si="2"/>
        <v>824703</v>
      </c>
      <c r="AK23" s="85"/>
      <c r="AL23" s="56">
        <v>0</v>
      </c>
      <c r="AM23" s="56"/>
      <c r="AN23" s="88">
        <f t="shared" si="3"/>
        <v>824703</v>
      </c>
      <c r="AO23" s="88">
        <v>0</v>
      </c>
      <c r="AP23" s="88">
        <f>760000+84703.12</f>
        <v>844703.12</v>
      </c>
      <c r="AQ23" s="56"/>
      <c r="AR23" s="56">
        <v>0</v>
      </c>
      <c r="AT23" s="56">
        <v>0</v>
      </c>
      <c r="AU23" s="56"/>
      <c r="AV23" s="56">
        <f t="shared" si="4"/>
        <v>844703.12</v>
      </c>
      <c r="AW23" s="56"/>
      <c r="AX23" s="56">
        <v>0</v>
      </c>
      <c r="AY23" s="56"/>
      <c r="AZ23" s="88">
        <v>780000</v>
      </c>
      <c r="BA23" s="56">
        <v>780000</v>
      </c>
      <c r="BB23" s="56"/>
      <c r="BC23" s="56"/>
      <c r="BD23" s="84">
        <f t="shared" si="5"/>
        <v>20000.119999999995</v>
      </c>
      <c r="BE23" s="56"/>
      <c r="BF23" s="56"/>
      <c r="BG23" s="56"/>
      <c r="BH23" s="72"/>
    </row>
    <row r="24" spans="1:60" ht="20.100000000000001" customHeight="1">
      <c r="B24" s="77"/>
      <c r="C24" s="77"/>
      <c r="D24" s="90"/>
      <c r="E24" s="90"/>
      <c r="F24" s="3"/>
      <c r="G24" s="110" t="s">
        <v>1004</v>
      </c>
      <c r="H24" s="81"/>
      <c r="I24" s="92">
        <v>7865881</v>
      </c>
      <c r="J24" s="93">
        <v>10715937</v>
      </c>
      <c r="L24" s="125">
        <v>10774590</v>
      </c>
      <c r="M24" s="126"/>
      <c r="N24" s="125">
        <v>9218775</v>
      </c>
      <c r="O24" s="126"/>
      <c r="P24" s="125">
        <v>9221615</v>
      </c>
      <c r="Q24" s="126"/>
      <c r="R24" s="125">
        <v>9331318</v>
      </c>
      <c r="S24" s="95"/>
      <c r="T24" s="94">
        <v>0</v>
      </c>
      <c r="U24" s="126"/>
      <c r="V24" s="125">
        <v>9331318</v>
      </c>
      <c r="W24" s="126"/>
      <c r="X24" s="125">
        <f>SUBTOTAL(9,X11:X23)</f>
        <v>10777973.729999999</v>
      </c>
      <c r="Y24" s="126"/>
      <c r="Z24" s="125">
        <f>SUBTOTAL(9,Z11:Z23)</f>
        <v>10174703</v>
      </c>
      <c r="AA24" s="126"/>
      <c r="AB24" s="125">
        <f>SUBTOTAL(9,AB11:AB23)</f>
        <v>0</v>
      </c>
      <c r="AD24" s="125">
        <f>SUBTOTAL(9,AD11:AD23)</f>
        <v>35179</v>
      </c>
      <c r="AE24" s="126"/>
      <c r="AF24" s="125">
        <f>SUBTOTAL(9,AF11:AF23)</f>
        <v>10209882</v>
      </c>
      <c r="AG24" s="125">
        <f>SUBTOTAL(9,AG11:AG23)</f>
        <v>0</v>
      </c>
      <c r="AH24" s="125">
        <f>SUBTOTAL(9,AH11:AH23)</f>
        <v>0</v>
      </c>
      <c r="AI24" s="126"/>
      <c r="AJ24" s="125">
        <f>SUBTOTAL(9,AJ11:AJ23)</f>
        <v>10209882</v>
      </c>
      <c r="AK24" s="96"/>
      <c r="AL24" s="125">
        <f>SUBTOTAL(9,AL11:AL23)</f>
        <v>0</v>
      </c>
      <c r="AM24" s="126"/>
      <c r="AN24" s="127">
        <f>SUBTOTAL(9,AN11:AN23)</f>
        <v>10209882</v>
      </c>
      <c r="AO24" s="127">
        <f>SUBTOTAL(9,AO11:AO23)</f>
        <v>0</v>
      </c>
      <c r="AP24" s="127">
        <f>SUBTOTAL(9,AP11:AP23)</f>
        <v>10239488.939999999</v>
      </c>
      <c r="AQ24" s="126"/>
      <c r="AR24" s="125">
        <f>SUBTOTAL(9,AR11:AR23)</f>
        <v>0</v>
      </c>
      <c r="AT24" s="125">
        <f>SUBTOTAL(9,AT11:AT23)</f>
        <v>0</v>
      </c>
      <c r="AU24" s="126"/>
      <c r="AV24" s="125">
        <f>SUBTOTAL(9,AV11:AV23)</f>
        <v>10239488.939999999</v>
      </c>
      <c r="AW24" s="126"/>
      <c r="AX24" s="125">
        <f>SUBTOTAL(9,AX11:AX23)</f>
        <v>160000</v>
      </c>
      <c r="AY24" s="126"/>
      <c r="AZ24" s="127">
        <f>SUBTOTAL(9,AZ11:AZ23)</f>
        <v>10582494</v>
      </c>
      <c r="BA24" s="125">
        <f>SUBTOTAL(9,BA11:BA23)</f>
        <v>10596837</v>
      </c>
      <c r="BB24" s="125"/>
      <c r="BC24" s="125"/>
      <c r="BD24" s="98">
        <f t="shared" si="5"/>
        <v>29606.939999999478</v>
      </c>
      <c r="BE24" s="126"/>
      <c r="BF24" s="126"/>
      <c r="BG24" s="126"/>
    </row>
    <row r="25" spans="1:60" ht="9" customHeight="1">
      <c r="A25" s="77"/>
      <c r="B25" s="77"/>
      <c r="C25" s="77"/>
      <c r="D25" s="90"/>
      <c r="E25" s="90"/>
      <c r="F25" s="3"/>
      <c r="G25" s="80"/>
      <c r="H25" s="87"/>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5"/>
      <c r="AL25" s="83"/>
      <c r="AM25" s="83"/>
      <c r="AN25" s="100"/>
      <c r="AO25" s="100"/>
      <c r="AP25" s="100"/>
      <c r="AQ25" s="83"/>
      <c r="AR25" s="83"/>
      <c r="AS25" s="83"/>
      <c r="AT25" s="83"/>
      <c r="AU25" s="83"/>
      <c r="AV25" s="83"/>
      <c r="AW25" s="83"/>
      <c r="AX25" s="83"/>
      <c r="AY25" s="83"/>
      <c r="AZ25" s="83"/>
      <c r="BA25" s="83"/>
      <c r="BB25" s="83"/>
      <c r="BC25" s="83"/>
      <c r="BD25" s="83"/>
      <c r="BE25" s="83"/>
      <c r="BF25" s="83"/>
      <c r="BG25" s="83"/>
      <c r="BH25" s="19"/>
    </row>
    <row r="26" spans="1:60">
      <c r="L26" s="168"/>
      <c r="M26" s="168"/>
      <c r="N26" s="168"/>
      <c r="O26" s="168"/>
      <c r="P26" s="168"/>
      <c r="Q26" s="168"/>
      <c r="S26" s="168"/>
      <c r="T26" s="168"/>
      <c r="U26" s="168"/>
      <c r="W26" s="168"/>
      <c r="X26" s="168"/>
      <c r="Y26" s="168"/>
      <c r="AA26" s="168"/>
      <c r="AC26" s="168"/>
      <c r="AE26" s="168"/>
      <c r="AI26" s="168"/>
      <c r="AK26" s="210"/>
      <c r="AM26" s="168"/>
      <c r="AQ26" s="168"/>
      <c r="AS26" s="168"/>
      <c r="AU26" s="168"/>
    </row>
    <row r="27" spans="1:60">
      <c r="AK27" s="212"/>
    </row>
    <row r="62" spans="18:63">
      <c r="R62" s="7">
        <v>420044982</v>
      </c>
      <c r="BI62" s="211"/>
      <c r="BJ62" s="7"/>
      <c r="BK62" s="7"/>
    </row>
    <row r="63" spans="18:63">
      <c r="BI63" s="211"/>
      <c r="BJ63" s="7"/>
    </row>
  </sheetData>
  <autoFilter ref="A9:BH25"/>
  <mergeCells count="8">
    <mergeCell ref="A8:E8"/>
    <mergeCell ref="AG2:AH2"/>
    <mergeCell ref="AG3:AH3"/>
    <mergeCell ref="AG4:AH4"/>
    <mergeCell ref="AB4:AD4"/>
    <mergeCell ref="A6:F6"/>
    <mergeCell ref="A7:F7"/>
    <mergeCell ref="AB5:AD5"/>
  </mergeCells>
  <phoneticPr fontId="3" type="noConversion"/>
  <conditionalFormatting sqref="F1:F1048576">
    <cfRule type="cellIs" dxfId="3" priority="1" stopIfTrue="1" operator="between">
      <formula>610000</formula>
      <formula>619999</formula>
    </cfRule>
  </conditionalFormatting>
  <pageMargins left="0.54" right="0.25" top="0.24" bottom="0.49" header="0.25" footer="0"/>
  <pageSetup scale="77" fitToHeight="0" orientation="landscape" r:id="rId1"/>
  <headerFooter alignWithMargins="0">
    <oddFooter>&amp;C&amp;8Detail of Expenditures Budget By Department, Page &amp;P of &amp;N</oddFooter>
  </headerFooter>
  <legacyDrawing r:id="rId2"/>
</worksheet>
</file>

<file path=xl/worksheets/sheet34.xml><?xml version="1.0" encoding="utf-8"?>
<worksheet xmlns="http://schemas.openxmlformats.org/spreadsheetml/2006/main" xmlns:r="http://schemas.openxmlformats.org/officeDocument/2006/relationships">
  <sheetPr codeName="Sheet35" enableFormatConditionsCalculation="0">
    <tabColor indexed="17"/>
    <pageSetUpPr fitToPage="1"/>
  </sheetPr>
  <dimension ref="A1:BK60"/>
  <sheetViews>
    <sheetView zoomScale="87" zoomScaleNormal="90" workbookViewId="0">
      <pane xSplit="8" ySplit="9" topLeftCell="AN10" activePane="bottomRight" state="frozen"/>
      <selection activeCell="A28" sqref="A28"/>
      <selection pane="topRight" activeCell="A28" sqref="A28"/>
      <selection pane="bottomLeft" activeCell="A28" sqref="A28"/>
      <selection pane="bottomRight"/>
    </sheetView>
  </sheetViews>
  <sheetFormatPr defaultRowHeight="12.75" outlineLevelRow="1" outlineLevelCol="1"/>
  <cols>
    <col min="1" max="1" width="7" style="39" customWidth="1" outlineLevel="1"/>
    <col min="2" max="2" width="6.140625" style="39" customWidth="1" outlineLevel="1"/>
    <col min="3" max="3" width="3.7109375" style="39" customWidth="1" outlineLevel="1"/>
    <col min="4" max="5" width="4.85546875" style="168" customWidth="1" outlineLevel="1"/>
    <col min="6" max="6" width="8.7109375" style="40" customWidth="1" outlineLevel="1"/>
    <col min="7" max="7" width="28.5703125" style="4" customWidth="1"/>
    <col min="8" max="8" width="16.5703125" style="4" hidden="1" customWidth="1"/>
    <col min="9" max="10" width="15.140625" style="4" hidden="1" customWidth="1" collapsed="1"/>
    <col min="11" max="11" width="39.5703125" style="4" hidden="1" customWidth="1"/>
    <col min="12" max="12" width="15.140625" style="7" bestFit="1" customWidth="1" collapsed="1"/>
    <col min="13" max="13" width="31.7109375" style="7" hidden="1" customWidth="1"/>
    <col min="14" max="14" width="35.5703125" style="7" hidden="1" customWidth="1" collapsed="1"/>
    <col min="15" max="15" width="0.140625" style="7" customWidth="1"/>
    <col min="16" max="16" width="25.28515625" style="7" hidden="1" customWidth="1" outlineLevel="1" collapsed="1"/>
    <col min="17" max="17" width="23.42578125" style="7" hidden="1" customWidth="1" outlineLevel="1"/>
    <col min="18" max="18" width="20.5703125" style="7" hidden="1" customWidth="1" outlineLevel="1" collapsed="1"/>
    <col min="19" max="19" width="18" style="7" hidden="1" customWidth="1" outlineLevel="1"/>
    <col min="20" max="20" width="19.5703125" style="7" hidden="1" customWidth="1" outlineLevel="1"/>
    <col min="21" max="21" width="18.42578125" style="7" hidden="1" customWidth="1" outlineLevel="1"/>
    <col min="22" max="22" width="13.140625" style="7" hidden="1" customWidth="1"/>
    <col min="23" max="23" width="14.140625" style="7" hidden="1" customWidth="1"/>
    <col min="24" max="24" width="14.5703125" style="7" customWidth="1" collapsed="1"/>
    <col min="25" max="25" width="0.85546875" style="7" hidden="1" customWidth="1"/>
    <col min="26" max="26" width="16.140625" style="7" hidden="1" customWidth="1"/>
    <col min="27" max="27" width="0.140625" style="7" hidden="1" customWidth="1"/>
    <col min="28" max="28" width="16.140625" style="7" hidden="1" customWidth="1" outlineLevel="1"/>
    <col min="29" max="29" width="0.42578125" style="7" hidden="1" customWidth="1" outlineLevel="1"/>
    <col min="30" max="30" width="17.85546875" style="7" hidden="1" customWidth="1" outlineLevel="1"/>
    <col min="31" max="31" width="0.42578125" style="7" hidden="1" customWidth="1" outlineLevel="1"/>
    <col min="32" max="32" width="16.140625" style="7" hidden="1" customWidth="1" collapsed="1"/>
    <col min="33" max="33" width="16" style="7" hidden="1" customWidth="1" outlineLevel="1"/>
    <col min="34" max="34" width="17" style="7" hidden="1" customWidth="1" outlineLevel="1"/>
    <col min="35" max="35" width="10.5703125" style="7" hidden="1" customWidth="1" outlineLevel="1"/>
    <col min="36" max="36" width="16.140625" style="7" hidden="1" customWidth="1" collapsed="1"/>
    <col min="37" max="37" width="0.7109375" style="7" hidden="1" customWidth="1"/>
    <col min="38" max="38" width="16.140625" style="7" hidden="1" customWidth="1" outlineLevel="1"/>
    <col min="39" max="39" width="4.140625" style="7" hidden="1" customWidth="1" outlineLevel="1"/>
    <col min="40" max="40" width="16.140625" style="17" customWidth="1" collapsed="1"/>
    <col min="41" max="41" width="16.140625" style="17" hidden="1" customWidth="1" collapsed="1"/>
    <col min="42" max="42" width="16.140625" style="17" customWidth="1" collapsed="1"/>
    <col min="43" max="43" width="0.7109375" style="7" hidden="1" customWidth="1" outlineLevel="1"/>
    <col min="44" max="44" width="22.140625" style="7" hidden="1" customWidth="1" outlineLevel="1"/>
    <col min="45" max="45" width="0.42578125" style="7" hidden="1" customWidth="1" outlineLevel="1"/>
    <col min="46" max="46" width="17.85546875" style="7" hidden="1" customWidth="1" outlineLevel="1"/>
    <col min="47" max="47" width="0.42578125" style="7" hidden="1" customWidth="1" outlineLevel="1"/>
    <col min="48" max="48" width="18" style="7" hidden="1" customWidth="1" collapsed="1"/>
    <col min="49" max="49" width="0.5703125" style="7" hidden="1" customWidth="1"/>
    <col min="50" max="50" width="18" style="7" hidden="1" customWidth="1"/>
    <col min="51" max="51" width="0.5703125" style="7" customWidth="1"/>
    <col min="52" max="52" width="15.140625" style="7" customWidth="1"/>
    <col min="53" max="53" width="15.7109375" style="7" bestFit="1" customWidth="1"/>
    <col min="54" max="54" width="15.140625" style="7" customWidth="1"/>
    <col min="55" max="55" width="23.140625" style="7" customWidth="1"/>
    <col min="56" max="56" width="19.85546875" style="7" bestFit="1" customWidth="1"/>
    <col min="57" max="59" width="12.42578125" style="7" customWidth="1"/>
    <col min="60" max="60" width="3.85546875" style="76" customWidth="1"/>
    <col min="61" max="61" width="14.5703125" style="12" bestFit="1" customWidth="1"/>
  </cols>
  <sheetData>
    <row r="1" spans="1:62" ht="15">
      <c r="A1" s="1" t="s">
        <v>0</v>
      </c>
      <c r="B1" s="2"/>
      <c r="C1" s="2"/>
      <c r="D1" s="1"/>
      <c r="E1" s="1"/>
      <c r="F1" s="3"/>
      <c r="H1" s="5"/>
      <c r="I1" s="6"/>
      <c r="T1" s="8"/>
      <c r="Z1" s="9"/>
      <c r="AB1" s="9"/>
      <c r="AD1" s="9"/>
      <c r="AF1" s="9"/>
      <c r="AH1" s="10" t="e">
        <f>+#REF!</f>
        <v>#REF!</v>
      </c>
      <c r="AJ1" s="9"/>
      <c r="AK1" s="9"/>
      <c r="AN1" s="9"/>
      <c r="AO1" s="9"/>
      <c r="AP1" s="9"/>
      <c r="AR1" s="9"/>
      <c r="AT1" s="9"/>
      <c r="AV1" s="9"/>
      <c r="AW1" s="9"/>
      <c r="AX1" s="9"/>
      <c r="AY1" s="9"/>
      <c r="AZ1" s="9"/>
      <c r="BA1" s="9"/>
      <c r="BB1" s="9"/>
      <c r="BC1" s="9"/>
      <c r="BD1" s="9"/>
      <c r="BE1" s="9"/>
      <c r="BF1" s="9"/>
      <c r="BG1" s="9"/>
      <c r="BH1" s="11"/>
    </row>
    <row r="2" spans="1:62" ht="15">
      <c r="A2" s="1" t="s">
        <v>1053</v>
      </c>
      <c r="B2" s="2"/>
      <c r="C2" s="2"/>
      <c r="D2" s="1"/>
      <c r="E2" s="1"/>
      <c r="F2" s="3"/>
      <c r="H2" s="5"/>
      <c r="I2" s="13"/>
      <c r="J2" s="14"/>
      <c r="K2" s="14"/>
      <c r="L2" s="15"/>
      <c r="M2" s="15"/>
      <c r="N2" s="15"/>
      <c r="O2" s="15"/>
      <c r="P2" s="15"/>
      <c r="R2" s="15"/>
      <c r="T2" s="8"/>
      <c r="V2" s="15"/>
      <c r="X2" s="15"/>
      <c r="Z2" s="15"/>
      <c r="AB2" s="15"/>
      <c r="AD2" s="15"/>
      <c r="AF2" s="15"/>
      <c r="AG2" s="238" t="s">
        <v>1</v>
      </c>
      <c r="AH2" s="238"/>
      <c r="AI2" s="17"/>
      <c r="AJ2" s="18"/>
      <c r="AK2" s="15"/>
      <c r="AL2" s="10" t="e">
        <f>+#REF!</f>
        <v>#REF!</v>
      </c>
      <c r="AN2" s="18"/>
      <c r="AO2" s="18"/>
      <c r="AP2" s="18"/>
      <c r="AR2" s="15"/>
      <c r="AT2" s="15"/>
      <c r="AV2" s="15"/>
      <c r="AW2" s="15"/>
      <c r="AX2" s="15"/>
      <c r="AY2" s="15"/>
      <c r="AZ2" s="15"/>
      <c r="BA2" s="15"/>
      <c r="BB2" s="15"/>
      <c r="BC2" s="15"/>
      <c r="BD2" s="15"/>
      <c r="BE2" s="15"/>
      <c r="BF2" s="15"/>
      <c r="BG2" s="15"/>
      <c r="BH2" s="19"/>
    </row>
    <row r="3" spans="1:62">
      <c r="A3" s="20" t="str">
        <f>IF(G7=1,"DETAIL OF EXPENDITURES BUDGET BY DEPARTMENT WITH COMPARATIVE AMOUNTS", "SUMMARY OF EXPENDITURES BUDGET BY DEPARTMENT WITH COMPARATIVE AMOUNTS")</f>
        <v>DETAIL OF EXPENDITURES BUDGET BY DEPARTMENT WITH COMPARATIVE AMOUNTS</v>
      </c>
      <c r="B3" s="21"/>
      <c r="C3" s="21"/>
      <c r="D3" s="22"/>
      <c r="E3" s="22"/>
      <c r="F3" s="3"/>
      <c r="H3" s="5"/>
      <c r="I3" s="23"/>
      <c r="J3" s="15"/>
      <c r="L3" s="15"/>
      <c r="M3" s="10"/>
      <c r="N3" s="10"/>
      <c r="O3" s="10"/>
      <c r="P3" s="24"/>
      <c r="R3" s="24"/>
      <c r="V3" s="24"/>
      <c r="W3" s="24"/>
      <c r="X3" s="15"/>
      <c r="Y3" s="24"/>
      <c r="AA3" s="24"/>
      <c r="AB3" s="24" t="e">
        <f>+#REF!</f>
        <v>#REF!</v>
      </c>
      <c r="AC3" s="24"/>
      <c r="AD3" s="24" t="e">
        <f>+#REF!</f>
        <v>#REF!</v>
      </c>
      <c r="AE3" s="24"/>
      <c r="AF3" s="10" t="e">
        <f>+#REF!</f>
        <v>#REF!</v>
      </c>
      <c r="AG3" s="239" t="s">
        <v>2</v>
      </c>
      <c r="AH3" s="239"/>
      <c r="AI3" s="25"/>
      <c r="AJ3" s="25" t="e">
        <f>+#REF!</f>
        <v>#REF!</v>
      </c>
      <c r="AK3" s="24"/>
      <c r="AL3" s="16" t="s">
        <v>1</v>
      </c>
      <c r="AM3" s="25"/>
      <c r="AN3" s="25"/>
      <c r="AO3" s="25"/>
      <c r="AP3" s="25"/>
      <c r="AQ3" s="24"/>
      <c r="AR3" s="24" t="e">
        <f>+#REF!</f>
        <v>#REF!</v>
      </c>
      <c r="AS3" s="24"/>
      <c r="AT3" s="24" t="e">
        <f>+#REF!</f>
        <v>#REF!</v>
      </c>
      <c r="AU3" s="24"/>
      <c r="AV3" s="24" t="e">
        <f>+#REF!</f>
        <v>#REF!</v>
      </c>
      <c r="AW3" s="24"/>
      <c r="AX3" s="24" t="e">
        <f>+#REF!</f>
        <v>#REF!</v>
      </c>
      <c r="AY3" s="24"/>
      <c r="AZ3" s="24"/>
      <c r="BA3" s="24"/>
      <c r="BB3" s="24"/>
      <c r="BC3" s="24"/>
      <c r="BD3" s="26"/>
      <c r="BE3" s="26"/>
      <c r="BF3" s="26"/>
      <c r="BG3" s="26"/>
      <c r="BH3" s="27"/>
    </row>
    <row r="4" spans="1:62" ht="15">
      <c r="A4" s="28" t="s">
        <v>1070</v>
      </c>
      <c r="B4" s="29"/>
      <c r="C4" s="29"/>
      <c r="D4" s="28"/>
      <c r="E4" s="28"/>
      <c r="F4" s="3"/>
      <c r="H4" s="30"/>
      <c r="I4" s="31"/>
      <c r="J4" s="31"/>
      <c r="L4" s="31"/>
      <c r="M4" s="32"/>
      <c r="N4" s="33"/>
      <c r="O4" s="32"/>
      <c r="P4" s="33"/>
      <c r="R4" s="33"/>
      <c r="T4" s="33"/>
      <c r="X4" s="31"/>
      <c r="Z4" s="10"/>
      <c r="AB4" s="241"/>
      <c r="AC4" s="241"/>
      <c r="AD4" s="241"/>
      <c r="AE4" s="35"/>
      <c r="AF4" s="34"/>
      <c r="AG4" s="240"/>
      <c r="AH4" s="240"/>
      <c r="AI4" s="17"/>
      <c r="AJ4" s="16"/>
      <c r="AK4" s="24"/>
      <c r="AL4" s="16"/>
      <c r="AM4" s="17"/>
      <c r="AN4" s="31"/>
      <c r="AO4" s="31" t="e">
        <f>+#REF!</f>
        <v>#REF!</v>
      </c>
      <c r="AP4" s="31"/>
      <c r="AR4" s="34" t="s">
        <v>5</v>
      </c>
      <c r="AU4" s="35"/>
      <c r="AV4" s="34"/>
      <c r="AW4" s="34"/>
      <c r="AX4" s="34" t="s">
        <v>5</v>
      </c>
      <c r="AY4" s="34"/>
      <c r="AZ4" s="34"/>
      <c r="BA4" s="34"/>
      <c r="BB4" s="34"/>
      <c r="BC4" s="34"/>
      <c r="BD4" s="37"/>
      <c r="BE4" s="37"/>
      <c r="BF4" s="37"/>
      <c r="BG4" s="37"/>
      <c r="BH4" s="38"/>
    </row>
    <row r="5" spans="1:62" ht="15">
      <c r="B5" s="29"/>
      <c r="C5" s="29"/>
      <c r="D5" s="28"/>
      <c r="E5" s="28"/>
      <c r="G5" s="28"/>
      <c r="H5" s="5"/>
      <c r="I5" s="41" t="s">
        <v>6</v>
      </c>
      <c r="J5" s="42" t="s">
        <v>7</v>
      </c>
      <c r="L5" s="16" t="s">
        <v>8</v>
      </c>
      <c r="M5" s="16"/>
      <c r="N5" s="16" t="s">
        <v>9</v>
      </c>
      <c r="O5" s="16"/>
      <c r="P5" s="16" t="s">
        <v>9</v>
      </c>
      <c r="Q5" s="17"/>
      <c r="R5" s="43"/>
      <c r="S5" s="17"/>
      <c r="T5" s="16"/>
      <c r="U5" s="17"/>
      <c r="V5" s="16" t="s">
        <v>9</v>
      </c>
      <c r="X5" s="16" t="s">
        <v>9</v>
      </c>
      <c r="Z5" s="34" t="s">
        <v>1</v>
      </c>
      <c r="AB5" s="243" t="s">
        <v>10</v>
      </c>
      <c r="AC5" s="243"/>
      <c r="AD5" s="243"/>
      <c r="AE5" s="35"/>
      <c r="AF5" s="34" t="s">
        <v>1</v>
      </c>
      <c r="AG5" s="17"/>
      <c r="AH5" s="16" t="s">
        <v>11</v>
      </c>
      <c r="AI5" s="17"/>
      <c r="AJ5" s="16" t="s">
        <v>1</v>
      </c>
      <c r="AK5" s="24"/>
      <c r="AL5" s="43" t="s">
        <v>12</v>
      </c>
      <c r="AM5" s="17"/>
      <c r="AN5" s="16" t="s">
        <v>1</v>
      </c>
      <c r="AO5" s="45" t="s">
        <v>1</v>
      </c>
      <c r="AP5" s="46" t="s">
        <v>5</v>
      </c>
      <c r="AQ5" s="47"/>
      <c r="AR5" s="48" t="s">
        <v>10</v>
      </c>
      <c r="AS5" s="47"/>
      <c r="AT5" s="47"/>
      <c r="AU5" s="47"/>
      <c r="AV5" s="46" t="s">
        <v>5</v>
      </c>
      <c r="AW5" s="34"/>
      <c r="AX5" s="49" t="s">
        <v>3</v>
      </c>
      <c r="AY5" s="34"/>
      <c r="AZ5" s="34" t="s">
        <v>1054</v>
      </c>
      <c r="BA5" s="34" t="s">
        <v>1054</v>
      </c>
      <c r="BB5" s="34" t="s">
        <v>1069</v>
      </c>
      <c r="BC5" s="34"/>
      <c r="BD5" s="50" t="s">
        <v>13</v>
      </c>
      <c r="BE5" s="37"/>
      <c r="BF5" s="37"/>
      <c r="BG5" s="37"/>
      <c r="BH5" s="51"/>
    </row>
    <row r="6" spans="1:62">
      <c r="A6" s="242"/>
      <c r="B6" s="242"/>
      <c r="C6" s="242"/>
      <c r="D6" s="242"/>
      <c r="E6" s="242"/>
      <c r="F6" s="242"/>
      <c r="G6" s="22"/>
      <c r="H6" s="5"/>
      <c r="I6" s="52" t="s">
        <v>14</v>
      </c>
      <c r="J6" s="52" t="s">
        <v>14</v>
      </c>
      <c r="L6" s="43" t="s">
        <v>14</v>
      </c>
      <c r="M6" s="43"/>
      <c r="N6" s="43" t="s">
        <v>15</v>
      </c>
      <c r="O6" s="43"/>
      <c r="P6" s="43" t="s">
        <v>4</v>
      </c>
      <c r="Q6" s="17"/>
      <c r="R6" s="43" t="s">
        <v>4</v>
      </c>
      <c r="S6" s="43"/>
      <c r="T6" s="43" t="s">
        <v>16</v>
      </c>
      <c r="U6" s="43"/>
      <c r="V6" s="43" t="s">
        <v>4</v>
      </c>
      <c r="W6" s="43"/>
      <c r="X6" s="43" t="s">
        <v>14</v>
      </c>
      <c r="Y6" s="43"/>
      <c r="Z6" s="34" t="s">
        <v>17</v>
      </c>
      <c r="AA6" s="43"/>
      <c r="AB6" s="53" t="s">
        <v>16</v>
      </c>
      <c r="AC6" s="53"/>
      <c r="AD6" s="34"/>
      <c r="AE6" s="53"/>
      <c r="AF6" s="34" t="s">
        <v>17</v>
      </c>
      <c r="AG6" s="43" t="s">
        <v>16</v>
      </c>
      <c r="AH6" s="16" t="s">
        <v>18</v>
      </c>
      <c r="AI6" s="43"/>
      <c r="AJ6" s="16" t="s">
        <v>19</v>
      </c>
      <c r="AK6" s="24"/>
      <c r="AL6" s="43" t="s">
        <v>16</v>
      </c>
      <c r="AM6" s="43"/>
      <c r="AN6" s="43" t="s">
        <v>14</v>
      </c>
      <c r="AO6" s="45" t="s">
        <v>20</v>
      </c>
      <c r="AP6" s="43" t="s">
        <v>14</v>
      </c>
      <c r="AQ6" s="54"/>
      <c r="AR6" s="54" t="s">
        <v>16</v>
      </c>
      <c r="AS6" s="54"/>
      <c r="AT6" s="46"/>
      <c r="AU6" s="54"/>
      <c r="AV6" s="46" t="s">
        <v>19</v>
      </c>
      <c r="AW6" s="34"/>
      <c r="AX6" s="55" t="s">
        <v>16</v>
      </c>
      <c r="AY6" s="34"/>
      <c r="AZ6" s="34" t="s">
        <v>17</v>
      </c>
      <c r="BA6" s="34" t="s">
        <v>17</v>
      </c>
      <c r="BB6" s="34" t="s">
        <v>19</v>
      </c>
      <c r="BC6" s="56"/>
      <c r="BD6" s="50" t="s">
        <v>21</v>
      </c>
      <c r="BE6" s="37"/>
      <c r="BF6" s="37"/>
      <c r="BG6" s="37"/>
      <c r="BH6" s="57"/>
    </row>
    <row r="7" spans="1:62" ht="15">
      <c r="A7" s="237"/>
      <c r="B7" s="237"/>
      <c r="C7" s="237"/>
      <c r="D7" s="237"/>
      <c r="E7" s="237"/>
      <c r="F7" s="237"/>
      <c r="G7" s="59">
        <v>1</v>
      </c>
      <c r="H7" s="60"/>
      <c r="I7" s="52" t="s">
        <v>22</v>
      </c>
      <c r="J7" s="52" t="s">
        <v>22</v>
      </c>
      <c r="L7" s="43" t="s">
        <v>22</v>
      </c>
      <c r="M7" s="43"/>
      <c r="N7" s="43" t="s">
        <v>23</v>
      </c>
      <c r="O7" s="43"/>
      <c r="P7" s="43" t="s">
        <v>24</v>
      </c>
      <c r="Q7" s="43"/>
      <c r="R7" s="43" t="s">
        <v>24</v>
      </c>
      <c r="S7" s="43"/>
      <c r="T7" s="43" t="s">
        <v>25</v>
      </c>
      <c r="U7" s="43"/>
      <c r="V7" s="43" t="s">
        <v>24</v>
      </c>
      <c r="W7" s="43"/>
      <c r="X7" s="43" t="s">
        <v>22</v>
      </c>
      <c r="Y7" s="43"/>
      <c r="Z7" s="53" t="s">
        <v>15</v>
      </c>
      <c r="AA7" s="43"/>
      <c r="AB7" s="53" t="s">
        <v>26</v>
      </c>
      <c r="AC7" s="53"/>
      <c r="AD7" s="53"/>
      <c r="AE7" s="53"/>
      <c r="AF7" s="53" t="s">
        <v>4</v>
      </c>
      <c r="AG7" s="43" t="s">
        <v>26</v>
      </c>
      <c r="AH7" s="43" t="s">
        <v>27</v>
      </c>
      <c r="AI7" s="43"/>
      <c r="AJ7" s="43" t="s">
        <v>4</v>
      </c>
      <c r="AK7" s="24"/>
      <c r="AL7" s="43" t="s">
        <v>26</v>
      </c>
      <c r="AM7" s="43"/>
      <c r="AN7" s="43" t="s">
        <v>22</v>
      </c>
      <c r="AO7" s="61" t="s">
        <v>22</v>
      </c>
      <c r="AP7" s="43" t="s">
        <v>22</v>
      </c>
      <c r="AQ7" s="54"/>
      <c r="AR7" s="54" t="s">
        <v>26</v>
      </c>
      <c r="AS7" s="54"/>
      <c r="AT7" s="54"/>
      <c r="AU7" s="54"/>
      <c r="AV7" s="54" t="s">
        <v>4</v>
      </c>
      <c r="AW7" s="53"/>
      <c r="AX7" s="55" t="s">
        <v>26</v>
      </c>
      <c r="AY7" s="53"/>
      <c r="AZ7" s="34" t="s">
        <v>15</v>
      </c>
      <c r="BA7" s="53" t="s">
        <v>4</v>
      </c>
      <c r="BB7" s="34" t="s">
        <v>15</v>
      </c>
      <c r="BC7" s="56"/>
      <c r="BD7" s="50" t="s">
        <v>28</v>
      </c>
      <c r="BE7" s="62"/>
      <c r="BF7" s="62"/>
      <c r="BG7" s="62"/>
      <c r="BH7" s="57"/>
      <c r="BI7" s="63"/>
    </row>
    <row r="8" spans="1:62" ht="15">
      <c r="A8" s="237" t="s">
        <v>29</v>
      </c>
      <c r="B8" s="237"/>
      <c r="C8" s="237"/>
      <c r="D8" s="237"/>
      <c r="E8" s="58"/>
      <c r="F8" s="64" t="s">
        <v>30</v>
      </c>
      <c r="G8" s="64" t="s">
        <v>31</v>
      </c>
      <c r="H8" s="60"/>
      <c r="I8" s="65" t="s">
        <v>32</v>
      </c>
      <c r="J8" s="65" t="s">
        <v>32</v>
      </c>
      <c r="L8" s="66" t="s">
        <v>32</v>
      </c>
      <c r="M8" s="36"/>
      <c r="N8" s="36" t="s">
        <v>2</v>
      </c>
      <c r="O8" s="36"/>
      <c r="P8" s="36" t="s">
        <v>33</v>
      </c>
      <c r="Q8" s="36"/>
      <c r="R8" s="36" t="s">
        <v>34</v>
      </c>
      <c r="S8" s="36"/>
      <c r="T8" s="36" t="s">
        <v>35</v>
      </c>
      <c r="U8" s="36"/>
      <c r="V8" s="36" t="s">
        <v>36</v>
      </c>
      <c r="W8" s="36"/>
      <c r="X8" s="66" t="s">
        <v>32</v>
      </c>
      <c r="Y8" s="36"/>
      <c r="Z8" s="44" t="s">
        <v>24</v>
      </c>
      <c r="AA8" s="36"/>
      <c r="AB8" s="44" t="s">
        <v>35</v>
      </c>
      <c r="AC8" s="44"/>
      <c r="AD8" s="44" t="s">
        <v>37</v>
      </c>
      <c r="AE8" s="44"/>
      <c r="AF8" s="44" t="s">
        <v>38</v>
      </c>
      <c r="AG8" s="36" t="s">
        <v>35</v>
      </c>
      <c r="AH8" s="36" t="s">
        <v>39</v>
      </c>
      <c r="AI8" s="36"/>
      <c r="AJ8" s="36" t="s">
        <v>40</v>
      </c>
      <c r="AK8" s="24"/>
      <c r="AL8" s="36" t="s">
        <v>35</v>
      </c>
      <c r="AM8" s="36"/>
      <c r="AN8" s="36" t="s">
        <v>32</v>
      </c>
      <c r="AO8" s="67" t="s">
        <v>32</v>
      </c>
      <c r="AP8" s="36" t="s">
        <v>32</v>
      </c>
      <c r="AQ8" s="48"/>
      <c r="AR8" s="48" t="s">
        <v>35</v>
      </c>
      <c r="AS8" s="48"/>
      <c r="AT8" s="48" t="s">
        <v>37</v>
      </c>
      <c r="AU8" s="48"/>
      <c r="AV8" s="48" t="s">
        <v>38</v>
      </c>
      <c r="AW8" s="44"/>
      <c r="AX8" s="49" t="s">
        <v>35</v>
      </c>
      <c r="AY8" s="44"/>
      <c r="AZ8" s="44" t="s">
        <v>2</v>
      </c>
      <c r="BA8" s="44" t="s">
        <v>40</v>
      </c>
      <c r="BB8" s="44" t="s">
        <v>2</v>
      </c>
      <c r="BC8" s="56"/>
      <c r="BD8" s="50" t="s">
        <v>41</v>
      </c>
      <c r="BE8" s="68"/>
      <c r="BF8" s="68"/>
      <c r="BG8" s="68"/>
      <c r="BH8" s="69"/>
    </row>
    <row r="9" spans="1:62" ht="15">
      <c r="A9" s="58"/>
      <c r="B9" s="58"/>
      <c r="C9" s="58"/>
      <c r="D9" s="64"/>
      <c r="E9" s="64"/>
      <c r="F9" s="64"/>
      <c r="G9" s="70"/>
      <c r="H9" s="60"/>
      <c r="J9" s="71"/>
      <c r="AK9" s="24"/>
      <c r="AZ9" s="34"/>
      <c r="BB9" s="34"/>
      <c r="BC9" s="56"/>
      <c r="BH9" s="72">
        <v>2</v>
      </c>
    </row>
    <row r="10" spans="1:62" ht="20.100000000000001" customHeight="1" outlineLevel="1">
      <c r="A10" s="145" t="s">
        <v>1005</v>
      </c>
      <c r="B10" s="77"/>
      <c r="C10" s="77"/>
      <c r="D10" s="90"/>
      <c r="E10" s="90"/>
      <c r="F10" s="3"/>
      <c r="H10" s="87"/>
      <c r="L10" s="44"/>
      <c r="M10" s="83"/>
      <c r="N10" s="83"/>
      <c r="O10" s="83"/>
      <c r="P10" s="83"/>
      <c r="Q10" s="83"/>
      <c r="R10" s="83"/>
      <c r="S10" s="83"/>
      <c r="T10" s="83"/>
      <c r="U10" s="83"/>
      <c r="V10" s="83"/>
      <c r="W10" s="83"/>
      <c r="X10" s="83"/>
      <c r="Y10" s="83"/>
      <c r="Z10" s="83"/>
      <c r="AA10" s="83"/>
      <c r="AB10" s="83"/>
      <c r="AD10" s="83"/>
      <c r="AE10" s="83"/>
      <c r="AF10" s="83"/>
      <c r="AG10" s="83"/>
      <c r="AH10" s="83"/>
      <c r="AI10" s="83"/>
      <c r="AJ10" s="83"/>
      <c r="AK10" s="85"/>
      <c r="AL10" s="83"/>
      <c r="AM10" s="83"/>
      <c r="AN10" s="100"/>
      <c r="AO10" s="100"/>
      <c r="AP10" s="100"/>
      <c r="AQ10" s="83"/>
      <c r="AR10" s="83"/>
      <c r="AT10" s="83"/>
      <c r="AU10" s="83"/>
      <c r="AV10" s="83"/>
      <c r="AW10" s="83"/>
      <c r="AX10" s="83"/>
      <c r="AY10" s="83"/>
      <c r="AZ10" s="83"/>
      <c r="BA10" s="83"/>
      <c r="BB10" s="83"/>
      <c r="BC10" s="83"/>
      <c r="BD10" s="83"/>
      <c r="BE10" s="83"/>
      <c r="BF10" s="83"/>
      <c r="BG10" s="83"/>
      <c r="BH10" s="19"/>
    </row>
    <row r="11" spans="1:62" ht="20.100000000000001" customHeight="1" outlineLevel="1">
      <c r="A11" s="77" t="s">
        <v>43</v>
      </c>
      <c r="B11" s="77" t="s">
        <v>203</v>
      </c>
      <c r="C11" s="77" t="s">
        <v>1112</v>
      </c>
      <c r="D11" s="78" t="s">
        <v>46</v>
      </c>
      <c r="E11" s="78" t="str">
        <f>+D11</f>
        <v>000</v>
      </c>
      <c r="F11" s="79">
        <v>611992</v>
      </c>
      <c r="G11" s="102" t="s">
        <v>1006</v>
      </c>
      <c r="H11" s="87"/>
      <c r="I11" s="82">
        <v>305956</v>
      </c>
      <c r="J11" s="82">
        <v>62825</v>
      </c>
      <c r="L11" s="83">
        <v>0</v>
      </c>
      <c r="M11" s="83"/>
      <c r="N11" s="83">
        <v>45000</v>
      </c>
      <c r="O11" s="83"/>
      <c r="P11" s="83">
        <v>45000</v>
      </c>
      <c r="Q11" s="83"/>
      <c r="R11" s="83">
        <v>45000</v>
      </c>
      <c r="S11" s="83"/>
      <c r="T11" s="83">
        <v>0</v>
      </c>
      <c r="U11" s="83"/>
      <c r="V11" s="83">
        <v>45000</v>
      </c>
      <c r="W11" s="83"/>
      <c r="X11" s="83">
        <v>0</v>
      </c>
      <c r="Y11" s="83"/>
      <c r="Z11" s="83">
        <v>45000</v>
      </c>
      <c r="AA11" s="83"/>
      <c r="AB11" s="83"/>
      <c r="AD11" s="83"/>
      <c r="AE11" s="83"/>
      <c r="AF11" s="86">
        <f t="shared" ref="AF11:AF25" si="0">SUM(Z11:AE11)</f>
        <v>45000</v>
      </c>
      <c r="AG11" s="83">
        <v>0</v>
      </c>
      <c r="AH11" s="83">
        <v>0</v>
      </c>
      <c r="AI11" s="83"/>
      <c r="AJ11" s="86">
        <f t="shared" ref="AJ11:AJ25" si="1">SUM(AE11:AI11)</f>
        <v>45000</v>
      </c>
      <c r="AK11" s="85"/>
      <c r="AL11" s="83">
        <v>0</v>
      </c>
      <c r="AM11" s="83"/>
      <c r="AN11" s="86">
        <f>1337+66986</f>
        <v>68323</v>
      </c>
      <c r="AO11" s="86">
        <v>0</v>
      </c>
      <c r="AP11" s="86">
        <f>1410.96+3467.96+1977.43+6221.92+1364+3146.64+2919.05+3416.08+322.07+8877.26+3647.67</f>
        <v>36771.040000000001</v>
      </c>
      <c r="AQ11" s="83"/>
      <c r="AR11" s="83">
        <v>0</v>
      </c>
      <c r="AT11" s="83">
        <v>0</v>
      </c>
      <c r="AU11" s="83"/>
      <c r="AV11" s="86">
        <f t="shared" ref="AV11:AV25" si="2">SUM(AP11:AU11)</f>
        <v>36771.040000000001</v>
      </c>
      <c r="AW11" s="86"/>
      <c r="AX11" s="86">
        <v>0</v>
      </c>
      <c r="AY11" s="86"/>
      <c r="AZ11" s="86">
        <v>45000</v>
      </c>
      <c r="BA11" s="86">
        <v>45000</v>
      </c>
      <c r="BB11" s="213"/>
      <c r="BC11" s="86"/>
      <c r="BD11" s="84">
        <f t="shared" ref="BD11:BD26" si="3">+AP11-AN11</f>
        <v>-31551.96</v>
      </c>
      <c r="BE11" s="86"/>
      <c r="BF11" s="86"/>
      <c r="BG11" s="86"/>
      <c r="BH11" s="72">
        <v>1</v>
      </c>
      <c r="BJ11">
        <v>1</v>
      </c>
    </row>
    <row r="12" spans="1:62" ht="20.100000000000001" customHeight="1" outlineLevel="1">
      <c r="A12" s="77" t="s">
        <v>43</v>
      </c>
      <c r="B12" s="77" t="s">
        <v>203</v>
      </c>
      <c r="C12" s="77" t="s">
        <v>1112</v>
      </c>
      <c r="D12" s="78" t="s">
        <v>46</v>
      </c>
      <c r="E12" s="78" t="str">
        <f t="shared" ref="E12:E25" si="4">+D12</f>
        <v>000</v>
      </c>
      <c r="F12" s="3">
        <v>614011</v>
      </c>
      <c r="G12" s="102" t="s">
        <v>1007</v>
      </c>
      <c r="H12" s="87"/>
      <c r="I12" s="13">
        <v>1455695</v>
      </c>
      <c r="J12" s="13">
        <v>1359942</v>
      </c>
      <c r="L12" s="56">
        <v>1735168</v>
      </c>
      <c r="M12" s="56"/>
      <c r="N12" s="56">
        <v>1300000</v>
      </c>
      <c r="O12" s="56"/>
      <c r="P12" s="56">
        <v>1300000</v>
      </c>
      <c r="Q12" s="56"/>
      <c r="R12" s="56">
        <v>1366300</v>
      </c>
      <c r="S12" s="56"/>
      <c r="T12" s="56">
        <v>0</v>
      </c>
      <c r="U12" s="56"/>
      <c r="V12" s="56">
        <v>1366300</v>
      </c>
      <c r="W12" s="56"/>
      <c r="X12" s="56">
        <v>1402314.62</v>
      </c>
      <c r="Y12" s="56"/>
      <c r="Z12" s="56">
        <v>1500000</v>
      </c>
      <c r="AA12" s="56"/>
      <c r="AB12" s="56"/>
      <c r="AD12" s="56"/>
      <c r="AE12" s="56"/>
      <c r="AF12" s="56">
        <f t="shared" si="0"/>
        <v>1500000</v>
      </c>
      <c r="AG12" s="56">
        <v>0</v>
      </c>
      <c r="AH12" s="56">
        <v>0</v>
      </c>
      <c r="AI12" s="56"/>
      <c r="AJ12" s="56">
        <f t="shared" si="1"/>
        <v>1500000</v>
      </c>
      <c r="AK12" s="85"/>
      <c r="AL12" s="56">
        <v>0</v>
      </c>
      <c r="AM12" s="56"/>
      <c r="AN12" s="88">
        <v>1736604</v>
      </c>
      <c r="AO12" s="88">
        <v>0</v>
      </c>
      <c r="AP12" s="88">
        <v>1835622.12</v>
      </c>
      <c r="AQ12" s="56"/>
      <c r="AR12" s="56">
        <v>0</v>
      </c>
      <c r="AT12" s="56">
        <v>0</v>
      </c>
      <c r="AU12" s="56"/>
      <c r="AV12" s="56">
        <f t="shared" si="2"/>
        <v>1835622.12</v>
      </c>
      <c r="AW12" s="56"/>
      <c r="AX12" s="106">
        <v>200000</v>
      </c>
      <c r="AY12" s="56"/>
      <c r="AZ12" s="88">
        <v>1600000</v>
      </c>
      <c r="BA12" s="56">
        <v>1600000</v>
      </c>
      <c r="BB12" s="213"/>
      <c r="BC12" s="56"/>
      <c r="BD12" s="84">
        <f t="shared" si="3"/>
        <v>99018.120000000112</v>
      </c>
      <c r="BE12" s="56"/>
      <c r="BF12" s="56"/>
      <c r="BG12" s="56"/>
      <c r="BH12" s="72">
        <v>1</v>
      </c>
      <c r="BJ12">
        <v>1</v>
      </c>
    </row>
    <row r="13" spans="1:62" ht="20.100000000000001" customHeight="1" outlineLevel="1">
      <c r="A13" s="77" t="s">
        <v>43</v>
      </c>
      <c r="B13" s="77" t="s">
        <v>203</v>
      </c>
      <c r="C13" s="77" t="s">
        <v>1112</v>
      </c>
      <c r="D13" s="78" t="s">
        <v>46</v>
      </c>
      <c r="E13" s="78" t="str">
        <f t="shared" si="4"/>
        <v>000</v>
      </c>
      <c r="F13" s="3">
        <v>621011</v>
      </c>
      <c r="G13" s="102" t="s">
        <v>1008</v>
      </c>
      <c r="H13" s="87"/>
      <c r="I13" s="13">
        <v>9737796</v>
      </c>
      <c r="J13" s="13">
        <v>10520110</v>
      </c>
      <c r="L13" s="56">
        <v>11202771</v>
      </c>
      <c r="M13" s="56"/>
      <c r="N13" s="56">
        <v>11100780</v>
      </c>
      <c r="O13" s="56"/>
      <c r="P13" s="56">
        <v>11100780</v>
      </c>
      <c r="Q13" s="56"/>
      <c r="R13" s="56">
        <v>11100780</v>
      </c>
      <c r="S13" s="56"/>
      <c r="T13" s="56">
        <v>0</v>
      </c>
      <c r="U13" s="56"/>
      <c r="V13" s="56">
        <v>11100780</v>
      </c>
      <c r="W13" s="56"/>
      <c r="X13" s="56">
        <v>12405320.189999999</v>
      </c>
      <c r="Y13" s="56"/>
      <c r="Z13" s="56">
        <f>11100780*1.07</f>
        <v>11877834.600000001</v>
      </c>
      <c r="AA13" s="56"/>
      <c r="AB13" s="56"/>
      <c r="AD13" s="56"/>
      <c r="AE13" s="56"/>
      <c r="AF13" s="56">
        <f t="shared" si="0"/>
        <v>11877834.600000001</v>
      </c>
      <c r="AG13" s="56">
        <v>0</v>
      </c>
      <c r="AH13" s="56">
        <v>0</v>
      </c>
      <c r="AI13" s="56"/>
      <c r="AJ13" s="56">
        <f t="shared" si="1"/>
        <v>11877834.600000001</v>
      </c>
      <c r="AK13" s="85"/>
      <c r="AL13" s="56">
        <v>0</v>
      </c>
      <c r="AM13" s="56"/>
      <c r="AN13" s="88">
        <v>13770715.130000001</v>
      </c>
      <c r="AO13" s="88">
        <v>0</v>
      </c>
      <c r="AP13" s="235">
        <f>14332092.12+72712.4+73283.18+118717.12</f>
        <v>14596804.819999998</v>
      </c>
      <c r="AQ13" s="56"/>
      <c r="AR13" s="56">
        <v>0</v>
      </c>
      <c r="AT13" s="56">
        <v>0</v>
      </c>
      <c r="AU13" s="56"/>
      <c r="AV13" s="56">
        <f t="shared" si="2"/>
        <v>14596804.819999998</v>
      </c>
      <c r="AW13" s="56"/>
      <c r="AX13" s="56">
        <v>0</v>
      </c>
      <c r="AY13" s="56"/>
      <c r="AZ13" s="88">
        <v>12741130</v>
      </c>
      <c r="BA13" s="56">
        <v>12741130</v>
      </c>
      <c r="BB13" s="213"/>
      <c r="BC13" s="56"/>
      <c r="BD13" s="84">
        <f t="shared" si="3"/>
        <v>826089.68999999762</v>
      </c>
      <c r="BE13" s="56"/>
      <c r="BF13" s="56"/>
      <c r="BG13" s="56"/>
      <c r="BH13" s="56"/>
    </row>
    <row r="14" spans="1:62" ht="20.100000000000001" customHeight="1" outlineLevel="1">
      <c r="A14" s="77" t="s">
        <v>43</v>
      </c>
      <c r="B14" s="77" t="s">
        <v>203</v>
      </c>
      <c r="C14" s="77" t="s">
        <v>1112</v>
      </c>
      <c r="D14" s="78" t="s">
        <v>46</v>
      </c>
      <c r="E14" s="78" t="str">
        <f t="shared" si="4"/>
        <v>000</v>
      </c>
      <c r="F14" s="3">
        <v>622011</v>
      </c>
      <c r="G14" s="102" t="s">
        <v>1009</v>
      </c>
      <c r="H14" s="87"/>
      <c r="I14" s="13">
        <v>10838</v>
      </c>
      <c r="J14" s="13">
        <v>13532</v>
      </c>
      <c r="L14" s="56">
        <v>14265</v>
      </c>
      <c r="M14" s="56"/>
      <c r="N14" s="56">
        <v>15000</v>
      </c>
      <c r="O14" s="56"/>
      <c r="P14" s="56">
        <v>15000</v>
      </c>
      <c r="Q14" s="56"/>
      <c r="R14" s="56">
        <v>15000</v>
      </c>
      <c r="S14" s="56"/>
      <c r="T14" s="56">
        <v>0</v>
      </c>
      <c r="U14" s="56"/>
      <c r="V14" s="56">
        <v>15000</v>
      </c>
      <c r="W14" s="56"/>
      <c r="X14" s="56">
        <v>18632.62</v>
      </c>
      <c r="Y14" s="56"/>
      <c r="Z14" s="56">
        <v>15000</v>
      </c>
      <c r="AA14" s="56"/>
      <c r="AB14" s="56"/>
      <c r="AD14" s="56"/>
      <c r="AE14" s="56"/>
      <c r="AF14" s="56">
        <f t="shared" si="0"/>
        <v>15000</v>
      </c>
      <c r="AG14" s="56">
        <v>0</v>
      </c>
      <c r="AH14" s="56">
        <v>0</v>
      </c>
      <c r="AI14" s="56"/>
      <c r="AJ14" s="56">
        <f t="shared" si="1"/>
        <v>15000</v>
      </c>
      <c r="AK14" s="85"/>
      <c r="AL14" s="56">
        <v>0</v>
      </c>
      <c r="AM14" s="56"/>
      <c r="AN14" s="88">
        <v>23760.2</v>
      </c>
      <c r="AO14" s="88">
        <v>0</v>
      </c>
      <c r="AP14" s="88">
        <v>0</v>
      </c>
      <c r="AQ14" s="56"/>
      <c r="AR14" s="56">
        <v>0</v>
      </c>
      <c r="AT14" s="56">
        <v>0</v>
      </c>
      <c r="AU14" s="56"/>
      <c r="AV14" s="56">
        <f t="shared" si="2"/>
        <v>0</v>
      </c>
      <c r="AW14" s="56"/>
      <c r="AX14" s="56">
        <v>0</v>
      </c>
      <c r="AY14" s="56"/>
      <c r="AZ14" s="88">
        <v>19000</v>
      </c>
      <c r="BA14" s="56">
        <v>19000</v>
      </c>
      <c r="BB14" s="213"/>
      <c r="BC14" s="56"/>
      <c r="BD14" s="84">
        <f t="shared" si="3"/>
        <v>-23760.2</v>
      </c>
      <c r="BE14" s="56"/>
      <c r="BF14" s="56"/>
      <c r="BG14" s="56"/>
      <c r="BH14" s="56"/>
    </row>
    <row r="15" spans="1:62" ht="20.100000000000001" customHeight="1" outlineLevel="1">
      <c r="A15" s="77" t="s">
        <v>43</v>
      </c>
      <c r="B15" s="77" t="s">
        <v>203</v>
      </c>
      <c r="C15" s="77" t="s">
        <v>1112</v>
      </c>
      <c r="D15" s="78" t="s">
        <v>46</v>
      </c>
      <c r="E15" s="78" t="str">
        <f t="shared" si="4"/>
        <v>000</v>
      </c>
      <c r="F15" s="3">
        <v>622511</v>
      </c>
      <c r="G15" s="102" t="s">
        <v>1010</v>
      </c>
      <c r="H15" s="87"/>
      <c r="I15" s="13">
        <v>1377711</v>
      </c>
      <c r="J15" s="13">
        <v>1471347</v>
      </c>
      <c r="L15" s="56">
        <v>1736860</v>
      </c>
      <c r="M15" s="56"/>
      <c r="N15" s="56">
        <v>1800000</v>
      </c>
      <c r="O15" s="56"/>
      <c r="P15" s="56">
        <v>1800000</v>
      </c>
      <c r="Q15" s="56"/>
      <c r="R15" s="56">
        <v>1815000</v>
      </c>
      <c r="S15" s="56"/>
      <c r="T15" s="56">
        <v>0</v>
      </c>
      <c r="U15" s="56"/>
      <c r="V15" s="56">
        <v>1815000</v>
      </c>
      <c r="W15" s="56"/>
      <c r="X15" s="56">
        <v>1986391.17</v>
      </c>
      <c r="Y15" s="56"/>
      <c r="Z15" s="56">
        <v>1830000</v>
      </c>
      <c r="AA15" s="56"/>
      <c r="AB15" s="56"/>
      <c r="AD15" s="56"/>
      <c r="AE15" s="56"/>
      <c r="AF15" s="56">
        <f t="shared" si="0"/>
        <v>1830000</v>
      </c>
      <c r="AG15" s="56">
        <v>40000</v>
      </c>
      <c r="AH15" s="56">
        <v>60000</v>
      </c>
      <c r="AI15" s="56"/>
      <c r="AJ15" s="56">
        <f t="shared" si="1"/>
        <v>1930000</v>
      </c>
      <c r="AK15" s="85"/>
      <c r="AL15" s="56">
        <v>0</v>
      </c>
      <c r="AM15" s="56"/>
      <c r="AN15" s="88">
        <v>2136186.86</v>
      </c>
      <c r="AO15" s="88">
        <v>0</v>
      </c>
      <c r="AP15" s="235">
        <f>2005613.69+6916.66+12286.29+22534.76</f>
        <v>2047351.4</v>
      </c>
      <c r="AQ15" s="56"/>
      <c r="AR15" s="56">
        <v>0</v>
      </c>
      <c r="AT15" s="56">
        <v>0</v>
      </c>
      <c r="AU15" s="56"/>
      <c r="AV15" s="56">
        <f t="shared" si="2"/>
        <v>2047351.4</v>
      </c>
      <c r="AW15" s="56"/>
      <c r="AX15" s="56">
        <v>125000</v>
      </c>
      <c r="AY15" s="56"/>
      <c r="AZ15" s="88">
        <v>2140410</v>
      </c>
      <c r="BA15" s="56">
        <v>2140410</v>
      </c>
      <c r="BB15" s="213"/>
      <c r="BC15" s="56"/>
      <c r="BD15" s="84">
        <f t="shared" si="3"/>
        <v>-88835.459999999963</v>
      </c>
      <c r="BE15" s="56"/>
      <c r="BF15" s="56"/>
      <c r="BG15" s="56"/>
      <c r="BH15" s="56"/>
    </row>
    <row r="16" spans="1:62" ht="20.100000000000001" customHeight="1" outlineLevel="1">
      <c r="A16" s="77" t="s">
        <v>43</v>
      </c>
      <c r="B16" s="77" t="s">
        <v>203</v>
      </c>
      <c r="C16" s="77" t="s">
        <v>1112</v>
      </c>
      <c r="D16" s="78" t="s">
        <v>46</v>
      </c>
      <c r="E16" s="78" t="str">
        <f t="shared" si="4"/>
        <v>000</v>
      </c>
      <c r="F16" s="3">
        <v>623111</v>
      </c>
      <c r="G16" s="102" t="s">
        <v>1011</v>
      </c>
      <c r="H16" s="87"/>
      <c r="I16" s="13">
        <v>16707730</v>
      </c>
      <c r="J16" s="13">
        <v>17476786</v>
      </c>
      <c r="L16" s="56">
        <v>19703967</v>
      </c>
      <c r="M16" s="56"/>
      <c r="N16" s="56">
        <v>21500000</v>
      </c>
      <c r="O16" s="56"/>
      <c r="P16" s="56">
        <v>21500000</v>
      </c>
      <c r="Q16" s="56"/>
      <c r="R16" s="56">
        <v>23860000</v>
      </c>
      <c r="S16" s="56"/>
      <c r="T16" s="56">
        <v>0</v>
      </c>
      <c r="U16" s="56"/>
      <c r="V16" s="56">
        <v>23860000</v>
      </c>
      <c r="W16" s="56"/>
      <c r="X16" s="56">
        <v>23422993.600000001</v>
      </c>
      <c r="Y16" s="56"/>
      <c r="Z16" s="56">
        <f>21761027-240618+61439</f>
        <v>21581848</v>
      </c>
      <c r="AA16" s="56"/>
      <c r="AB16" s="56"/>
      <c r="AD16" s="56"/>
      <c r="AE16" s="56"/>
      <c r="AF16" s="56">
        <f t="shared" si="0"/>
        <v>21581848</v>
      </c>
      <c r="AG16" s="56">
        <v>700000</v>
      </c>
      <c r="AH16" s="56">
        <v>1050000</v>
      </c>
      <c r="AI16" s="56"/>
      <c r="AJ16" s="56">
        <f t="shared" si="1"/>
        <v>23331848</v>
      </c>
      <c r="AK16" s="85"/>
      <c r="AL16" s="56">
        <v>0</v>
      </c>
      <c r="AM16" s="56"/>
      <c r="AN16" s="88">
        <v>23340830.52</v>
      </c>
      <c r="AO16" s="88">
        <v>0</v>
      </c>
      <c r="AP16" s="235">
        <f>22016126.73+100532.33+151385.47+273012.61</f>
        <v>22541057.139999997</v>
      </c>
      <c r="AQ16" s="56"/>
      <c r="AR16" s="56">
        <v>0</v>
      </c>
      <c r="AT16" s="56">
        <v>0</v>
      </c>
      <c r="AU16" s="56"/>
      <c r="AV16" s="56">
        <f t="shared" si="2"/>
        <v>22541057.139999997</v>
      </c>
      <c r="AW16" s="56"/>
      <c r="AX16" s="56">
        <v>34000</v>
      </c>
      <c r="AY16" s="56"/>
      <c r="AZ16" s="88">
        <v>27195832</v>
      </c>
      <c r="BA16" s="56">
        <v>27944400</v>
      </c>
      <c r="BB16" s="213"/>
      <c r="BC16" s="56"/>
      <c r="BD16" s="84">
        <f t="shared" si="3"/>
        <v>-799773.38000000268</v>
      </c>
      <c r="BE16" s="56"/>
      <c r="BF16" s="56"/>
      <c r="BG16" s="56"/>
      <c r="BH16" s="56"/>
    </row>
    <row r="17" spans="1:60" ht="20.100000000000001" customHeight="1" outlineLevel="1">
      <c r="A17" s="77" t="s">
        <v>43</v>
      </c>
      <c r="B17" s="77" t="s">
        <v>203</v>
      </c>
      <c r="C17" s="77" t="s">
        <v>1112</v>
      </c>
      <c r="D17" s="78" t="s">
        <v>46</v>
      </c>
      <c r="E17" s="78" t="str">
        <f>+D17</f>
        <v>000</v>
      </c>
      <c r="F17" s="3">
        <v>623114</v>
      </c>
      <c r="G17" s="102" t="s">
        <v>1013</v>
      </c>
      <c r="H17" s="87"/>
      <c r="I17" s="13">
        <v>30670</v>
      </c>
      <c r="J17" s="13">
        <v>43562</v>
      </c>
      <c r="L17" s="56">
        <v>52039</v>
      </c>
      <c r="M17" s="56"/>
      <c r="N17" s="56">
        <v>45000</v>
      </c>
      <c r="O17" s="56"/>
      <c r="P17" s="56">
        <v>45000</v>
      </c>
      <c r="Q17" s="56"/>
      <c r="R17" s="56">
        <v>45000</v>
      </c>
      <c r="S17" s="56"/>
      <c r="T17" s="56">
        <v>0</v>
      </c>
      <c r="U17" s="56"/>
      <c r="V17" s="56">
        <v>45000</v>
      </c>
      <c r="W17" s="56"/>
      <c r="X17" s="56">
        <v>66774.240000000005</v>
      </c>
      <c r="Y17" s="56"/>
      <c r="Z17" s="56">
        <v>52000</v>
      </c>
      <c r="AA17" s="56"/>
      <c r="AB17" s="56"/>
      <c r="AD17" s="56"/>
      <c r="AE17" s="56"/>
      <c r="AF17" s="56">
        <f>SUM(Z17:AE17)</f>
        <v>52000</v>
      </c>
      <c r="AG17" s="56">
        <v>0</v>
      </c>
      <c r="AH17" s="56">
        <v>0</v>
      </c>
      <c r="AI17" s="56"/>
      <c r="AJ17" s="56">
        <f>SUM(AE17:AI17)</f>
        <v>52000</v>
      </c>
      <c r="AK17" s="85"/>
      <c r="AL17" s="56">
        <v>0</v>
      </c>
      <c r="AM17" s="56"/>
      <c r="AN17" s="88">
        <v>67887.16</v>
      </c>
      <c r="AO17" s="88">
        <v>0</v>
      </c>
      <c r="AP17" s="235">
        <v>75100.149999999994</v>
      </c>
      <c r="AQ17" s="56"/>
      <c r="AR17" s="56">
        <v>0</v>
      </c>
      <c r="AT17" s="56">
        <v>0</v>
      </c>
      <c r="AU17" s="56"/>
      <c r="AV17" s="56">
        <f>SUM(AP17:AU17)</f>
        <v>75100.149999999994</v>
      </c>
      <c r="AW17" s="56"/>
      <c r="AX17" s="56">
        <v>0</v>
      </c>
      <c r="AY17" s="56"/>
      <c r="AZ17" s="88">
        <v>67000</v>
      </c>
      <c r="BA17" s="56">
        <v>67000</v>
      </c>
      <c r="BB17" s="213"/>
      <c r="BC17" s="56"/>
      <c r="BD17" s="84">
        <f>+AP17-AN17</f>
        <v>7212.9899999999907</v>
      </c>
      <c r="BE17" s="56"/>
      <c r="BF17" s="56"/>
      <c r="BG17" s="56"/>
      <c r="BH17" s="56"/>
    </row>
    <row r="18" spans="1:60" ht="20.100000000000001" customHeight="1" outlineLevel="1">
      <c r="A18" s="77" t="s">
        <v>43</v>
      </c>
      <c r="B18" s="77" t="s">
        <v>203</v>
      </c>
      <c r="C18" s="77" t="s">
        <v>1112</v>
      </c>
      <c r="D18" s="78" t="s">
        <v>46</v>
      </c>
      <c r="E18" s="78" t="str">
        <f>+D18</f>
        <v>000</v>
      </c>
      <c r="F18" s="3">
        <v>623116</v>
      </c>
      <c r="G18" s="102" t="s">
        <v>1014</v>
      </c>
      <c r="H18" s="87"/>
      <c r="I18" s="13">
        <v>17666</v>
      </c>
      <c r="J18" s="13">
        <v>27595</v>
      </c>
      <c r="L18" s="56">
        <v>21693</v>
      </c>
      <c r="M18" s="56"/>
      <c r="N18" s="56">
        <v>28000</v>
      </c>
      <c r="O18" s="56"/>
      <c r="P18" s="56">
        <v>28000</v>
      </c>
      <c r="Q18" s="56"/>
      <c r="R18" s="56">
        <v>28000</v>
      </c>
      <c r="S18" s="56"/>
      <c r="T18" s="56">
        <v>0</v>
      </c>
      <c r="U18" s="56"/>
      <c r="V18" s="56">
        <v>28000</v>
      </c>
      <c r="W18" s="56"/>
      <c r="X18" s="56">
        <v>16798.669999999998</v>
      </c>
      <c r="Y18" s="56"/>
      <c r="Z18" s="56">
        <v>22000</v>
      </c>
      <c r="AA18" s="56"/>
      <c r="AB18" s="56"/>
      <c r="AD18" s="56"/>
      <c r="AE18" s="56"/>
      <c r="AF18" s="56">
        <f>SUM(Z18:AE18)</f>
        <v>22000</v>
      </c>
      <c r="AG18" s="56">
        <v>0</v>
      </c>
      <c r="AH18" s="56">
        <v>0</v>
      </c>
      <c r="AI18" s="56"/>
      <c r="AJ18" s="56">
        <f>SUM(AE18:AI18)</f>
        <v>22000</v>
      </c>
      <c r="AK18" s="85"/>
      <c r="AL18" s="56">
        <v>0</v>
      </c>
      <c r="AM18" s="56"/>
      <c r="AN18" s="88">
        <f>11399.82+0</f>
        <v>11399.82</v>
      </c>
      <c r="AO18" s="88">
        <v>0</v>
      </c>
      <c r="AP18" s="235">
        <v>9282.65</v>
      </c>
      <c r="AQ18" s="56"/>
      <c r="AR18" s="56">
        <v>0</v>
      </c>
      <c r="AT18" s="56">
        <v>0</v>
      </c>
      <c r="AU18" s="56"/>
      <c r="AV18" s="56">
        <f>SUM(AP18:AU18)</f>
        <v>9282.65</v>
      </c>
      <c r="AW18" s="56"/>
      <c r="AX18" s="56">
        <v>0</v>
      </c>
      <c r="AY18" s="56"/>
      <c r="AZ18" s="88">
        <v>17000</v>
      </c>
      <c r="BA18" s="56">
        <v>17000</v>
      </c>
      <c r="BB18" s="213"/>
      <c r="BC18" s="56"/>
      <c r="BD18" s="84">
        <f>+AP18-AN18</f>
        <v>-2117.17</v>
      </c>
      <c r="BE18" s="56"/>
      <c r="BF18" s="56"/>
      <c r="BG18" s="56"/>
      <c r="BH18" s="56"/>
    </row>
    <row r="19" spans="1:60" ht="20.100000000000001" customHeight="1" outlineLevel="1">
      <c r="A19" s="77" t="s">
        <v>43</v>
      </c>
      <c r="B19" s="77" t="s">
        <v>203</v>
      </c>
      <c r="C19" s="77" t="s">
        <v>1112</v>
      </c>
      <c r="D19" s="78" t="s">
        <v>46</v>
      </c>
      <c r="E19" s="78" t="str">
        <f t="shared" si="4"/>
        <v>000</v>
      </c>
      <c r="F19" s="3">
        <v>623311</v>
      </c>
      <c r="G19" s="102" t="s">
        <v>1012</v>
      </c>
      <c r="H19" s="87"/>
      <c r="I19" s="13">
        <v>1635782</v>
      </c>
      <c r="J19" s="13">
        <v>1867074</v>
      </c>
      <c r="L19" s="56">
        <v>2418290</v>
      </c>
      <c r="M19" s="56"/>
      <c r="N19" s="56">
        <v>2500000</v>
      </c>
      <c r="O19" s="56"/>
      <c r="P19" s="56">
        <v>2500000</v>
      </c>
      <c r="Q19" s="56"/>
      <c r="R19" s="56">
        <v>2530000</v>
      </c>
      <c r="S19" s="56"/>
      <c r="T19" s="56">
        <v>0</v>
      </c>
      <c r="U19" s="56"/>
      <c r="V19" s="56">
        <v>2530000</v>
      </c>
      <c r="W19" s="56"/>
      <c r="X19" s="56">
        <v>2318484.5099999998</v>
      </c>
      <c r="Y19" s="56"/>
      <c r="Z19" s="56">
        <v>2248853</v>
      </c>
      <c r="AA19" s="56"/>
      <c r="AB19" s="56"/>
      <c r="AD19" s="56"/>
      <c r="AE19" s="56"/>
      <c r="AF19" s="56">
        <f t="shared" si="0"/>
        <v>2248853</v>
      </c>
      <c r="AG19" s="56">
        <v>130000</v>
      </c>
      <c r="AH19" s="56">
        <v>195000</v>
      </c>
      <c r="AI19" s="56"/>
      <c r="AJ19" s="56">
        <f t="shared" si="1"/>
        <v>2573853</v>
      </c>
      <c r="AK19" s="85"/>
      <c r="AL19" s="56">
        <v>0</v>
      </c>
      <c r="AM19" s="56"/>
      <c r="AN19" s="88">
        <v>2514412.5299999998</v>
      </c>
      <c r="AO19" s="88">
        <v>0</v>
      </c>
      <c r="AP19" s="235">
        <v>2184925.48</v>
      </c>
      <c r="AQ19" s="56"/>
      <c r="AR19" s="56">
        <v>0</v>
      </c>
      <c r="AT19" s="56">
        <v>0</v>
      </c>
      <c r="AU19" s="56"/>
      <c r="AV19" s="56">
        <f t="shared" si="2"/>
        <v>2184925.48</v>
      </c>
      <c r="AW19" s="56"/>
      <c r="AX19" s="56">
        <v>65000</v>
      </c>
      <c r="AY19" s="56"/>
      <c r="AZ19" s="88">
        <v>3310339</v>
      </c>
      <c r="BA19" s="56">
        <v>3280000</v>
      </c>
      <c r="BB19" s="213"/>
      <c r="BC19" s="56"/>
      <c r="BD19" s="84">
        <f t="shared" si="3"/>
        <v>-329487.04999999981</v>
      </c>
      <c r="BE19" s="56"/>
      <c r="BF19" s="56"/>
      <c r="BG19" s="56"/>
      <c r="BH19" s="56"/>
    </row>
    <row r="20" spans="1:60" ht="20.100000000000001" customHeight="1" outlineLevel="1">
      <c r="A20" s="77" t="s">
        <v>43</v>
      </c>
      <c r="B20" s="77" t="s">
        <v>203</v>
      </c>
      <c r="C20" s="77" t="s">
        <v>1112</v>
      </c>
      <c r="D20" s="78" t="s">
        <v>46</v>
      </c>
      <c r="E20" s="78" t="str">
        <f t="shared" si="4"/>
        <v>000</v>
      </c>
      <c r="F20" s="3">
        <v>623511</v>
      </c>
      <c r="G20" s="102" t="s">
        <v>1015</v>
      </c>
      <c r="H20" s="87"/>
      <c r="I20" s="13">
        <v>1253</v>
      </c>
      <c r="J20" s="13">
        <v>1301</v>
      </c>
      <c r="L20" s="56">
        <v>1248</v>
      </c>
      <c r="M20" s="56"/>
      <c r="N20" s="56">
        <v>1325</v>
      </c>
      <c r="O20" s="56"/>
      <c r="P20" s="56">
        <v>1325</v>
      </c>
      <c r="Q20" s="56"/>
      <c r="R20" s="56">
        <v>1325</v>
      </c>
      <c r="S20" s="56"/>
      <c r="T20" s="56">
        <v>0</v>
      </c>
      <c r="U20" s="56"/>
      <c r="V20" s="56">
        <v>1325</v>
      </c>
      <c r="W20" s="56"/>
      <c r="X20" s="56">
        <v>1248</v>
      </c>
      <c r="Y20" s="56"/>
      <c r="Z20" s="56">
        <v>1325</v>
      </c>
      <c r="AA20" s="56"/>
      <c r="AB20" s="56"/>
      <c r="AD20" s="56"/>
      <c r="AE20" s="56"/>
      <c r="AF20" s="56">
        <f t="shared" si="0"/>
        <v>1325</v>
      </c>
      <c r="AG20" s="56">
        <v>0</v>
      </c>
      <c r="AH20" s="56">
        <v>0</v>
      </c>
      <c r="AI20" s="56"/>
      <c r="AJ20" s="56">
        <f t="shared" si="1"/>
        <v>1325</v>
      </c>
      <c r="AK20" s="85"/>
      <c r="AL20" s="56">
        <v>0</v>
      </c>
      <c r="AM20" s="56"/>
      <c r="AN20" s="88">
        <v>1200</v>
      </c>
      <c r="AO20" s="88">
        <v>0</v>
      </c>
      <c r="AP20" s="235">
        <v>1438.5</v>
      </c>
      <c r="AQ20" s="56"/>
      <c r="AR20" s="56">
        <v>0</v>
      </c>
      <c r="AT20" s="56">
        <v>0</v>
      </c>
      <c r="AU20" s="56"/>
      <c r="AV20" s="56">
        <f t="shared" si="2"/>
        <v>1438.5</v>
      </c>
      <c r="AW20" s="56"/>
      <c r="AX20" s="56">
        <v>0</v>
      </c>
      <c r="AY20" s="56"/>
      <c r="AZ20" s="88">
        <v>1325</v>
      </c>
      <c r="BA20" s="56">
        <v>1325</v>
      </c>
      <c r="BB20" s="213"/>
      <c r="BC20" s="56"/>
      <c r="BD20" s="84">
        <f t="shared" si="3"/>
        <v>238.5</v>
      </c>
      <c r="BE20" s="56"/>
      <c r="BF20" s="56"/>
      <c r="BG20" s="56"/>
      <c r="BH20" s="56"/>
    </row>
    <row r="21" spans="1:60" ht="20.100000000000001" customHeight="1" outlineLevel="1">
      <c r="A21" s="77" t="s">
        <v>43</v>
      </c>
      <c r="B21" s="77" t="s">
        <v>203</v>
      </c>
      <c r="C21" s="77" t="s">
        <v>1112</v>
      </c>
      <c r="D21" s="78" t="s">
        <v>46</v>
      </c>
      <c r="E21" s="78" t="str">
        <f t="shared" si="4"/>
        <v>000</v>
      </c>
      <c r="F21" s="3">
        <v>623911</v>
      </c>
      <c r="G21" s="102" t="s">
        <v>1016</v>
      </c>
      <c r="H21" s="87"/>
      <c r="I21" s="13">
        <v>26055</v>
      </c>
      <c r="J21" s="13">
        <v>27386</v>
      </c>
      <c r="L21" s="56">
        <v>37447</v>
      </c>
      <c r="M21" s="56"/>
      <c r="N21" s="56">
        <v>28000</v>
      </c>
      <c r="O21" s="56"/>
      <c r="P21" s="56">
        <v>28000</v>
      </c>
      <c r="Q21" s="56"/>
      <c r="R21" s="56">
        <v>28000</v>
      </c>
      <c r="S21" s="56"/>
      <c r="T21" s="56">
        <v>0</v>
      </c>
      <c r="U21" s="56"/>
      <c r="V21" s="56">
        <v>28000</v>
      </c>
      <c r="W21" s="56"/>
      <c r="X21" s="56">
        <v>33958.36</v>
      </c>
      <c r="Y21" s="56"/>
      <c r="Z21" s="56">
        <v>38000</v>
      </c>
      <c r="AA21" s="56"/>
      <c r="AB21" s="56"/>
      <c r="AD21" s="56"/>
      <c r="AE21" s="56"/>
      <c r="AF21" s="56">
        <f t="shared" si="0"/>
        <v>38000</v>
      </c>
      <c r="AG21" s="56">
        <v>0</v>
      </c>
      <c r="AH21" s="56">
        <v>0</v>
      </c>
      <c r="AI21" s="56"/>
      <c r="AJ21" s="56">
        <f t="shared" si="1"/>
        <v>38000</v>
      </c>
      <c r="AK21" s="85"/>
      <c r="AL21" s="56">
        <v>0</v>
      </c>
      <c r="AM21" s="56"/>
      <c r="AN21" s="88">
        <v>30498.71</v>
      </c>
      <c r="AO21" s="88">
        <v>0</v>
      </c>
      <c r="AP21" s="235">
        <f>33150.69</f>
        <v>33150.69</v>
      </c>
      <c r="AQ21" s="56"/>
      <c r="AR21" s="56">
        <v>0</v>
      </c>
      <c r="AT21" s="56">
        <v>0</v>
      </c>
      <c r="AU21" s="56"/>
      <c r="AV21" s="56">
        <f t="shared" si="2"/>
        <v>33150.69</v>
      </c>
      <c r="AW21" s="56"/>
      <c r="AX21" s="56">
        <v>0</v>
      </c>
      <c r="AY21" s="56"/>
      <c r="AZ21" s="88">
        <v>36000</v>
      </c>
      <c r="BA21" s="56">
        <v>36000</v>
      </c>
      <c r="BB21" s="213"/>
      <c r="BC21" s="56"/>
      <c r="BD21" s="84">
        <f t="shared" si="3"/>
        <v>2651.9800000000032</v>
      </c>
      <c r="BE21" s="56"/>
      <c r="BF21" s="56"/>
      <c r="BG21" s="56"/>
      <c r="BH21" s="56"/>
    </row>
    <row r="22" spans="1:60" ht="20.100000000000001" customHeight="1" outlineLevel="1">
      <c r="A22" s="77" t="s">
        <v>43</v>
      </c>
      <c r="B22" s="77" t="s">
        <v>203</v>
      </c>
      <c r="C22" s="77" t="s">
        <v>1112</v>
      </c>
      <c r="D22" s="78" t="s">
        <v>46</v>
      </c>
      <c r="E22" s="78" t="str">
        <f t="shared" si="4"/>
        <v>000</v>
      </c>
      <c r="F22" s="3">
        <v>625011</v>
      </c>
      <c r="G22" s="102" t="s">
        <v>1017</v>
      </c>
      <c r="H22" s="87"/>
      <c r="I22" s="13">
        <v>105183</v>
      </c>
      <c r="J22" s="13">
        <v>44294</v>
      </c>
      <c r="L22" s="56">
        <v>117718</v>
      </c>
      <c r="M22" s="56"/>
      <c r="N22" s="56">
        <v>50000</v>
      </c>
      <c r="O22" s="56"/>
      <c r="P22" s="56">
        <v>50000</v>
      </c>
      <c r="Q22" s="56"/>
      <c r="R22" s="56">
        <v>50000</v>
      </c>
      <c r="S22" s="56"/>
      <c r="T22" s="56">
        <v>0</v>
      </c>
      <c r="U22" s="56"/>
      <c r="V22" s="56">
        <v>50000</v>
      </c>
      <c r="W22" s="56"/>
      <c r="X22" s="56">
        <v>54303.1</v>
      </c>
      <c r="Y22" s="56"/>
      <c r="Z22" s="56">
        <v>48600</v>
      </c>
      <c r="AA22" s="56"/>
      <c r="AB22" s="56"/>
      <c r="AD22" s="56"/>
      <c r="AE22" s="56"/>
      <c r="AF22" s="56">
        <f t="shared" si="0"/>
        <v>48600</v>
      </c>
      <c r="AG22" s="56">
        <v>0</v>
      </c>
      <c r="AH22" s="56">
        <v>0</v>
      </c>
      <c r="AI22" s="56"/>
      <c r="AJ22" s="56">
        <f t="shared" si="1"/>
        <v>48600</v>
      </c>
      <c r="AK22" s="85"/>
      <c r="AL22" s="56">
        <v>0</v>
      </c>
      <c r="AM22" s="56"/>
      <c r="AN22" s="88">
        <v>95639.89</v>
      </c>
      <c r="AO22" s="88">
        <v>0</v>
      </c>
      <c r="AP22" s="235">
        <v>172678.99</v>
      </c>
      <c r="AQ22" s="56"/>
      <c r="AR22" s="56">
        <v>0</v>
      </c>
      <c r="AT22" s="56">
        <v>0</v>
      </c>
      <c r="AU22" s="56"/>
      <c r="AV22" s="56">
        <f t="shared" si="2"/>
        <v>172678.99</v>
      </c>
      <c r="AW22" s="56"/>
      <c r="AX22" s="56">
        <v>0</v>
      </c>
      <c r="AY22" s="56"/>
      <c r="AZ22" s="88">
        <v>150000</v>
      </c>
      <c r="BA22" s="56">
        <v>150000</v>
      </c>
      <c r="BB22" s="213"/>
      <c r="BC22" s="56"/>
      <c r="BD22" s="84">
        <f t="shared" si="3"/>
        <v>77039.099999999991</v>
      </c>
      <c r="BE22" s="56"/>
      <c r="BF22" s="56"/>
      <c r="BG22" s="56"/>
      <c r="BH22" s="56"/>
    </row>
    <row r="23" spans="1:60" ht="20.100000000000001" customHeight="1" outlineLevel="1">
      <c r="A23" s="77" t="s">
        <v>43</v>
      </c>
      <c r="B23" s="77" t="s">
        <v>203</v>
      </c>
      <c r="C23" s="77" t="s">
        <v>1112</v>
      </c>
      <c r="D23" s="78" t="s">
        <v>46</v>
      </c>
      <c r="E23" s="78" t="str">
        <f>+D23</f>
        <v>000</v>
      </c>
      <c r="F23" s="3">
        <v>626001</v>
      </c>
      <c r="G23" s="102" t="s">
        <v>1020</v>
      </c>
      <c r="H23" s="81"/>
      <c r="I23" s="13">
        <v>51150</v>
      </c>
      <c r="J23" s="13">
        <v>61359</v>
      </c>
      <c r="L23" s="56">
        <v>107587</v>
      </c>
      <c r="M23" s="56"/>
      <c r="N23" s="56">
        <v>50000</v>
      </c>
      <c r="O23" s="56"/>
      <c r="P23" s="56">
        <v>50000</v>
      </c>
      <c r="Q23" s="56"/>
      <c r="R23" s="56">
        <v>50000</v>
      </c>
      <c r="S23" s="56"/>
      <c r="T23" s="56">
        <v>0</v>
      </c>
      <c r="U23" s="56"/>
      <c r="V23" s="56">
        <v>50000</v>
      </c>
      <c r="W23" s="56"/>
      <c r="X23" s="56">
        <f>51778.18+7896.73</f>
        <v>59674.91</v>
      </c>
      <c r="Y23" s="56"/>
      <c r="Z23" s="56">
        <v>50000</v>
      </c>
      <c r="AA23" s="56"/>
      <c r="AB23" s="56"/>
      <c r="AD23" s="56"/>
      <c r="AE23" s="56"/>
      <c r="AF23" s="56">
        <f>SUM(Z23:AE23)</f>
        <v>50000</v>
      </c>
      <c r="AG23" s="56">
        <v>0</v>
      </c>
      <c r="AH23" s="56">
        <v>0</v>
      </c>
      <c r="AI23" s="56"/>
      <c r="AJ23" s="56">
        <f>SUM(AE23:AI23)</f>
        <v>50000</v>
      </c>
      <c r="AK23" s="85"/>
      <c r="AL23" s="56">
        <v>0</v>
      </c>
      <c r="AM23" s="56"/>
      <c r="AN23" s="89">
        <f>38828.36+0</f>
        <v>38828.36</v>
      </c>
      <c r="AO23" s="88">
        <v>0</v>
      </c>
      <c r="AP23" s="235">
        <f>33030.09+21657.41</f>
        <v>54687.5</v>
      </c>
      <c r="AQ23" s="56"/>
      <c r="AR23" s="56">
        <v>0</v>
      </c>
      <c r="AT23" s="56">
        <v>0</v>
      </c>
      <c r="AU23" s="56"/>
      <c r="AV23" s="56">
        <f>SUM(AP23:AU23)</f>
        <v>54687.5</v>
      </c>
      <c r="AW23" s="56"/>
      <c r="AX23" s="56">
        <v>0</v>
      </c>
      <c r="AY23" s="56"/>
      <c r="AZ23" s="88">
        <v>50000</v>
      </c>
      <c r="BA23" s="56">
        <v>50000</v>
      </c>
      <c r="BB23" s="213"/>
      <c r="BC23" s="56"/>
      <c r="BD23" s="84">
        <f>+AP23-AN23</f>
        <v>15859.14</v>
      </c>
      <c r="BE23" s="56"/>
      <c r="BF23" s="56"/>
      <c r="BG23" s="56"/>
      <c r="BH23" s="56"/>
    </row>
    <row r="24" spans="1:60" ht="20.100000000000001" customHeight="1" outlineLevel="1">
      <c r="A24" s="77" t="s">
        <v>43</v>
      </c>
      <c r="B24" s="77" t="s">
        <v>203</v>
      </c>
      <c r="C24" s="77" t="s">
        <v>1112</v>
      </c>
      <c r="D24" s="78" t="s">
        <v>46</v>
      </c>
      <c r="E24" s="78" t="str">
        <f t="shared" si="4"/>
        <v>000</v>
      </c>
      <c r="F24" s="3">
        <v>627011</v>
      </c>
      <c r="G24" s="102" t="s">
        <v>1018</v>
      </c>
      <c r="H24" s="87"/>
      <c r="I24" s="13">
        <v>5256154</v>
      </c>
      <c r="J24" s="13">
        <v>5488284</v>
      </c>
      <c r="L24" s="56">
        <v>5676659</v>
      </c>
      <c r="M24" s="56"/>
      <c r="N24" s="56">
        <v>7097220</v>
      </c>
      <c r="O24" s="56"/>
      <c r="P24" s="56">
        <v>7097220</v>
      </c>
      <c r="Q24" s="56"/>
      <c r="R24" s="56">
        <v>7097220</v>
      </c>
      <c r="S24" s="56"/>
      <c r="T24" s="56">
        <v>0</v>
      </c>
      <c r="U24" s="56"/>
      <c r="V24" s="56">
        <v>7097220</v>
      </c>
      <c r="W24" s="56"/>
      <c r="X24" s="56">
        <v>6246944.0599999996</v>
      </c>
      <c r="Y24" s="56"/>
      <c r="Z24" s="56">
        <f>7097220*1.07</f>
        <v>7594025.4000000004</v>
      </c>
      <c r="AA24" s="56"/>
      <c r="AB24" s="56"/>
      <c r="AD24" s="56"/>
      <c r="AE24" s="56"/>
      <c r="AF24" s="56">
        <f t="shared" si="0"/>
        <v>7594025.4000000004</v>
      </c>
      <c r="AG24" s="56">
        <v>0</v>
      </c>
      <c r="AH24" s="56">
        <v>0</v>
      </c>
      <c r="AI24" s="56"/>
      <c r="AJ24" s="56">
        <f t="shared" si="1"/>
        <v>7594025.4000000004</v>
      </c>
      <c r="AK24" s="85"/>
      <c r="AL24" s="56">
        <v>0</v>
      </c>
      <c r="AM24" s="56"/>
      <c r="AN24" s="88">
        <v>6648108.8700000001</v>
      </c>
      <c r="AO24" s="88">
        <v>0</v>
      </c>
      <c r="AP24" s="235">
        <v>6933886.9699999997</v>
      </c>
      <c r="AQ24" s="56"/>
      <c r="AR24" s="56">
        <v>0</v>
      </c>
      <c r="AT24" s="56">
        <v>0</v>
      </c>
      <c r="AU24" s="56"/>
      <c r="AV24" s="56">
        <f t="shared" si="2"/>
        <v>6933886.9699999997</v>
      </c>
      <c r="AW24" s="56"/>
      <c r="AX24" s="56">
        <v>0</v>
      </c>
      <c r="AY24" s="56"/>
      <c r="AZ24" s="88">
        <v>8200000</v>
      </c>
      <c r="BA24" s="56">
        <v>8200000</v>
      </c>
      <c r="BB24" s="213"/>
      <c r="BC24" s="56"/>
      <c r="BD24" s="84">
        <f t="shared" si="3"/>
        <v>285778.09999999963</v>
      </c>
      <c r="BE24" s="56"/>
      <c r="BF24" s="56"/>
      <c r="BG24" s="56"/>
      <c r="BH24" s="56"/>
    </row>
    <row r="25" spans="1:60" ht="20.100000000000001" customHeight="1" outlineLevel="1">
      <c r="A25" s="77" t="s">
        <v>43</v>
      </c>
      <c r="B25" s="77" t="s">
        <v>203</v>
      </c>
      <c r="C25" s="77" t="s">
        <v>1112</v>
      </c>
      <c r="D25" s="78" t="s">
        <v>46</v>
      </c>
      <c r="E25" s="78" t="str">
        <f t="shared" si="4"/>
        <v>000</v>
      </c>
      <c r="F25" s="3">
        <v>628011</v>
      </c>
      <c r="G25" s="102" t="s">
        <v>1019</v>
      </c>
      <c r="H25" s="87"/>
      <c r="I25" s="13">
        <v>433214</v>
      </c>
      <c r="J25" s="13">
        <v>548536</v>
      </c>
      <c r="L25" s="56">
        <v>501078</v>
      </c>
      <c r="M25" s="56"/>
      <c r="N25" s="56">
        <v>475000</v>
      </c>
      <c r="O25" s="56"/>
      <c r="P25" s="56">
        <v>475000</v>
      </c>
      <c r="Q25" s="56"/>
      <c r="R25" s="56">
        <v>475000</v>
      </c>
      <c r="S25" s="56"/>
      <c r="T25" s="56">
        <v>0</v>
      </c>
      <c r="U25" s="56"/>
      <c r="V25" s="56">
        <v>475000</v>
      </c>
      <c r="W25" s="56"/>
      <c r="X25" s="56">
        <v>706163.41</v>
      </c>
      <c r="Y25" s="56"/>
      <c r="Z25" s="56">
        <v>475000</v>
      </c>
      <c r="AA25" s="56"/>
      <c r="AB25" s="56"/>
      <c r="AD25" s="56"/>
      <c r="AE25" s="56"/>
      <c r="AF25" s="56">
        <f t="shared" si="0"/>
        <v>475000</v>
      </c>
      <c r="AG25" s="56">
        <v>0</v>
      </c>
      <c r="AH25" s="56">
        <v>0</v>
      </c>
      <c r="AI25" s="56"/>
      <c r="AJ25" s="56">
        <f t="shared" si="1"/>
        <v>475000</v>
      </c>
      <c r="AK25" s="85"/>
      <c r="AL25" s="56">
        <v>0</v>
      </c>
      <c r="AM25" s="56"/>
      <c r="AN25" s="88">
        <v>578918.56999999995</v>
      </c>
      <c r="AO25" s="88">
        <v>0</v>
      </c>
      <c r="AP25" s="235">
        <v>309837.51</v>
      </c>
      <c r="AQ25" s="56"/>
      <c r="AR25" s="56">
        <v>0</v>
      </c>
      <c r="AT25" s="56">
        <v>0</v>
      </c>
      <c r="AU25" s="56"/>
      <c r="AV25" s="56">
        <f t="shared" si="2"/>
        <v>309837.51</v>
      </c>
      <c r="AW25" s="56"/>
      <c r="AX25" s="56">
        <v>0</v>
      </c>
      <c r="AY25" s="56"/>
      <c r="AZ25" s="88">
        <v>500000</v>
      </c>
      <c r="BA25" s="56">
        <v>500000</v>
      </c>
      <c r="BB25" s="213"/>
      <c r="BC25" s="56"/>
      <c r="BD25" s="84">
        <f t="shared" si="3"/>
        <v>-269081.05999999994</v>
      </c>
      <c r="BE25" s="56"/>
      <c r="BF25" s="56"/>
      <c r="BG25" s="56"/>
      <c r="BH25" s="56"/>
    </row>
    <row r="26" spans="1:60" ht="20.100000000000001" customHeight="1">
      <c r="B26" s="77"/>
      <c r="C26" s="77"/>
      <c r="D26" s="90"/>
      <c r="E26" s="90"/>
      <c r="F26" s="3"/>
      <c r="G26" s="110" t="s">
        <v>1021</v>
      </c>
      <c r="H26" s="87"/>
      <c r="I26" s="92">
        <v>37152853</v>
      </c>
      <c r="J26" s="93">
        <v>39013933</v>
      </c>
      <c r="L26" s="125">
        <v>43326790</v>
      </c>
      <c r="M26" s="126"/>
      <c r="N26" s="125">
        <v>46035325</v>
      </c>
      <c r="O26" s="126"/>
      <c r="P26" s="125">
        <v>46035325</v>
      </c>
      <c r="Q26" s="126"/>
      <c r="R26" s="125">
        <v>48506625</v>
      </c>
      <c r="S26" s="95"/>
      <c r="T26" s="94">
        <v>0</v>
      </c>
      <c r="U26" s="126"/>
      <c r="V26" s="125">
        <v>48506625</v>
      </c>
      <c r="W26" s="126"/>
      <c r="X26" s="125">
        <f>SUBTOTAL(9,X11:X25)</f>
        <v>48740001.460000001</v>
      </c>
      <c r="Y26" s="126"/>
      <c r="Z26" s="125">
        <f>SUBTOTAL(9,Z11:Z25)</f>
        <v>47379486</v>
      </c>
      <c r="AA26" s="126"/>
      <c r="AB26" s="125">
        <f>SUBTOTAL(9,AB11:AB25)</f>
        <v>0</v>
      </c>
      <c r="AD26" s="125">
        <f>SUBTOTAL(9,AD11:AD25)</f>
        <v>0</v>
      </c>
      <c r="AE26" s="126"/>
      <c r="AF26" s="125">
        <f>SUBTOTAL(9,AF11:AF25)</f>
        <v>47379486</v>
      </c>
      <c r="AG26" s="125">
        <f>SUBTOTAL(9,AG11:AG25)</f>
        <v>870000</v>
      </c>
      <c r="AH26" s="125">
        <f>SUBTOTAL(9,AH11:AH25)</f>
        <v>1305000</v>
      </c>
      <c r="AI26" s="126"/>
      <c r="AJ26" s="125">
        <f>SUBTOTAL(9,AJ11:AJ25)</f>
        <v>49554486</v>
      </c>
      <c r="AK26" s="96"/>
      <c r="AL26" s="125">
        <f>SUBTOTAL(9,AL11:AL25)</f>
        <v>0</v>
      </c>
      <c r="AM26" s="126"/>
      <c r="AN26" s="127">
        <f>SUBTOTAL(9,AN11:AN25)</f>
        <v>51063313.619999997</v>
      </c>
      <c r="AO26" s="127">
        <f>SUBTOTAL(9,AO11:AO25)</f>
        <v>0</v>
      </c>
      <c r="AP26" s="127">
        <f>SUBTOTAL(9,AP11:AP25)</f>
        <v>50832594.959999986</v>
      </c>
      <c r="AQ26" s="126"/>
      <c r="AR26" s="125">
        <f>SUBTOTAL(9,AR11:AR25)</f>
        <v>0</v>
      </c>
      <c r="AT26" s="125">
        <f>SUBTOTAL(9,AT11:AT25)</f>
        <v>0</v>
      </c>
      <c r="AU26" s="126"/>
      <c r="AV26" s="125">
        <f>SUBTOTAL(9,AV11:AV25)</f>
        <v>50832594.959999986</v>
      </c>
      <c r="AW26" s="126"/>
      <c r="AX26" s="125">
        <f>SUBTOTAL(9,AX11:AX25)</f>
        <v>424000</v>
      </c>
      <c r="AY26" s="126"/>
      <c r="AZ26" s="127">
        <f>SUBTOTAL(9,AZ11:AZ25)</f>
        <v>56073036</v>
      </c>
      <c r="BA26" s="125">
        <f>SUBTOTAL(9,BA11:BA25)</f>
        <v>56791265</v>
      </c>
      <c r="BB26" s="125"/>
      <c r="BC26" s="125"/>
      <c r="BD26" s="98">
        <f t="shared" si="3"/>
        <v>-230718.66000001132</v>
      </c>
      <c r="BE26" s="126"/>
      <c r="BF26" s="126"/>
      <c r="BG26" s="126"/>
    </row>
    <row r="59" spans="18:63">
      <c r="R59" s="7">
        <v>420044982</v>
      </c>
      <c r="BI59" s="211"/>
      <c r="BJ59" s="7"/>
      <c r="BK59" s="7"/>
    </row>
    <row r="60" spans="18:63">
      <c r="BI60" s="211"/>
      <c r="BJ60" s="7"/>
    </row>
  </sheetData>
  <autoFilter ref="A9:BH26"/>
  <mergeCells count="8">
    <mergeCell ref="A6:F6"/>
    <mergeCell ref="A7:F7"/>
    <mergeCell ref="A8:D8"/>
    <mergeCell ref="AB5:AD5"/>
    <mergeCell ref="AG2:AH2"/>
    <mergeCell ref="AG3:AH3"/>
    <mergeCell ref="AG4:AH4"/>
    <mergeCell ref="AB4:AD4"/>
  </mergeCells>
  <phoneticPr fontId="3" type="noConversion"/>
  <conditionalFormatting sqref="F1:F1048576">
    <cfRule type="cellIs" dxfId="2" priority="1" stopIfTrue="1" operator="between">
      <formula>610000</formula>
      <formula>619999</formula>
    </cfRule>
  </conditionalFormatting>
  <pageMargins left="0.54" right="0.25" top="0.24" bottom="0.49" header="0.25" footer="0"/>
  <pageSetup scale="77" fitToHeight="0" orientation="landscape" r:id="rId1"/>
  <headerFooter alignWithMargins="0">
    <oddFooter>&amp;C&amp;8Detail of Expenditures Budget By Department, Page &amp;P of &amp;N</oddFooter>
  </headerFooter>
  <legacyDrawing r:id="rId2"/>
</worksheet>
</file>

<file path=xl/worksheets/sheet35.xml><?xml version="1.0" encoding="utf-8"?>
<worksheet xmlns="http://schemas.openxmlformats.org/spreadsheetml/2006/main" xmlns:r="http://schemas.openxmlformats.org/officeDocument/2006/relationships">
  <sheetPr codeName="Sheet25" enableFormatConditionsCalculation="0">
    <tabColor indexed="17"/>
    <pageSetUpPr fitToPage="1"/>
  </sheetPr>
  <dimension ref="A1:BK75"/>
  <sheetViews>
    <sheetView zoomScale="87" zoomScaleNormal="90" workbookViewId="0">
      <pane xSplit="8" ySplit="9" topLeftCell="O10" activePane="bottomRight" state="frozen"/>
      <selection activeCell="A28" sqref="A28"/>
      <selection pane="topRight" activeCell="A28" sqref="A28"/>
      <selection pane="bottomLeft" activeCell="A28" sqref="A28"/>
      <selection pane="bottomRight"/>
    </sheetView>
  </sheetViews>
  <sheetFormatPr defaultRowHeight="12.75" outlineLevelRow="1" outlineLevelCol="1"/>
  <cols>
    <col min="1" max="1" width="7" style="39" customWidth="1" outlineLevel="1"/>
    <col min="2" max="2" width="6.140625" style="39" customWidth="1" outlineLevel="1"/>
    <col min="3" max="3" width="3.7109375" style="39" customWidth="1" outlineLevel="1"/>
    <col min="4" max="5" width="4.85546875" style="168" customWidth="1" outlineLevel="1"/>
    <col min="6" max="6" width="8.7109375" style="40" customWidth="1" outlineLevel="1"/>
    <col min="7" max="7" width="28.5703125" style="4" customWidth="1"/>
    <col min="8" max="8" width="16.5703125" style="4" hidden="1" customWidth="1"/>
    <col min="9" max="10" width="15.140625" style="4" hidden="1" customWidth="1" collapsed="1"/>
    <col min="11" max="11" width="39.5703125" style="4" hidden="1" customWidth="1"/>
    <col min="12" max="12" width="15.140625" style="7" bestFit="1" customWidth="1" collapsed="1"/>
    <col min="13" max="13" width="31.7109375" style="7" hidden="1" customWidth="1"/>
    <col min="14" max="14" width="35.5703125" style="7" hidden="1" customWidth="1" collapsed="1"/>
    <col min="15" max="15" width="0.140625" style="7" customWidth="1"/>
    <col min="16" max="16" width="25.28515625" style="7" hidden="1" customWidth="1" outlineLevel="1" collapsed="1"/>
    <col min="17" max="17" width="23.42578125" style="7" hidden="1" customWidth="1" outlineLevel="1"/>
    <col min="18" max="18" width="20.5703125" style="7" hidden="1" customWidth="1" outlineLevel="1" collapsed="1"/>
    <col min="19" max="19" width="18" style="7" hidden="1" customWidth="1" outlineLevel="1"/>
    <col min="20" max="20" width="19.5703125" style="7" hidden="1" customWidth="1" outlineLevel="1"/>
    <col min="21" max="21" width="18.42578125" style="7" hidden="1" customWidth="1" outlineLevel="1"/>
    <col min="22" max="22" width="13.140625" style="7" hidden="1" customWidth="1"/>
    <col min="23" max="23" width="14.140625" style="7" hidden="1" customWidth="1"/>
    <col min="24" max="24" width="14.5703125" style="7" customWidth="1" collapsed="1"/>
    <col min="25" max="25" width="0.85546875" style="7" hidden="1" customWidth="1"/>
    <col min="26" max="26" width="16.140625" style="7" hidden="1" customWidth="1"/>
    <col min="27" max="27" width="0.140625" style="7" hidden="1" customWidth="1"/>
    <col min="28" max="28" width="16.140625" style="7" hidden="1" customWidth="1" outlineLevel="1"/>
    <col min="29" max="29" width="0.42578125" style="7" hidden="1" customWidth="1" outlineLevel="1"/>
    <col min="30" max="30" width="17.85546875" style="7" hidden="1" customWidth="1" outlineLevel="1"/>
    <col min="31" max="31" width="0.42578125" style="7" hidden="1" customWidth="1" outlineLevel="1"/>
    <col min="32" max="32" width="16.140625" style="7" hidden="1" customWidth="1" collapsed="1"/>
    <col min="33" max="33" width="16" style="7" hidden="1" customWidth="1" outlineLevel="1"/>
    <col min="34" max="34" width="17" style="7" hidden="1" customWidth="1" outlineLevel="1"/>
    <col min="35" max="35" width="10.5703125" style="7" hidden="1" customWidth="1" outlineLevel="1"/>
    <col min="36" max="36" width="16.140625" style="7" hidden="1" customWidth="1" collapsed="1"/>
    <col min="37" max="37" width="0.7109375" style="7" hidden="1" customWidth="1"/>
    <col min="38" max="38" width="16.140625" style="7" hidden="1" customWidth="1" outlineLevel="1"/>
    <col min="39" max="39" width="4.140625" style="7" hidden="1" customWidth="1" outlineLevel="1"/>
    <col min="40" max="40" width="16.140625" style="17" customWidth="1" collapsed="1"/>
    <col min="41" max="41" width="16.140625" style="17" hidden="1" customWidth="1" collapsed="1"/>
    <col min="42" max="42" width="16.140625" style="17" customWidth="1" collapsed="1"/>
    <col min="43" max="43" width="0.7109375" style="7" hidden="1" customWidth="1" outlineLevel="1"/>
    <col min="44" max="44" width="22.140625" style="7" hidden="1" customWidth="1" outlineLevel="1"/>
    <col min="45" max="45" width="0.42578125" style="7" hidden="1" customWidth="1" outlineLevel="1"/>
    <col min="46" max="46" width="17.85546875" style="7" hidden="1" customWidth="1" outlineLevel="1"/>
    <col min="47" max="47" width="0.42578125" style="7" hidden="1" customWidth="1" outlineLevel="1"/>
    <col min="48" max="48" width="18" style="7" hidden="1" customWidth="1" collapsed="1"/>
    <col min="49" max="49" width="0.5703125" style="7" hidden="1" customWidth="1"/>
    <col min="50" max="50" width="18" style="7" hidden="1" customWidth="1"/>
    <col min="51" max="51" width="0.5703125" style="7" customWidth="1"/>
    <col min="52" max="52" width="15.140625" style="7" customWidth="1"/>
    <col min="53" max="53" width="15.7109375" style="7" bestFit="1" customWidth="1"/>
    <col min="54" max="54" width="15.140625" style="7" customWidth="1"/>
    <col min="55" max="55" width="23.140625" style="7" customWidth="1"/>
    <col min="56" max="56" width="19.85546875" style="7" bestFit="1" customWidth="1"/>
    <col min="57" max="59" width="12.42578125" style="7" customWidth="1"/>
    <col min="60" max="60" width="3.85546875" style="76" customWidth="1"/>
    <col min="61" max="61" width="14.5703125" style="12" bestFit="1" customWidth="1"/>
  </cols>
  <sheetData>
    <row r="1" spans="1:62" ht="15">
      <c r="A1" s="1" t="s">
        <v>0</v>
      </c>
      <c r="B1" s="2"/>
      <c r="C1" s="2"/>
      <c r="D1" s="1"/>
      <c r="E1" s="1"/>
      <c r="F1" s="3"/>
      <c r="H1" s="5"/>
      <c r="I1" s="6"/>
      <c r="T1" s="8"/>
      <c r="Z1" s="9"/>
      <c r="AB1" s="9"/>
      <c r="AD1" s="9"/>
      <c r="AF1" s="9"/>
      <c r="AH1" s="10" t="e">
        <f>+#REF!</f>
        <v>#REF!</v>
      </c>
      <c r="AJ1" s="9"/>
      <c r="AK1" s="9"/>
      <c r="AN1" s="9"/>
      <c r="AO1" s="9"/>
      <c r="AP1" s="9"/>
      <c r="AR1" s="9"/>
      <c r="AT1" s="9"/>
      <c r="AV1" s="9"/>
      <c r="AW1" s="9"/>
      <c r="AX1" s="9"/>
      <c r="AY1" s="9"/>
      <c r="AZ1" s="9"/>
      <c r="BA1" s="9"/>
      <c r="BB1" s="9"/>
      <c r="BC1" s="9"/>
      <c r="BD1" s="9"/>
      <c r="BE1" s="9"/>
      <c r="BF1" s="9"/>
      <c r="BG1" s="9"/>
      <c r="BH1" s="11"/>
    </row>
    <row r="2" spans="1:62" ht="15">
      <c r="A2" s="1" t="s">
        <v>1053</v>
      </c>
      <c r="B2" s="2"/>
      <c r="C2" s="2"/>
      <c r="D2" s="1"/>
      <c r="E2" s="1"/>
      <c r="F2" s="3"/>
      <c r="H2" s="5"/>
      <c r="I2" s="13"/>
      <c r="J2" s="14"/>
      <c r="K2" s="14"/>
      <c r="L2" s="15"/>
      <c r="M2" s="15"/>
      <c r="N2" s="15"/>
      <c r="O2" s="15"/>
      <c r="P2" s="15"/>
      <c r="R2" s="15"/>
      <c r="T2" s="8"/>
      <c r="V2" s="15"/>
      <c r="X2" s="15"/>
      <c r="Z2" s="15"/>
      <c r="AB2" s="15"/>
      <c r="AD2" s="15"/>
      <c r="AF2" s="15"/>
      <c r="AG2" s="238" t="s">
        <v>1</v>
      </c>
      <c r="AH2" s="238"/>
      <c r="AI2" s="17"/>
      <c r="AJ2" s="18"/>
      <c r="AK2" s="15"/>
      <c r="AL2" s="10" t="e">
        <f>+#REF!</f>
        <v>#REF!</v>
      </c>
      <c r="AN2" s="18"/>
      <c r="AO2" s="18"/>
      <c r="AP2" s="18"/>
      <c r="AR2" s="15"/>
      <c r="AT2" s="15"/>
      <c r="AV2" s="15"/>
      <c r="AW2" s="15"/>
      <c r="AX2" s="15"/>
      <c r="AY2" s="15"/>
      <c r="AZ2" s="15"/>
      <c r="BA2" s="15"/>
      <c r="BB2" s="15"/>
      <c r="BC2" s="15"/>
      <c r="BD2" s="15"/>
      <c r="BE2" s="15"/>
      <c r="BF2" s="15"/>
      <c r="BG2" s="15"/>
      <c r="BH2" s="19"/>
    </row>
    <row r="3" spans="1:62">
      <c r="A3" s="20" t="str">
        <f>IF(G7=1,"DETAIL OF EXPENDITURES BUDGET BY DEPARTMENT WITH COMPARATIVE AMOUNTS", "SUMMARY OF EXPENDITURES BUDGET BY DEPARTMENT WITH COMPARATIVE AMOUNTS")</f>
        <v>DETAIL OF EXPENDITURES BUDGET BY DEPARTMENT WITH COMPARATIVE AMOUNTS</v>
      </c>
      <c r="B3" s="21"/>
      <c r="C3" s="21"/>
      <c r="D3" s="22"/>
      <c r="E3" s="22"/>
      <c r="F3" s="3"/>
      <c r="H3" s="5"/>
      <c r="I3" s="23"/>
      <c r="J3" s="15"/>
      <c r="L3" s="15"/>
      <c r="M3" s="10"/>
      <c r="N3" s="10"/>
      <c r="O3" s="10"/>
      <c r="P3" s="24"/>
      <c r="R3" s="24"/>
      <c r="V3" s="24"/>
      <c r="W3" s="24"/>
      <c r="X3" s="15"/>
      <c r="Y3" s="24"/>
      <c r="AA3" s="24"/>
      <c r="AB3" s="24" t="e">
        <f>+#REF!</f>
        <v>#REF!</v>
      </c>
      <c r="AC3" s="24"/>
      <c r="AD3" s="24" t="e">
        <f>+#REF!</f>
        <v>#REF!</v>
      </c>
      <c r="AE3" s="24"/>
      <c r="AF3" s="10" t="e">
        <f>+#REF!</f>
        <v>#REF!</v>
      </c>
      <c r="AG3" s="239" t="s">
        <v>2</v>
      </c>
      <c r="AH3" s="239"/>
      <c r="AI3" s="25"/>
      <c r="AJ3" s="25" t="e">
        <f>+#REF!</f>
        <v>#REF!</v>
      </c>
      <c r="AK3" s="24"/>
      <c r="AL3" s="16" t="s">
        <v>1</v>
      </c>
      <c r="AM3" s="25"/>
      <c r="AN3" s="25"/>
      <c r="AO3" s="25"/>
      <c r="AP3" s="25"/>
      <c r="AQ3" s="24"/>
      <c r="AR3" s="24" t="e">
        <f>+#REF!</f>
        <v>#REF!</v>
      </c>
      <c r="AS3" s="24"/>
      <c r="AT3" s="24" t="e">
        <f>+#REF!</f>
        <v>#REF!</v>
      </c>
      <c r="AU3" s="24"/>
      <c r="AV3" s="24" t="e">
        <f>+#REF!</f>
        <v>#REF!</v>
      </c>
      <c r="AW3" s="24"/>
      <c r="AX3" s="24" t="e">
        <f>+#REF!</f>
        <v>#REF!</v>
      </c>
      <c r="AY3" s="24"/>
      <c r="AZ3" s="24"/>
      <c r="BA3" s="24"/>
      <c r="BB3" s="24"/>
      <c r="BC3" s="24"/>
      <c r="BD3" s="26"/>
      <c r="BE3" s="26"/>
      <c r="BF3" s="26"/>
      <c r="BG3" s="26"/>
      <c r="BH3" s="27"/>
    </row>
    <row r="4" spans="1:62" ht="15">
      <c r="A4" s="28" t="s">
        <v>1070</v>
      </c>
      <c r="B4" s="29"/>
      <c r="C4" s="29"/>
      <c r="D4" s="28"/>
      <c r="E4" s="28"/>
      <c r="F4" s="3"/>
      <c r="H4" s="30"/>
      <c r="I4" s="31" t="e">
        <f>+#REF!</f>
        <v>#REF!</v>
      </c>
      <c r="J4" s="31" t="e">
        <f>+#REF!</f>
        <v>#REF!</v>
      </c>
      <c r="L4" s="31"/>
      <c r="M4" s="32"/>
      <c r="N4" s="33"/>
      <c r="O4" s="32"/>
      <c r="P4" s="33"/>
      <c r="R4" s="33"/>
      <c r="T4" s="33"/>
      <c r="X4" s="31"/>
      <c r="Z4" s="10"/>
      <c r="AB4" s="241"/>
      <c r="AC4" s="241"/>
      <c r="AD4" s="241"/>
      <c r="AE4" s="35"/>
      <c r="AF4" s="34"/>
      <c r="AG4" s="240"/>
      <c r="AH4" s="240"/>
      <c r="AI4" s="17"/>
      <c r="AJ4" s="16"/>
      <c r="AK4" s="24"/>
      <c r="AL4" s="16"/>
      <c r="AM4" s="17"/>
      <c r="AN4" s="31"/>
      <c r="AO4" s="31"/>
      <c r="AP4" s="31"/>
      <c r="AR4" s="34" t="s">
        <v>5</v>
      </c>
      <c r="AU4" s="35"/>
      <c r="AV4" s="34"/>
      <c r="AW4" s="34"/>
      <c r="AX4" s="34" t="s">
        <v>5</v>
      </c>
      <c r="AY4" s="34"/>
      <c r="AZ4" s="34"/>
      <c r="BA4" s="34"/>
      <c r="BB4" s="34"/>
      <c r="BC4" s="34"/>
      <c r="BD4" s="37"/>
      <c r="BE4" s="37"/>
      <c r="BF4" s="37"/>
      <c r="BG4" s="37"/>
      <c r="BH4" s="38"/>
    </row>
    <row r="5" spans="1:62" ht="15">
      <c r="B5" s="29"/>
      <c r="C5" s="29"/>
      <c r="D5" s="28"/>
      <c r="E5" s="28"/>
      <c r="G5" s="28"/>
      <c r="H5" s="5"/>
      <c r="I5" s="41" t="s">
        <v>6</v>
      </c>
      <c r="J5" s="42" t="s">
        <v>7</v>
      </c>
      <c r="L5" s="16" t="s">
        <v>8</v>
      </c>
      <c r="M5" s="16"/>
      <c r="N5" s="16" t="s">
        <v>9</v>
      </c>
      <c r="O5" s="16"/>
      <c r="P5" s="16" t="s">
        <v>9</v>
      </c>
      <c r="Q5" s="17"/>
      <c r="R5" s="43"/>
      <c r="S5" s="17"/>
      <c r="T5" s="16"/>
      <c r="U5" s="17"/>
      <c r="V5" s="16" t="s">
        <v>9</v>
      </c>
      <c r="X5" s="16" t="s">
        <v>9</v>
      </c>
      <c r="Z5" s="34" t="s">
        <v>1</v>
      </c>
      <c r="AB5" s="243" t="s">
        <v>10</v>
      </c>
      <c r="AC5" s="243"/>
      <c r="AD5" s="243"/>
      <c r="AE5" s="35"/>
      <c r="AF5" s="34" t="s">
        <v>1</v>
      </c>
      <c r="AG5" s="17"/>
      <c r="AH5" s="16" t="s">
        <v>11</v>
      </c>
      <c r="AI5" s="17"/>
      <c r="AJ5" s="16" t="s">
        <v>1</v>
      </c>
      <c r="AK5" s="24"/>
      <c r="AL5" s="43" t="s">
        <v>12</v>
      </c>
      <c r="AM5" s="17"/>
      <c r="AN5" s="16" t="s">
        <v>1</v>
      </c>
      <c r="AO5" s="45" t="s">
        <v>1</v>
      </c>
      <c r="AP5" s="46" t="s">
        <v>5</v>
      </c>
      <c r="AQ5" s="47"/>
      <c r="AR5" s="48" t="s">
        <v>10</v>
      </c>
      <c r="AS5" s="47"/>
      <c r="AT5" s="47"/>
      <c r="AU5" s="47"/>
      <c r="AV5" s="46" t="s">
        <v>5</v>
      </c>
      <c r="AW5" s="34"/>
      <c r="AX5" s="49" t="s">
        <v>3</v>
      </c>
      <c r="AY5" s="34"/>
      <c r="AZ5" s="34" t="s">
        <v>1054</v>
      </c>
      <c r="BA5" s="34" t="s">
        <v>1054</v>
      </c>
      <c r="BB5" s="34" t="s">
        <v>1069</v>
      </c>
      <c r="BC5" s="34"/>
      <c r="BD5" s="50" t="s">
        <v>13</v>
      </c>
      <c r="BE5" s="37"/>
      <c r="BF5" s="37"/>
      <c r="BG5" s="37"/>
      <c r="BH5" s="51"/>
    </row>
    <row r="6" spans="1:62">
      <c r="A6" s="242"/>
      <c r="B6" s="242"/>
      <c r="C6" s="242"/>
      <c r="D6" s="242"/>
      <c r="E6" s="242"/>
      <c r="F6" s="242"/>
      <c r="G6" s="22"/>
      <c r="H6" s="5"/>
      <c r="I6" s="52" t="s">
        <v>14</v>
      </c>
      <c r="J6" s="52" t="s">
        <v>14</v>
      </c>
      <c r="L6" s="43" t="s">
        <v>14</v>
      </c>
      <c r="M6" s="43"/>
      <c r="N6" s="43" t="s">
        <v>15</v>
      </c>
      <c r="O6" s="43"/>
      <c r="P6" s="43" t="s">
        <v>4</v>
      </c>
      <c r="Q6" s="17"/>
      <c r="R6" s="43" t="s">
        <v>4</v>
      </c>
      <c r="S6" s="43"/>
      <c r="T6" s="43" t="s">
        <v>16</v>
      </c>
      <c r="U6" s="43"/>
      <c r="V6" s="43" t="s">
        <v>4</v>
      </c>
      <c r="W6" s="43"/>
      <c r="X6" s="43" t="s">
        <v>14</v>
      </c>
      <c r="Y6" s="43"/>
      <c r="Z6" s="34" t="s">
        <v>17</v>
      </c>
      <c r="AA6" s="43"/>
      <c r="AB6" s="53" t="s">
        <v>16</v>
      </c>
      <c r="AC6" s="53"/>
      <c r="AD6" s="34"/>
      <c r="AE6" s="53"/>
      <c r="AF6" s="34" t="s">
        <v>17</v>
      </c>
      <c r="AG6" s="43" t="s">
        <v>16</v>
      </c>
      <c r="AH6" s="16" t="s">
        <v>18</v>
      </c>
      <c r="AI6" s="43"/>
      <c r="AJ6" s="16" t="s">
        <v>19</v>
      </c>
      <c r="AK6" s="24"/>
      <c r="AL6" s="43" t="s">
        <v>16</v>
      </c>
      <c r="AM6" s="43"/>
      <c r="AN6" s="43" t="s">
        <v>14</v>
      </c>
      <c r="AO6" s="45" t="s">
        <v>20</v>
      </c>
      <c r="AP6" s="43" t="s">
        <v>14</v>
      </c>
      <c r="AQ6" s="54"/>
      <c r="AR6" s="54" t="s">
        <v>16</v>
      </c>
      <c r="AS6" s="54"/>
      <c r="AT6" s="46"/>
      <c r="AU6" s="54"/>
      <c r="AV6" s="46" t="s">
        <v>19</v>
      </c>
      <c r="AW6" s="34"/>
      <c r="AX6" s="55" t="s">
        <v>16</v>
      </c>
      <c r="AY6" s="34"/>
      <c r="AZ6" s="34" t="s">
        <v>17</v>
      </c>
      <c r="BA6" s="34" t="s">
        <v>17</v>
      </c>
      <c r="BB6" s="34" t="s">
        <v>19</v>
      </c>
      <c r="BC6" s="56"/>
      <c r="BD6" s="50" t="s">
        <v>21</v>
      </c>
      <c r="BE6" s="37"/>
      <c r="BF6" s="37"/>
      <c r="BG6" s="37"/>
      <c r="BH6" s="57"/>
    </row>
    <row r="7" spans="1:62" ht="15">
      <c r="A7" s="237"/>
      <c r="B7" s="237"/>
      <c r="C7" s="237"/>
      <c r="D7" s="237"/>
      <c r="E7" s="237"/>
      <c r="F7" s="237"/>
      <c r="G7" s="59">
        <v>1</v>
      </c>
      <c r="H7" s="60"/>
      <c r="I7" s="52" t="s">
        <v>22</v>
      </c>
      <c r="J7" s="52" t="s">
        <v>22</v>
      </c>
      <c r="L7" s="43" t="s">
        <v>22</v>
      </c>
      <c r="M7" s="43"/>
      <c r="N7" s="43" t="s">
        <v>23</v>
      </c>
      <c r="O7" s="43"/>
      <c r="P7" s="43" t="s">
        <v>24</v>
      </c>
      <c r="Q7" s="43"/>
      <c r="R7" s="43" t="s">
        <v>24</v>
      </c>
      <c r="S7" s="43"/>
      <c r="T7" s="43" t="s">
        <v>25</v>
      </c>
      <c r="U7" s="43"/>
      <c r="V7" s="43" t="s">
        <v>24</v>
      </c>
      <c r="W7" s="43"/>
      <c r="X7" s="43" t="s">
        <v>22</v>
      </c>
      <c r="Y7" s="43"/>
      <c r="Z7" s="53" t="s">
        <v>15</v>
      </c>
      <c r="AA7" s="43"/>
      <c r="AB7" s="53" t="s">
        <v>26</v>
      </c>
      <c r="AC7" s="53"/>
      <c r="AD7" s="53"/>
      <c r="AE7" s="53"/>
      <c r="AF7" s="53" t="s">
        <v>4</v>
      </c>
      <c r="AG7" s="43" t="s">
        <v>26</v>
      </c>
      <c r="AH7" s="43" t="s">
        <v>27</v>
      </c>
      <c r="AI7" s="43"/>
      <c r="AJ7" s="43" t="s">
        <v>4</v>
      </c>
      <c r="AK7" s="24"/>
      <c r="AL7" s="43" t="s">
        <v>26</v>
      </c>
      <c r="AM7" s="43"/>
      <c r="AN7" s="43" t="s">
        <v>22</v>
      </c>
      <c r="AO7" s="61" t="s">
        <v>22</v>
      </c>
      <c r="AP7" s="43" t="s">
        <v>22</v>
      </c>
      <c r="AQ7" s="54"/>
      <c r="AR7" s="54" t="s">
        <v>26</v>
      </c>
      <c r="AS7" s="54"/>
      <c r="AT7" s="54"/>
      <c r="AU7" s="54"/>
      <c r="AV7" s="54" t="s">
        <v>4</v>
      </c>
      <c r="AW7" s="53"/>
      <c r="AX7" s="55" t="s">
        <v>26</v>
      </c>
      <c r="AY7" s="53"/>
      <c r="AZ7" s="34" t="s">
        <v>15</v>
      </c>
      <c r="BA7" s="53" t="s">
        <v>4</v>
      </c>
      <c r="BB7" s="34" t="s">
        <v>15</v>
      </c>
      <c r="BC7" s="56"/>
      <c r="BD7" s="50" t="s">
        <v>28</v>
      </c>
      <c r="BE7" s="62"/>
      <c r="BF7" s="62"/>
      <c r="BG7" s="62"/>
      <c r="BH7" s="57"/>
      <c r="BI7" s="63"/>
    </row>
    <row r="8" spans="1:62" ht="15">
      <c r="A8" s="237" t="s">
        <v>29</v>
      </c>
      <c r="B8" s="237"/>
      <c r="C8" s="237"/>
      <c r="D8" s="237"/>
      <c r="E8" s="58"/>
      <c r="F8" s="64" t="s">
        <v>30</v>
      </c>
      <c r="G8" s="64" t="s">
        <v>31</v>
      </c>
      <c r="H8" s="60"/>
      <c r="I8" s="65" t="s">
        <v>32</v>
      </c>
      <c r="J8" s="65" t="s">
        <v>32</v>
      </c>
      <c r="L8" s="66" t="s">
        <v>32</v>
      </c>
      <c r="M8" s="36"/>
      <c r="N8" s="36" t="s">
        <v>2</v>
      </c>
      <c r="O8" s="36"/>
      <c r="P8" s="36" t="s">
        <v>33</v>
      </c>
      <c r="Q8" s="36"/>
      <c r="R8" s="36" t="s">
        <v>34</v>
      </c>
      <c r="S8" s="36"/>
      <c r="T8" s="36" t="s">
        <v>35</v>
      </c>
      <c r="U8" s="36"/>
      <c r="V8" s="36" t="s">
        <v>36</v>
      </c>
      <c r="W8" s="36"/>
      <c r="X8" s="66" t="s">
        <v>32</v>
      </c>
      <c r="Y8" s="36"/>
      <c r="Z8" s="44" t="s">
        <v>24</v>
      </c>
      <c r="AA8" s="36"/>
      <c r="AB8" s="44" t="s">
        <v>35</v>
      </c>
      <c r="AC8" s="44"/>
      <c r="AD8" s="44" t="s">
        <v>37</v>
      </c>
      <c r="AE8" s="44"/>
      <c r="AF8" s="44" t="s">
        <v>38</v>
      </c>
      <c r="AG8" s="36" t="s">
        <v>35</v>
      </c>
      <c r="AH8" s="36" t="s">
        <v>39</v>
      </c>
      <c r="AI8" s="36"/>
      <c r="AJ8" s="36" t="s">
        <v>40</v>
      </c>
      <c r="AK8" s="24"/>
      <c r="AL8" s="36" t="s">
        <v>35</v>
      </c>
      <c r="AM8" s="36"/>
      <c r="AN8" s="36" t="s">
        <v>32</v>
      </c>
      <c r="AO8" s="67" t="s">
        <v>32</v>
      </c>
      <c r="AP8" s="36" t="s">
        <v>32</v>
      </c>
      <c r="AQ8" s="48"/>
      <c r="AR8" s="48" t="s">
        <v>35</v>
      </c>
      <c r="AS8" s="48"/>
      <c r="AT8" s="48" t="s">
        <v>37</v>
      </c>
      <c r="AU8" s="48"/>
      <c r="AV8" s="48" t="s">
        <v>38</v>
      </c>
      <c r="AW8" s="44"/>
      <c r="AX8" s="49" t="s">
        <v>35</v>
      </c>
      <c r="AY8" s="44"/>
      <c r="AZ8" s="44" t="s">
        <v>2</v>
      </c>
      <c r="BA8" s="44" t="s">
        <v>40</v>
      </c>
      <c r="BB8" s="44" t="s">
        <v>2</v>
      </c>
      <c r="BC8" s="56"/>
      <c r="BD8" s="50" t="s">
        <v>41</v>
      </c>
      <c r="BE8" s="68"/>
      <c r="BF8" s="68"/>
      <c r="BG8" s="68"/>
      <c r="BH8" s="69"/>
    </row>
    <row r="9" spans="1:62" ht="15">
      <c r="A9" s="58"/>
      <c r="B9" s="58"/>
      <c r="C9" s="58"/>
      <c r="D9" s="64"/>
      <c r="E9" s="64"/>
      <c r="F9" s="64"/>
      <c r="G9" s="70"/>
      <c r="H9" s="60"/>
      <c r="J9" s="71"/>
      <c r="AK9" s="24"/>
      <c r="AZ9" s="34"/>
      <c r="BB9" s="34"/>
      <c r="BC9" s="56"/>
      <c r="BH9" s="72">
        <v>2</v>
      </c>
    </row>
    <row r="10" spans="1:62" ht="20.100000000000001" customHeight="1" outlineLevel="1">
      <c r="A10" s="75" t="s">
        <v>833</v>
      </c>
      <c r="B10" s="77"/>
      <c r="C10" s="77"/>
      <c r="D10" s="90"/>
      <c r="E10" s="90"/>
      <c r="F10" s="3"/>
      <c r="H10" s="87"/>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5"/>
      <c r="AL10" s="83"/>
      <c r="AM10" s="83"/>
      <c r="AN10" s="100"/>
      <c r="AO10" s="100"/>
      <c r="AP10" s="100"/>
      <c r="AQ10" s="83"/>
      <c r="AR10" s="83"/>
      <c r="AS10" s="83"/>
      <c r="AT10" s="83"/>
      <c r="AU10" s="83"/>
      <c r="AV10" s="83"/>
      <c r="AW10" s="83"/>
      <c r="AX10" s="83"/>
      <c r="AY10" s="83"/>
      <c r="AZ10" s="83"/>
      <c r="BA10" s="83"/>
      <c r="BB10" s="83"/>
      <c r="BC10" s="56"/>
      <c r="BD10" s="83"/>
      <c r="BE10" s="83"/>
      <c r="BF10" s="83"/>
      <c r="BG10" s="83"/>
      <c r="BH10" s="19"/>
    </row>
    <row r="11" spans="1:62" ht="20.100000000000001" customHeight="1" outlineLevel="1">
      <c r="A11" s="77" t="s">
        <v>43</v>
      </c>
      <c r="B11" s="77" t="s">
        <v>203</v>
      </c>
      <c r="C11" s="77" t="s">
        <v>1117</v>
      </c>
      <c r="D11" s="78" t="s">
        <v>46</v>
      </c>
      <c r="E11" s="78" t="str">
        <f t="shared" ref="E11:E16" si="0">+D11</f>
        <v>000</v>
      </c>
      <c r="F11" s="3">
        <v>661011</v>
      </c>
      <c r="G11" s="80" t="s">
        <v>834</v>
      </c>
      <c r="H11" s="87"/>
      <c r="I11" s="82">
        <v>0</v>
      </c>
      <c r="J11" s="82">
        <v>0</v>
      </c>
      <c r="L11" s="83">
        <v>0</v>
      </c>
      <c r="M11" s="83"/>
      <c r="N11" s="83"/>
      <c r="O11" s="83"/>
      <c r="P11" s="83"/>
      <c r="Q11" s="83"/>
      <c r="R11" s="83"/>
      <c r="S11" s="83"/>
      <c r="T11" s="83"/>
      <c r="U11" s="83"/>
      <c r="V11" s="83"/>
      <c r="W11" s="83"/>
      <c r="X11" s="83">
        <v>0</v>
      </c>
      <c r="Y11" s="83"/>
      <c r="Z11" s="175">
        <v>0</v>
      </c>
      <c r="AA11" s="83"/>
      <c r="AB11" s="84">
        <v>16000</v>
      </c>
      <c r="AC11" s="83"/>
      <c r="AD11" s="175"/>
      <c r="AE11" s="83"/>
      <c r="AF11" s="86">
        <f t="shared" ref="AF11:AF20" si="1">SUM(Z11:AE11)</f>
        <v>16000</v>
      </c>
      <c r="AG11" s="86">
        <v>0</v>
      </c>
      <c r="AH11" s="86">
        <v>0</v>
      </c>
      <c r="AI11" s="100"/>
      <c r="AJ11" s="86">
        <f t="shared" ref="AJ11:AJ20" si="2">SUM(AE11:AI11)</f>
        <v>16000</v>
      </c>
      <c r="AK11" s="85"/>
      <c r="AL11" s="86">
        <v>0</v>
      </c>
      <c r="AM11" s="100"/>
      <c r="AN11" s="86">
        <f t="shared" ref="AN11:AN20" si="3">SUM(AI11:AM11)</f>
        <v>16000</v>
      </c>
      <c r="AO11" s="86">
        <v>0</v>
      </c>
      <c r="AP11" s="86">
        <v>16000</v>
      </c>
      <c r="AQ11" s="100"/>
      <c r="AR11" s="84">
        <v>0</v>
      </c>
      <c r="AS11" s="83"/>
      <c r="AT11" s="175">
        <v>0</v>
      </c>
      <c r="AU11" s="83"/>
      <c r="AV11" s="86">
        <f t="shared" ref="AV11:AV20" si="4">SUM(AP11:AU11)</f>
        <v>16000</v>
      </c>
      <c r="AW11" s="86"/>
      <c r="AX11" s="86">
        <v>0</v>
      </c>
      <c r="AY11" s="86"/>
      <c r="AZ11" s="86">
        <v>16000</v>
      </c>
      <c r="BA11" s="86">
        <v>16000</v>
      </c>
      <c r="BB11" s="214"/>
      <c r="BC11" s="56"/>
      <c r="BD11" s="84">
        <f t="shared" ref="BD11:BD34" si="5">+AP11-AN11</f>
        <v>0</v>
      </c>
      <c r="BE11" s="86"/>
      <c r="BF11" s="86"/>
      <c r="BG11" s="86"/>
      <c r="BH11" s="72"/>
    </row>
    <row r="12" spans="1:62" ht="20.100000000000001" customHeight="1" outlineLevel="1">
      <c r="A12" s="77" t="s">
        <v>43</v>
      </c>
      <c r="B12" s="77" t="s">
        <v>835</v>
      </c>
      <c r="C12" s="77" t="s">
        <v>1117</v>
      </c>
      <c r="D12" s="78" t="s">
        <v>46</v>
      </c>
      <c r="E12" s="78" t="str">
        <f t="shared" si="0"/>
        <v>000</v>
      </c>
      <c r="F12" s="3" t="s">
        <v>836</v>
      </c>
      <c r="G12" s="176" t="s">
        <v>837</v>
      </c>
      <c r="H12" s="87"/>
      <c r="I12" s="56">
        <v>242</v>
      </c>
      <c r="J12" s="56">
        <v>11</v>
      </c>
      <c r="L12" s="56">
        <v>55391</v>
      </c>
      <c r="M12" s="83"/>
      <c r="N12" s="83">
        <v>0</v>
      </c>
      <c r="O12" s="83"/>
      <c r="P12" s="83">
        <v>0</v>
      </c>
      <c r="Q12" s="83"/>
      <c r="R12" s="83">
        <v>0</v>
      </c>
      <c r="S12" s="83"/>
      <c r="T12" s="83">
        <v>0</v>
      </c>
      <c r="U12" s="83"/>
      <c r="V12" s="83">
        <v>0</v>
      </c>
      <c r="W12" s="83"/>
      <c r="X12" s="56">
        <f>467055.68-514.29</f>
        <v>466541.39</v>
      </c>
      <c r="Y12" s="83"/>
      <c r="Z12" s="56">
        <v>4000</v>
      </c>
      <c r="AA12" s="83"/>
      <c r="AB12" s="83"/>
      <c r="AC12" s="83"/>
      <c r="AD12" s="83"/>
      <c r="AE12" s="83"/>
      <c r="AF12" s="56">
        <f t="shared" si="1"/>
        <v>4000</v>
      </c>
      <c r="AG12" s="56">
        <v>0</v>
      </c>
      <c r="AH12" s="56">
        <v>0</v>
      </c>
      <c r="AI12" s="83"/>
      <c r="AJ12" s="86">
        <f t="shared" si="2"/>
        <v>4000</v>
      </c>
      <c r="AK12" s="85"/>
      <c r="AL12" s="56">
        <v>0</v>
      </c>
      <c r="AM12" s="83"/>
      <c r="AN12" s="88">
        <f t="shared" si="3"/>
        <v>4000</v>
      </c>
      <c r="AO12" s="88">
        <v>0</v>
      </c>
      <c r="AP12" s="86">
        <v>4000</v>
      </c>
      <c r="AQ12" s="83"/>
      <c r="AR12" s="56">
        <v>0</v>
      </c>
      <c r="AS12" s="56"/>
      <c r="AT12" s="56">
        <v>0</v>
      </c>
      <c r="AU12" s="83"/>
      <c r="AV12" s="56">
        <f t="shared" si="4"/>
        <v>4000</v>
      </c>
      <c r="AW12" s="56"/>
      <c r="AX12" s="56">
        <v>0</v>
      </c>
      <c r="AY12" s="56"/>
      <c r="AZ12" s="56">
        <v>4000</v>
      </c>
      <c r="BA12" s="56">
        <v>4000</v>
      </c>
      <c r="BB12" s="214"/>
      <c r="BC12" s="56"/>
      <c r="BD12" s="84">
        <f t="shared" si="5"/>
        <v>0</v>
      </c>
      <c r="BE12" s="86"/>
      <c r="BF12" s="86"/>
      <c r="BG12" s="86"/>
      <c r="BH12" s="72"/>
    </row>
    <row r="13" spans="1:62" ht="20.100000000000001" hidden="1" customHeight="1" outlineLevel="1">
      <c r="A13" s="77" t="s">
        <v>43</v>
      </c>
      <c r="B13" s="77" t="s">
        <v>43</v>
      </c>
      <c r="C13" s="77" t="s">
        <v>1117</v>
      </c>
      <c r="D13" s="78" t="s">
        <v>46</v>
      </c>
      <c r="E13" s="78" t="str">
        <f t="shared" si="0"/>
        <v>000</v>
      </c>
      <c r="F13" s="3">
        <v>612311</v>
      </c>
      <c r="G13" s="177" t="s">
        <v>838</v>
      </c>
      <c r="H13" s="87"/>
      <c r="I13" s="56">
        <v>0</v>
      </c>
      <c r="J13" s="56">
        <v>0</v>
      </c>
      <c r="L13" s="56">
        <v>0</v>
      </c>
      <c r="M13" s="56"/>
      <c r="N13" s="56">
        <v>0</v>
      </c>
      <c r="O13" s="56"/>
      <c r="P13" s="56">
        <v>0</v>
      </c>
      <c r="Q13" s="56"/>
      <c r="R13" s="56">
        <v>0</v>
      </c>
      <c r="S13" s="56"/>
      <c r="T13" s="56">
        <v>0</v>
      </c>
      <c r="U13" s="56"/>
      <c r="V13" s="56">
        <v>0</v>
      </c>
      <c r="W13" s="56"/>
      <c r="X13" s="56">
        <v>0</v>
      </c>
      <c r="Y13" s="56"/>
      <c r="Z13" s="56">
        <v>0</v>
      </c>
      <c r="AA13" s="56"/>
      <c r="AB13" s="56"/>
      <c r="AC13" s="56"/>
      <c r="AD13" s="56"/>
      <c r="AE13" s="56"/>
      <c r="AF13" s="56">
        <f t="shared" si="1"/>
        <v>0</v>
      </c>
      <c r="AG13" s="56">
        <v>0</v>
      </c>
      <c r="AH13" s="56">
        <v>0</v>
      </c>
      <c r="AI13" s="56"/>
      <c r="AJ13" s="56">
        <f t="shared" si="2"/>
        <v>0</v>
      </c>
      <c r="AK13" s="85"/>
      <c r="AL13" s="56">
        <v>0</v>
      </c>
      <c r="AM13" s="56"/>
      <c r="AN13" s="88">
        <f t="shared" si="3"/>
        <v>0</v>
      </c>
      <c r="AO13" s="88">
        <v>0</v>
      </c>
      <c r="AP13" s="88">
        <v>0</v>
      </c>
      <c r="AQ13" s="56"/>
      <c r="AR13" s="56">
        <v>0</v>
      </c>
      <c r="AS13" s="56"/>
      <c r="AT13" s="56">
        <v>0</v>
      </c>
      <c r="AU13" s="56"/>
      <c r="AV13" s="56">
        <f t="shared" si="4"/>
        <v>0</v>
      </c>
      <c r="AW13" s="56"/>
      <c r="AX13" s="56">
        <v>0</v>
      </c>
      <c r="AY13" s="56"/>
      <c r="AZ13" s="56">
        <v>0</v>
      </c>
      <c r="BA13" s="56">
        <v>0</v>
      </c>
      <c r="BB13" s="214"/>
      <c r="BC13" s="56"/>
      <c r="BD13" s="84">
        <f t="shared" si="5"/>
        <v>0</v>
      </c>
      <c r="BE13" s="56"/>
      <c r="BF13" s="56"/>
      <c r="BG13" s="56"/>
      <c r="BH13" s="72">
        <v>1</v>
      </c>
    </row>
    <row r="14" spans="1:62" ht="20.100000000000001" customHeight="1" outlineLevel="1">
      <c r="A14" s="77" t="s">
        <v>43</v>
      </c>
      <c r="B14" s="77" t="s">
        <v>218</v>
      </c>
      <c r="C14" s="77" t="s">
        <v>1118</v>
      </c>
      <c r="D14" s="78" t="s">
        <v>46</v>
      </c>
      <c r="E14" s="78" t="str">
        <f t="shared" si="0"/>
        <v>000</v>
      </c>
      <c r="F14" s="3">
        <v>611323</v>
      </c>
      <c r="G14" s="177" t="s">
        <v>839</v>
      </c>
      <c r="H14" s="87"/>
      <c r="I14" s="56">
        <v>0</v>
      </c>
      <c r="J14" s="56">
        <v>0</v>
      </c>
      <c r="L14" s="56">
        <v>0</v>
      </c>
      <c r="M14" s="56"/>
      <c r="N14" s="56">
        <v>0</v>
      </c>
      <c r="O14" s="56"/>
      <c r="P14" s="56">
        <v>0</v>
      </c>
      <c r="Q14" s="56"/>
      <c r="R14" s="56">
        <v>0</v>
      </c>
      <c r="S14" s="56"/>
      <c r="T14" s="56">
        <v>0</v>
      </c>
      <c r="U14" s="56"/>
      <c r="V14" s="56">
        <v>0</v>
      </c>
      <c r="W14" s="56"/>
      <c r="X14" s="56">
        <v>5000</v>
      </c>
      <c r="Y14" s="56"/>
      <c r="Z14" s="56">
        <v>0</v>
      </c>
      <c r="AA14" s="56"/>
      <c r="AB14" s="56"/>
      <c r="AC14" s="56"/>
      <c r="AD14" s="56"/>
      <c r="AE14" s="56"/>
      <c r="AF14" s="56">
        <f t="shared" si="1"/>
        <v>0</v>
      </c>
      <c r="AG14" s="56">
        <v>0</v>
      </c>
      <c r="AH14" s="56">
        <v>0</v>
      </c>
      <c r="AI14" s="56"/>
      <c r="AJ14" s="56">
        <f t="shared" si="2"/>
        <v>0</v>
      </c>
      <c r="AK14" s="85"/>
      <c r="AL14" s="56">
        <v>0</v>
      </c>
      <c r="AM14" s="56"/>
      <c r="AN14" s="88">
        <f t="shared" si="3"/>
        <v>0</v>
      </c>
      <c r="AO14" s="88">
        <v>0</v>
      </c>
      <c r="AP14" s="88">
        <v>0</v>
      </c>
      <c r="AQ14" s="56"/>
      <c r="AR14" s="56">
        <v>0</v>
      </c>
      <c r="AS14" s="56"/>
      <c r="AT14" s="56">
        <v>0</v>
      </c>
      <c r="AU14" s="56"/>
      <c r="AV14" s="56">
        <f t="shared" si="4"/>
        <v>0</v>
      </c>
      <c r="AW14" s="56"/>
      <c r="AX14" s="56">
        <v>0</v>
      </c>
      <c r="AY14" s="56"/>
      <c r="AZ14" s="56">
        <v>0</v>
      </c>
      <c r="BA14" s="56">
        <v>0</v>
      </c>
      <c r="BB14" s="214"/>
      <c r="BC14" s="56"/>
      <c r="BD14" s="84">
        <f t="shared" si="5"/>
        <v>0</v>
      </c>
      <c r="BE14" s="56"/>
      <c r="BF14" s="56"/>
      <c r="BG14" s="56"/>
      <c r="BH14" s="72">
        <v>1</v>
      </c>
    </row>
    <row r="15" spans="1:62" ht="20.100000000000001" customHeight="1" outlineLevel="1">
      <c r="A15" s="77" t="s">
        <v>43</v>
      </c>
      <c r="B15" s="77" t="s">
        <v>218</v>
      </c>
      <c r="C15" s="77" t="s">
        <v>1118</v>
      </c>
      <c r="D15" s="78" t="s">
        <v>46</v>
      </c>
      <c r="E15" s="78" t="str">
        <f t="shared" si="0"/>
        <v>000</v>
      </c>
      <c r="F15" s="3">
        <v>611342</v>
      </c>
      <c r="G15" s="176" t="s">
        <v>840</v>
      </c>
      <c r="H15" s="87"/>
      <c r="I15" s="13">
        <v>10000</v>
      </c>
      <c r="J15" s="13">
        <v>15000</v>
      </c>
      <c r="L15" s="56">
        <v>20000</v>
      </c>
      <c r="M15" s="56"/>
      <c r="N15" s="56">
        <v>20000</v>
      </c>
      <c r="O15" s="56"/>
      <c r="P15" s="56">
        <v>20000</v>
      </c>
      <c r="Q15" s="56"/>
      <c r="R15" s="56">
        <v>20000</v>
      </c>
      <c r="S15" s="56"/>
      <c r="T15" s="56">
        <v>0</v>
      </c>
      <c r="U15" s="56"/>
      <c r="V15" s="56">
        <v>20000</v>
      </c>
      <c r="W15" s="56"/>
      <c r="X15" s="56">
        <v>20000</v>
      </c>
      <c r="Y15" s="56"/>
      <c r="Z15" s="56">
        <v>20000</v>
      </c>
      <c r="AA15" s="56"/>
      <c r="AB15" s="56"/>
      <c r="AC15" s="56"/>
      <c r="AD15" s="56"/>
      <c r="AE15" s="56"/>
      <c r="AF15" s="56">
        <f t="shared" si="1"/>
        <v>20000</v>
      </c>
      <c r="AG15" s="56">
        <v>0</v>
      </c>
      <c r="AH15" s="56">
        <v>0</v>
      </c>
      <c r="AI15" s="56"/>
      <c r="AJ15" s="56">
        <f t="shared" si="2"/>
        <v>20000</v>
      </c>
      <c r="AK15" s="85"/>
      <c r="AL15" s="56">
        <v>0</v>
      </c>
      <c r="AM15" s="56"/>
      <c r="AN15" s="88">
        <f t="shared" si="3"/>
        <v>20000</v>
      </c>
      <c r="AO15" s="88">
        <v>0</v>
      </c>
      <c r="AP15" s="88">
        <v>20000</v>
      </c>
      <c r="AQ15" s="56"/>
      <c r="AR15" s="56">
        <v>0</v>
      </c>
      <c r="AS15" s="56"/>
      <c r="AT15" s="56">
        <v>0</v>
      </c>
      <c r="AU15" s="56"/>
      <c r="AV15" s="56">
        <f t="shared" si="4"/>
        <v>20000</v>
      </c>
      <c r="AW15" s="56"/>
      <c r="AX15" s="56">
        <v>0</v>
      </c>
      <c r="AY15" s="56"/>
      <c r="AZ15" s="56">
        <v>20000</v>
      </c>
      <c r="BA15" s="56">
        <v>20000</v>
      </c>
      <c r="BB15" s="214"/>
      <c r="BC15" s="56"/>
      <c r="BD15" s="84">
        <f t="shared" si="5"/>
        <v>0</v>
      </c>
      <c r="BE15" s="56"/>
      <c r="BF15" s="56"/>
      <c r="BG15" s="56"/>
      <c r="BH15" s="72">
        <v>1</v>
      </c>
      <c r="BJ15">
        <v>1</v>
      </c>
    </row>
    <row r="16" spans="1:62" ht="20.100000000000001" customHeight="1" outlineLevel="1">
      <c r="A16" s="77" t="s">
        <v>43</v>
      </c>
      <c r="B16" s="77" t="s">
        <v>841</v>
      </c>
      <c r="C16" s="77"/>
      <c r="D16" s="78" t="s">
        <v>46</v>
      </c>
      <c r="E16" s="78" t="str">
        <f t="shared" si="0"/>
        <v>000</v>
      </c>
      <c r="F16" s="3">
        <v>689112</v>
      </c>
      <c r="G16" s="176" t="s">
        <v>842</v>
      </c>
      <c r="H16" s="87"/>
      <c r="I16" s="13">
        <v>0</v>
      </c>
      <c r="J16" s="13">
        <v>0</v>
      </c>
      <c r="L16" s="56">
        <v>0</v>
      </c>
      <c r="M16" s="56"/>
      <c r="N16" s="56">
        <v>0</v>
      </c>
      <c r="O16" s="56"/>
      <c r="P16" s="56">
        <v>0</v>
      </c>
      <c r="Q16" s="56"/>
      <c r="R16" s="56">
        <v>0</v>
      </c>
      <c r="S16" s="56"/>
      <c r="T16" s="56">
        <v>0</v>
      </c>
      <c r="U16" s="56"/>
      <c r="V16" s="56">
        <v>0</v>
      </c>
      <c r="W16" s="56"/>
      <c r="X16" s="56">
        <v>184125</v>
      </c>
      <c r="Y16" s="56"/>
      <c r="Z16" s="56">
        <v>0</v>
      </c>
      <c r="AA16" s="56"/>
      <c r="AB16" s="56"/>
      <c r="AC16" s="56"/>
      <c r="AD16" s="56"/>
      <c r="AE16" s="56"/>
      <c r="AF16" s="56">
        <f t="shared" si="1"/>
        <v>0</v>
      </c>
      <c r="AG16" s="56">
        <v>0</v>
      </c>
      <c r="AH16" s="56">
        <v>0</v>
      </c>
      <c r="AI16" s="56"/>
      <c r="AJ16" s="56">
        <f t="shared" si="2"/>
        <v>0</v>
      </c>
      <c r="AK16" s="85"/>
      <c r="AL16" s="56">
        <v>0</v>
      </c>
      <c r="AM16" s="56"/>
      <c r="AN16" s="88">
        <f t="shared" si="3"/>
        <v>0</v>
      </c>
      <c r="AO16" s="88">
        <v>0</v>
      </c>
      <c r="AP16" s="88">
        <v>0</v>
      </c>
      <c r="AQ16" s="56"/>
      <c r="AR16" s="56">
        <v>0</v>
      </c>
      <c r="AS16" s="56"/>
      <c r="AT16" s="56">
        <v>0</v>
      </c>
      <c r="AU16" s="56"/>
      <c r="AV16" s="56">
        <f t="shared" si="4"/>
        <v>0</v>
      </c>
      <c r="AW16" s="56"/>
      <c r="AX16" s="56">
        <v>0</v>
      </c>
      <c r="AY16" s="56"/>
      <c r="AZ16" s="56">
        <v>0</v>
      </c>
      <c r="BA16" s="56">
        <v>0</v>
      </c>
      <c r="BB16" s="214"/>
      <c r="BC16" s="56"/>
      <c r="BD16" s="84">
        <f t="shared" si="5"/>
        <v>0</v>
      </c>
      <c r="BE16" s="56"/>
      <c r="BF16" s="56"/>
      <c r="BG16" s="56"/>
      <c r="BH16" s="72"/>
    </row>
    <row r="17" spans="1:60" ht="20.100000000000001" customHeight="1" outlineLevel="1">
      <c r="A17" s="77" t="s">
        <v>43</v>
      </c>
      <c r="B17" s="77" t="s">
        <v>214</v>
      </c>
      <c r="C17" s="77" t="s">
        <v>1119</v>
      </c>
      <c r="D17" s="78" t="s">
        <v>46</v>
      </c>
      <c r="E17" s="78" t="str">
        <f t="shared" ref="E17:E33" si="6">+D17</f>
        <v>000</v>
      </c>
      <c r="F17" s="3">
        <v>633914</v>
      </c>
      <c r="G17" s="176" t="s">
        <v>843</v>
      </c>
      <c r="H17" s="87"/>
      <c r="I17" s="13">
        <v>0</v>
      </c>
      <c r="J17" s="13">
        <v>0</v>
      </c>
      <c r="L17" s="56">
        <v>0</v>
      </c>
      <c r="M17" s="56"/>
      <c r="N17" s="56">
        <v>0</v>
      </c>
      <c r="O17" s="56"/>
      <c r="P17" s="56">
        <v>0</v>
      </c>
      <c r="Q17" s="56"/>
      <c r="R17" s="56">
        <v>53600</v>
      </c>
      <c r="S17" s="56"/>
      <c r="T17" s="56">
        <v>0</v>
      </c>
      <c r="U17" s="56"/>
      <c r="V17" s="56">
        <v>53600</v>
      </c>
      <c r="W17" s="56"/>
      <c r="X17" s="56">
        <v>79643.3</v>
      </c>
      <c r="Y17" s="56"/>
      <c r="Z17" s="56">
        <v>0</v>
      </c>
      <c r="AA17" s="56"/>
      <c r="AB17" s="56"/>
      <c r="AC17" s="56"/>
      <c r="AD17" s="56"/>
      <c r="AE17" s="56"/>
      <c r="AF17" s="56">
        <f t="shared" si="1"/>
        <v>0</v>
      </c>
      <c r="AG17" s="56">
        <v>0</v>
      </c>
      <c r="AH17" s="56">
        <v>0</v>
      </c>
      <c r="AI17" s="56"/>
      <c r="AJ17" s="56">
        <f t="shared" si="2"/>
        <v>0</v>
      </c>
      <c r="AK17" s="85"/>
      <c r="AL17" s="56">
        <v>0</v>
      </c>
      <c r="AM17" s="56"/>
      <c r="AN17" s="88">
        <f t="shared" si="3"/>
        <v>0</v>
      </c>
      <c r="AO17" s="88">
        <v>0</v>
      </c>
      <c r="AP17" s="88">
        <v>46150</v>
      </c>
      <c r="AQ17" s="56"/>
      <c r="AR17" s="56">
        <v>0</v>
      </c>
      <c r="AS17" s="56"/>
      <c r="AT17" s="56">
        <v>0</v>
      </c>
      <c r="AU17" s="56"/>
      <c r="AV17" s="56">
        <f t="shared" si="4"/>
        <v>46150</v>
      </c>
      <c r="AW17" s="56"/>
      <c r="AX17" s="56">
        <v>0</v>
      </c>
      <c r="AY17" s="56"/>
      <c r="AZ17" s="56">
        <v>46150</v>
      </c>
      <c r="BA17" s="56">
        <v>46150</v>
      </c>
      <c r="BB17" s="214"/>
      <c r="BC17" s="56"/>
      <c r="BD17" s="84">
        <f t="shared" si="5"/>
        <v>46150</v>
      </c>
      <c r="BE17" s="56"/>
      <c r="BF17" s="56"/>
      <c r="BG17" s="56"/>
      <c r="BH17" s="72"/>
    </row>
    <row r="18" spans="1:60" ht="20.100000000000001" hidden="1" customHeight="1" outlineLevel="1">
      <c r="A18" s="77" t="s">
        <v>43</v>
      </c>
      <c r="B18" s="77" t="s">
        <v>844</v>
      </c>
      <c r="C18" s="77" t="s">
        <v>1118</v>
      </c>
      <c r="D18" s="78" t="s">
        <v>46</v>
      </c>
      <c r="E18" s="78" t="str">
        <f t="shared" si="6"/>
        <v>000</v>
      </c>
      <c r="F18" s="3">
        <v>658211</v>
      </c>
      <c r="G18" s="176" t="s">
        <v>845</v>
      </c>
      <c r="H18" s="87"/>
      <c r="I18" s="13">
        <v>80</v>
      </c>
      <c r="J18" s="13">
        <v>2253</v>
      </c>
      <c r="L18" s="56">
        <v>0</v>
      </c>
      <c r="M18" s="56"/>
      <c r="N18" s="56">
        <v>0</v>
      </c>
      <c r="O18" s="56"/>
      <c r="P18" s="56">
        <v>0</v>
      </c>
      <c r="Q18" s="56"/>
      <c r="R18" s="56">
        <v>0</v>
      </c>
      <c r="S18" s="56"/>
      <c r="T18" s="56">
        <v>0</v>
      </c>
      <c r="U18" s="56"/>
      <c r="V18" s="56">
        <v>0</v>
      </c>
      <c r="W18" s="56"/>
      <c r="X18" s="56">
        <v>0</v>
      </c>
      <c r="Y18" s="56"/>
      <c r="Z18" s="56">
        <v>0</v>
      </c>
      <c r="AA18" s="56"/>
      <c r="AB18" s="56"/>
      <c r="AC18" s="56"/>
      <c r="AD18" s="56"/>
      <c r="AE18" s="56"/>
      <c r="AF18" s="56">
        <f t="shared" si="1"/>
        <v>0</v>
      </c>
      <c r="AG18" s="56">
        <v>0</v>
      </c>
      <c r="AH18" s="56">
        <v>0</v>
      </c>
      <c r="AI18" s="56"/>
      <c r="AJ18" s="56">
        <f t="shared" si="2"/>
        <v>0</v>
      </c>
      <c r="AK18" s="85"/>
      <c r="AL18" s="56">
        <v>0</v>
      </c>
      <c r="AM18" s="56"/>
      <c r="AN18" s="88">
        <f t="shared" si="3"/>
        <v>0</v>
      </c>
      <c r="AO18" s="88">
        <v>0</v>
      </c>
      <c r="AP18" s="88">
        <v>0</v>
      </c>
      <c r="AQ18" s="56"/>
      <c r="AR18" s="56">
        <v>0</v>
      </c>
      <c r="AS18" s="56"/>
      <c r="AT18" s="56">
        <v>0</v>
      </c>
      <c r="AU18" s="56"/>
      <c r="AV18" s="56">
        <f t="shared" si="4"/>
        <v>0</v>
      </c>
      <c r="AW18" s="56"/>
      <c r="AX18" s="56">
        <v>0</v>
      </c>
      <c r="AY18" s="56"/>
      <c r="AZ18" s="56">
        <v>0</v>
      </c>
      <c r="BA18" s="56">
        <v>0</v>
      </c>
      <c r="BB18" s="214"/>
      <c r="BC18" s="56"/>
      <c r="BD18" s="84">
        <f t="shared" si="5"/>
        <v>0</v>
      </c>
      <c r="BE18" s="56"/>
      <c r="BF18" s="56"/>
      <c r="BG18" s="56"/>
      <c r="BH18" s="72"/>
    </row>
    <row r="19" spans="1:60" ht="20.100000000000001" customHeight="1" outlineLevel="1">
      <c r="A19" s="77" t="s">
        <v>43</v>
      </c>
      <c r="B19" s="77" t="s">
        <v>225</v>
      </c>
      <c r="C19" s="77" t="s">
        <v>1120</v>
      </c>
      <c r="D19" s="78" t="s">
        <v>46</v>
      </c>
      <c r="E19" s="78" t="str">
        <f t="shared" si="6"/>
        <v>000</v>
      </c>
      <c r="F19" s="3">
        <v>615011</v>
      </c>
      <c r="G19" s="176" t="s">
        <v>846</v>
      </c>
      <c r="H19" s="87"/>
      <c r="I19" s="13">
        <v>0</v>
      </c>
      <c r="J19" s="13">
        <v>728</v>
      </c>
      <c r="L19" s="56">
        <v>1795</v>
      </c>
      <c r="M19" s="56"/>
      <c r="N19" s="56">
        <v>0</v>
      </c>
      <c r="O19" s="56"/>
      <c r="P19" s="56">
        <v>0</v>
      </c>
      <c r="Q19" s="56"/>
      <c r="R19" s="56">
        <v>0</v>
      </c>
      <c r="S19" s="56"/>
      <c r="T19" s="56">
        <v>0</v>
      </c>
      <c r="U19" s="56"/>
      <c r="V19" s="56">
        <v>0</v>
      </c>
      <c r="W19" s="56"/>
      <c r="X19" s="56">
        <v>0</v>
      </c>
      <c r="Y19" s="56"/>
      <c r="Z19" s="56">
        <v>0</v>
      </c>
      <c r="AA19" s="56"/>
      <c r="AB19" s="56"/>
      <c r="AC19" s="56"/>
      <c r="AD19" s="56"/>
      <c r="AE19" s="56"/>
      <c r="AF19" s="56">
        <f t="shared" si="1"/>
        <v>0</v>
      </c>
      <c r="AG19" s="56">
        <v>0</v>
      </c>
      <c r="AH19" s="56">
        <v>0</v>
      </c>
      <c r="AI19" s="56"/>
      <c r="AJ19" s="56">
        <f t="shared" si="2"/>
        <v>0</v>
      </c>
      <c r="AK19" s="85"/>
      <c r="AL19" s="56">
        <v>0</v>
      </c>
      <c r="AM19" s="56"/>
      <c r="AN19" s="88">
        <f t="shared" si="3"/>
        <v>0</v>
      </c>
      <c r="AO19" s="88">
        <v>0</v>
      </c>
      <c r="AP19" s="88">
        <v>0</v>
      </c>
      <c r="AQ19" s="56"/>
      <c r="AR19" s="56">
        <v>0</v>
      </c>
      <c r="AS19" s="56"/>
      <c r="AT19" s="56">
        <v>0</v>
      </c>
      <c r="AU19" s="56"/>
      <c r="AV19" s="56">
        <f t="shared" si="4"/>
        <v>0</v>
      </c>
      <c r="AW19" s="56"/>
      <c r="AX19" s="56">
        <v>0</v>
      </c>
      <c r="AY19" s="56"/>
      <c r="AZ19" s="56">
        <v>0</v>
      </c>
      <c r="BA19" s="56">
        <v>0</v>
      </c>
      <c r="BB19" s="214"/>
      <c r="BC19" s="56"/>
      <c r="BD19" s="84">
        <f t="shared" si="5"/>
        <v>0</v>
      </c>
      <c r="BE19" s="56"/>
      <c r="BF19" s="56"/>
      <c r="BG19" s="56"/>
      <c r="BH19" s="72">
        <v>1</v>
      </c>
    </row>
    <row r="20" spans="1:60" ht="20.100000000000001" customHeight="1" outlineLevel="1">
      <c r="A20" s="77" t="s">
        <v>43</v>
      </c>
      <c r="B20" s="77" t="s">
        <v>844</v>
      </c>
      <c r="C20" s="77" t="s">
        <v>1120</v>
      </c>
      <c r="D20" s="78" t="s">
        <v>46</v>
      </c>
      <c r="E20" s="78" t="str">
        <f t="shared" si="6"/>
        <v>000</v>
      </c>
      <c r="F20" s="3">
        <v>661001</v>
      </c>
      <c r="G20" s="176" t="s">
        <v>847</v>
      </c>
      <c r="H20" s="87"/>
      <c r="I20" s="13">
        <v>0</v>
      </c>
      <c r="J20" s="13">
        <v>2267</v>
      </c>
      <c r="L20" s="56">
        <v>0</v>
      </c>
      <c r="M20" s="56"/>
      <c r="N20" s="56">
        <v>0</v>
      </c>
      <c r="O20" s="56"/>
      <c r="P20" s="56">
        <v>0</v>
      </c>
      <c r="Q20" s="56"/>
      <c r="R20" s="56">
        <v>0</v>
      </c>
      <c r="S20" s="56"/>
      <c r="T20" s="56">
        <v>0</v>
      </c>
      <c r="U20" s="56"/>
      <c r="V20" s="56">
        <v>0</v>
      </c>
      <c r="W20" s="56"/>
      <c r="X20" s="56">
        <v>0</v>
      </c>
      <c r="Y20" s="56"/>
      <c r="Z20" s="56">
        <v>0</v>
      </c>
      <c r="AA20" s="56"/>
      <c r="AB20" s="56"/>
      <c r="AC20" s="56"/>
      <c r="AD20" s="56">
        <v>6043</v>
      </c>
      <c r="AE20" s="56"/>
      <c r="AF20" s="56">
        <f t="shared" si="1"/>
        <v>6043</v>
      </c>
      <c r="AG20" s="56">
        <v>0</v>
      </c>
      <c r="AH20" s="56">
        <v>0</v>
      </c>
      <c r="AI20" s="56"/>
      <c r="AJ20" s="56">
        <f t="shared" si="2"/>
        <v>6043</v>
      </c>
      <c r="AK20" s="85"/>
      <c r="AL20" s="56">
        <v>0</v>
      </c>
      <c r="AM20" s="56"/>
      <c r="AN20" s="88">
        <f t="shared" si="3"/>
        <v>6043</v>
      </c>
      <c r="AO20" s="88">
        <v>0</v>
      </c>
      <c r="AP20" s="88">
        <v>6043</v>
      </c>
      <c r="AQ20" s="56"/>
      <c r="AR20" s="56">
        <v>0</v>
      </c>
      <c r="AS20" s="56"/>
      <c r="AT20" s="56">
        <v>0</v>
      </c>
      <c r="AU20" s="56"/>
      <c r="AV20" s="56">
        <f t="shared" si="4"/>
        <v>6043</v>
      </c>
      <c r="AW20" s="56"/>
      <c r="AX20" s="56">
        <v>0</v>
      </c>
      <c r="AY20" s="56"/>
      <c r="AZ20" s="56">
        <v>6043</v>
      </c>
      <c r="BA20" s="56">
        <v>6043</v>
      </c>
      <c r="BB20" s="214"/>
      <c r="BC20" s="56"/>
      <c r="BD20" s="84">
        <f t="shared" si="5"/>
        <v>0</v>
      </c>
      <c r="BE20" s="56"/>
      <c r="BF20" s="56"/>
      <c r="BG20" s="56"/>
      <c r="BH20" s="72"/>
    </row>
    <row r="21" spans="1:60" ht="20.100000000000001" customHeight="1" outlineLevel="1">
      <c r="A21" s="77" t="s">
        <v>43</v>
      </c>
      <c r="B21" s="77" t="s">
        <v>43</v>
      </c>
      <c r="C21" s="77"/>
      <c r="D21" s="78" t="s">
        <v>46</v>
      </c>
      <c r="E21" s="78" t="str">
        <f t="shared" si="6"/>
        <v>000</v>
      </c>
      <c r="F21" s="3">
        <v>611211</v>
      </c>
      <c r="G21" s="176" t="s">
        <v>848</v>
      </c>
      <c r="H21" s="87"/>
      <c r="I21" s="13"/>
      <c r="J21" s="13"/>
      <c r="L21" s="56">
        <v>0</v>
      </c>
      <c r="M21" s="56"/>
      <c r="N21" s="56"/>
      <c r="O21" s="56"/>
      <c r="P21" s="56"/>
      <c r="Q21" s="56"/>
      <c r="R21" s="56"/>
      <c r="S21" s="56"/>
      <c r="T21" s="56"/>
      <c r="U21" s="56"/>
      <c r="V21" s="56"/>
      <c r="W21" s="56"/>
      <c r="X21" s="56">
        <f>66339+22998+3388+5764+5764+2887.08+5120</f>
        <v>112260.08</v>
      </c>
      <c r="Y21" s="56"/>
      <c r="Z21" s="56">
        <v>0</v>
      </c>
      <c r="AA21" s="56"/>
      <c r="AB21" s="56"/>
      <c r="AC21" s="56"/>
      <c r="AD21" s="56"/>
      <c r="AE21" s="56"/>
      <c r="AF21" s="56">
        <v>0</v>
      </c>
      <c r="AG21" s="56">
        <v>0</v>
      </c>
      <c r="AH21" s="56">
        <v>0</v>
      </c>
      <c r="AI21" s="56"/>
      <c r="AJ21" s="56"/>
      <c r="AK21" s="85"/>
      <c r="AL21" s="56">
        <v>0</v>
      </c>
      <c r="AM21" s="56"/>
      <c r="AN21" s="88"/>
      <c r="AO21" s="88">
        <v>0</v>
      </c>
      <c r="AP21" s="88">
        <v>0</v>
      </c>
      <c r="AQ21" s="56"/>
      <c r="AR21" s="56">
        <v>0</v>
      </c>
      <c r="AS21" s="56"/>
      <c r="AT21" s="56">
        <v>0</v>
      </c>
      <c r="AU21" s="56"/>
      <c r="AV21" s="56">
        <v>0</v>
      </c>
      <c r="AW21" s="56"/>
      <c r="AX21" s="56">
        <v>0</v>
      </c>
      <c r="AY21" s="56"/>
      <c r="AZ21" s="56">
        <v>0</v>
      </c>
      <c r="BA21" s="56">
        <v>0</v>
      </c>
      <c r="BB21" s="214"/>
      <c r="BC21" s="56"/>
      <c r="BD21" s="84">
        <f t="shared" si="5"/>
        <v>0</v>
      </c>
      <c r="BE21" s="56"/>
      <c r="BF21" s="56"/>
      <c r="BG21" s="56"/>
      <c r="BH21" s="72">
        <v>1</v>
      </c>
    </row>
    <row r="22" spans="1:60" ht="20.100000000000001" customHeight="1" outlineLevel="1">
      <c r="A22" s="77" t="s">
        <v>43</v>
      </c>
      <c r="B22" s="77" t="s">
        <v>43</v>
      </c>
      <c r="C22" s="77"/>
      <c r="D22" s="78" t="s">
        <v>46</v>
      </c>
      <c r="E22" s="78" t="str">
        <f t="shared" si="6"/>
        <v>000</v>
      </c>
      <c r="F22" s="3">
        <v>661021</v>
      </c>
      <c r="G22" s="176" t="s">
        <v>849</v>
      </c>
      <c r="H22" s="87"/>
      <c r="I22" s="13"/>
      <c r="J22" s="13"/>
      <c r="L22" s="56">
        <v>0</v>
      </c>
      <c r="M22" s="56"/>
      <c r="N22" s="56"/>
      <c r="O22" s="56"/>
      <c r="P22" s="56"/>
      <c r="Q22" s="56"/>
      <c r="R22" s="56"/>
      <c r="S22" s="56"/>
      <c r="T22" s="56"/>
      <c r="U22" s="56"/>
      <c r="V22" s="56"/>
      <c r="W22" s="56"/>
      <c r="X22" s="56">
        <v>9767.2999999999993</v>
      </c>
      <c r="Y22" s="56"/>
      <c r="Z22" s="56">
        <v>0</v>
      </c>
      <c r="AA22" s="56"/>
      <c r="AB22" s="56"/>
      <c r="AC22" s="56"/>
      <c r="AD22" s="56"/>
      <c r="AE22" s="56"/>
      <c r="AF22" s="56"/>
      <c r="AG22" s="56">
        <v>0</v>
      </c>
      <c r="AH22" s="56">
        <v>0</v>
      </c>
      <c r="AI22" s="56"/>
      <c r="AJ22" s="56"/>
      <c r="AK22" s="85"/>
      <c r="AL22" s="56">
        <v>0</v>
      </c>
      <c r="AM22" s="56"/>
      <c r="AN22" s="88"/>
      <c r="AO22" s="88">
        <v>0</v>
      </c>
      <c r="AP22" s="88">
        <v>0</v>
      </c>
      <c r="AQ22" s="56"/>
      <c r="AR22" s="56">
        <v>0</v>
      </c>
      <c r="AS22" s="56"/>
      <c r="AT22" s="56">
        <v>0</v>
      </c>
      <c r="AU22" s="56"/>
      <c r="AV22" s="56"/>
      <c r="AW22" s="56"/>
      <c r="AX22" s="56">
        <v>0</v>
      </c>
      <c r="AY22" s="56"/>
      <c r="AZ22" s="56"/>
      <c r="BA22" s="56"/>
      <c r="BB22" s="214"/>
      <c r="BC22" s="56"/>
      <c r="BD22" s="84">
        <f t="shared" si="5"/>
        <v>0</v>
      </c>
      <c r="BE22" s="56"/>
      <c r="BF22" s="56"/>
      <c r="BG22" s="56"/>
      <c r="BH22" s="72"/>
    </row>
    <row r="23" spans="1:60" ht="20.100000000000001" customHeight="1" outlineLevel="1">
      <c r="A23" s="77" t="s">
        <v>43</v>
      </c>
      <c r="B23" s="77" t="s">
        <v>203</v>
      </c>
      <c r="C23" s="77" t="s">
        <v>1120</v>
      </c>
      <c r="D23" s="78" t="s">
        <v>46</v>
      </c>
      <c r="E23" s="78" t="str">
        <f t="shared" si="6"/>
        <v>000</v>
      </c>
      <c r="F23" s="3">
        <v>661035</v>
      </c>
      <c r="G23" s="176" t="s">
        <v>850</v>
      </c>
      <c r="H23" s="87"/>
      <c r="I23" s="13">
        <v>0</v>
      </c>
      <c r="J23" s="13">
        <v>23269</v>
      </c>
      <c r="L23" s="56">
        <v>6457</v>
      </c>
      <c r="M23" s="56"/>
      <c r="N23" s="56">
        <v>0</v>
      </c>
      <c r="O23" s="56"/>
      <c r="P23" s="56">
        <v>0</v>
      </c>
      <c r="Q23" s="56"/>
      <c r="R23" s="56">
        <v>0</v>
      </c>
      <c r="S23" s="56"/>
      <c r="T23" s="56">
        <v>0</v>
      </c>
      <c r="U23" s="56"/>
      <c r="V23" s="56">
        <v>0</v>
      </c>
      <c r="W23" s="56"/>
      <c r="X23" s="56">
        <v>4114.2299999999996</v>
      </c>
      <c r="Y23" s="56"/>
      <c r="Z23" s="56">
        <v>0</v>
      </c>
      <c r="AA23" s="56"/>
      <c r="AB23" s="56"/>
      <c r="AC23" s="56"/>
      <c r="AD23" s="56"/>
      <c r="AE23" s="56"/>
      <c r="AF23" s="56">
        <f t="shared" ref="AF23:AF33" si="7">SUM(Z23:AE23)</f>
        <v>0</v>
      </c>
      <c r="AG23" s="56">
        <v>0</v>
      </c>
      <c r="AH23" s="56">
        <v>0</v>
      </c>
      <c r="AI23" s="56"/>
      <c r="AJ23" s="56">
        <f t="shared" ref="AJ23:AJ33" si="8">SUM(AE23:AI23)</f>
        <v>0</v>
      </c>
      <c r="AK23" s="85"/>
      <c r="AL23" s="56">
        <v>0</v>
      </c>
      <c r="AM23" s="56"/>
      <c r="AN23" s="88">
        <f t="shared" ref="AN23:AN32" si="9">SUM(AI23:AM23)</f>
        <v>0</v>
      </c>
      <c r="AO23" s="88">
        <v>0</v>
      </c>
      <c r="AP23" s="88">
        <v>0</v>
      </c>
      <c r="AQ23" s="56"/>
      <c r="AR23" s="56">
        <v>0</v>
      </c>
      <c r="AS23" s="56"/>
      <c r="AT23" s="56">
        <v>0</v>
      </c>
      <c r="AU23" s="56"/>
      <c r="AV23" s="56">
        <f t="shared" ref="AV23:AV33" si="10">SUM(AP23:AU23)</f>
        <v>0</v>
      </c>
      <c r="AW23" s="56"/>
      <c r="AX23" s="56">
        <v>0</v>
      </c>
      <c r="AY23" s="56"/>
      <c r="AZ23" s="56">
        <v>0</v>
      </c>
      <c r="BA23" s="56">
        <v>0</v>
      </c>
      <c r="BB23" s="214"/>
      <c r="BC23" s="56"/>
      <c r="BD23" s="84">
        <f t="shared" si="5"/>
        <v>0</v>
      </c>
      <c r="BE23" s="56"/>
      <c r="BF23" s="56"/>
      <c r="BG23" s="56"/>
      <c r="BH23" s="72"/>
    </row>
    <row r="24" spans="1:60" ht="20.100000000000001" customHeight="1" outlineLevel="1">
      <c r="A24" s="77" t="s">
        <v>43</v>
      </c>
      <c r="B24" s="77" t="s">
        <v>851</v>
      </c>
      <c r="C24" s="77"/>
      <c r="D24" s="78" t="s">
        <v>46</v>
      </c>
      <c r="E24" s="78" t="str">
        <f t="shared" si="6"/>
        <v>000</v>
      </c>
      <c r="F24" s="3">
        <v>661001</v>
      </c>
      <c r="G24" s="176" t="s">
        <v>852</v>
      </c>
      <c r="H24" s="87"/>
      <c r="I24" s="13">
        <v>1367</v>
      </c>
      <c r="J24" s="13">
        <v>0</v>
      </c>
      <c r="L24" s="56">
        <v>258048</v>
      </c>
      <c r="M24" s="56"/>
      <c r="N24" s="56">
        <v>0</v>
      </c>
      <c r="O24" s="56"/>
      <c r="P24" s="56">
        <v>0</v>
      </c>
      <c r="Q24" s="56"/>
      <c r="R24" s="56">
        <v>0</v>
      </c>
      <c r="S24" s="56"/>
      <c r="T24" s="56">
        <v>0</v>
      </c>
      <c r="U24" s="56"/>
      <c r="V24" s="56">
        <v>0</v>
      </c>
      <c r="W24" s="56"/>
      <c r="X24" s="56">
        <v>0</v>
      </c>
      <c r="Y24" s="56"/>
      <c r="Z24" s="56">
        <v>0</v>
      </c>
      <c r="AA24" s="56"/>
      <c r="AB24" s="56"/>
      <c r="AC24" s="56"/>
      <c r="AD24" s="56"/>
      <c r="AE24" s="56"/>
      <c r="AF24" s="56">
        <f t="shared" si="7"/>
        <v>0</v>
      </c>
      <c r="AG24" s="56">
        <v>0</v>
      </c>
      <c r="AH24" s="56">
        <v>0</v>
      </c>
      <c r="AI24" s="56"/>
      <c r="AJ24" s="56">
        <f t="shared" si="8"/>
        <v>0</v>
      </c>
      <c r="AK24" s="85"/>
      <c r="AL24" s="56">
        <v>0</v>
      </c>
      <c r="AM24" s="56"/>
      <c r="AN24" s="88">
        <f t="shared" si="9"/>
        <v>0</v>
      </c>
      <c r="AO24" s="88">
        <v>0</v>
      </c>
      <c r="AP24" s="88">
        <v>0</v>
      </c>
      <c r="AQ24" s="56"/>
      <c r="AR24" s="56">
        <v>0</v>
      </c>
      <c r="AS24" s="56"/>
      <c r="AT24" s="56">
        <v>0</v>
      </c>
      <c r="AU24" s="56"/>
      <c r="AV24" s="56">
        <f t="shared" si="10"/>
        <v>0</v>
      </c>
      <c r="AW24" s="56"/>
      <c r="AX24" s="56">
        <v>0</v>
      </c>
      <c r="AY24" s="56"/>
      <c r="AZ24" s="56">
        <v>0</v>
      </c>
      <c r="BA24" s="56">
        <v>0</v>
      </c>
      <c r="BB24" s="214"/>
      <c r="BC24" s="56"/>
      <c r="BD24" s="84">
        <f t="shared" si="5"/>
        <v>0</v>
      </c>
      <c r="BE24" s="56"/>
      <c r="BF24" s="56"/>
      <c r="BG24" s="56"/>
      <c r="BH24" s="72"/>
    </row>
    <row r="25" spans="1:60" ht="20.100000000000001" customHeight="1" outlineLevel="1">
      <c r="A25" s="77" t="s">
        <v>43</v>
      </c>
      <c r="B25" s="77" t="s">
        <v>270</v>
      </c>
      <c r="C25" s="77" t="s">
        <v>1121</v>
      </c>
      <c r="D25" s="78" t="s">
        <v>46</v>
      </c>
      <c r="E25" s="78" t="str">
        <f t="shared" si="6"/>
        <v>000</v>
      </c>
      <c r="F25" s="3">
        <v>661001</v>
      </c>
      <c r="G25" s="176" t="s">
        <v>853</v>
      </c>
      <c r="H25" s="87"/>
      <c r="I25" s="13">
        <v>1761</v>
      </c>
      <c r="J25" s="13">
        <v>4793</v>
      </c>
      <c r="L25" s="56">
        <v>4110</v>
      </c>
      <c r="M25" s="56"/>
      <c r="N25" s="56">
        <v>0</v>
      </c>
      <c r="O25" s="56"/>
      <c r="P25" s="56">
        <v>0</v>
      </c>
      <c r="Q25" s="56"/>
      <c r="R25" s="56">
        <v>0</v>
      </c>
      <c r="S25" s="56"/>
      <c r="T25" s="56">
        <v>0</v>
      </c>
      <c r="U25" s="56"/>
      <c r="V25" s="56">
        <v>0</v>
      </c>
      <c r="W25" s="56"/>
      <c r="X25" s="56">
        <v>0</v>
      </c>
      <c r="Y25" s="56"/>
      <c r="Z25" s="56">
        <v>0</v>
      </c>
      <c r="AA25" s="56"/>
      <c r="AB25" s="56"/>
      <c r="AC25" s="56"/>
      <c r="AD25" s="56"/>
      <c r="AE25" s="56"/>
      <c r="AF25" s="56">
        <f t="shared" si="7"/>
        <v>0</v>
      </c>
      <c r="AG25" s="89">
        <v>5000</v>
      </c>
      <c r="AH25" s="56">
        <v>0</v>
      </c>
      <c r="AI25" s="56"/>
      <c r="AJ25" s="56">
        <f t="shared" si="8"/>
        <v>5000</v>
      </c>
      <c r="AK25" s="85"/>
      <c r="AL25" s="56">
        <v>0</v>
      </c>
      <c r="AM25" s="56"/>
      <c r="AN25" s="88">
        <f t="shared" si="9"/>
        <v>5000</v>
      </c>
      <c r="AO25" s="88">
        <v>0</v>
      </c>
      <c r="AP25" s="88">
        <v>5000</v>
      </c>
      <c r="AQ25" s="56"/>
      <c r="AR25" s="56">
        <v>0</v>
      </c>
      <c r="AS25" s="56"/>
      <c r="AT25" s="56">
        <v>0</v>
      </c>
      <c r="AU25" s="56"/>
      <c r="AV25" s="56">
        <f t="shared" si="10"/>
        <v>5000</v>
      </c>
      <c r="AW25" s="56"/>
      <c r="AX25" s="56">
        <v>0</v>
      </c>
      <c r="AY25" s="56"/>
      <c r="AZ25" s="56">
        <v>5000</v>
      </c>
      <c r="BA25" s="56">
        <v>5000</v>
      </c>
      <c r="BB25" s="214"/>
      <c r="BC25" s="56"/>
      <c r="BD25" s="84">
        <f t="shared" si="5"/>
        <v>0</v>
      </c>
      <c r="BE25" s="56"/>
      <c r="BF25" s="56"/>
      <c r="BG25" s="56"/>
      <c r="BH25" s="72"/>
    </row>
    <row r="26" spans="1:60" ht="20.100000000000001" customHeight="1" outlineLevel="1">
      <c r="A26" s="77" t="s">
        <v>43</v>
      </c>
      <c r="B26" s="77" t="s">
        <v>270</v>
      </c>
      <c r="C26" s="77" t="s">
        <v>1121</v>
      </c>
      <c r="D26" s="78" t="s">
        <v>46</v>
      </c>
      <c r="E26" s="78" t="str">
        <f t="shared" si="6"/>
        <v>000</v>
      </c>
      <c r="F26" s="3">
        <v>632015</v>
      </c>
      <c r="G26" s="176" t="s">
        <v>854</v>
      </c>
      <c r="H26" s="87"/>
      <c r="I26" s="13">
        <v>4250</v>
      </c>
      <c r="J26" s="13">
        <v>0</v>
      </c>
      <c r="L26" s="56">
        <v>160</v>
      </c>
      <c r="M26" s="56"/>
      <c r="N26" s="56">
        <v>0</v>
      </c>
      <c r="O26" s="56"/>
      <c r="P26" s="56">
        <v>0</v>
      </c>
      <c r="Q26" s="56"/>
      <c r="R26" s="56">
        <v>0</v>
      </c>
      <c r="S26" s="56"/>
      <c r="T26" s="56">
        <v>0</v>
      </c>
      <c r="U26" s="56"/>
      <c r="V26" s="56">
        <v>0</v>
      </c>
      <c r="W26" s="56"/>
      <c r="X26" s="56">
        <v>0</v>
      </c>
      <c r="Y26" s="56"/>
      <c r="Z26" s="56">
        <v>0</v>
      </c>
      <c r="AA26" s="56"/>
      <c r="AB26" s="56"/>
      <c r="AC26" s="56"/>
      <c r="AD26" s="56"/>
      <c r="AE26" s="56"/>
      <c r="AF26" s="56">
        <f t="shared" si="7"/>
        <v>0</v>
      </c>
      <c r="AG26" s="56">
        <v>0</v>
      </c>
      <c r="AH26" s="56">
        <v>0</v>
      </c>
      <c r="AI26" s="56"/>
      <c r="AJ26" s="56">
        <f t="shared" si="8"/>
        <v>0</v>
      </c>
      <c r="AK26" s="85"/>
      <c r="AL26" s="56">
        <v>0</v>
      </c>
      <c r="AM26" s="56"/>
      <c r="AN26" s="88">
        <f t="shared" si="9"/>
        <v>0</v>
      </c>
      <c r="AO26" s="88">
        <v>0</v>
      </c>
      <c r="AP26" s="88">
        <v>0</v>
      </c>
      <c r="AQ26" s="56"/>
      <c r="AR26" s="56">
        <v>0</v>
      </c>
      <c r="AS26" s="56"/>
      <c r="AT26" s="56">
        <v>0</v>
      </c>
      <c r="AU26" s="56"/>
      <c r="AV26" s="56">
        <f t="shared" si="10"/>
        <v>0</v>
      </c>
      <c r="AW26" s="56"/>
      <c r="AX26" s="56">
        <v>0</v>
      </c>
      <c r="AY26" s="56"/>
      <c r="AZ26" s="56">
        <v>0</v>
      </c>
      <c r="BA26" s="56">
        <v>0</v>
      </c>
      <c r="BB26" s="214"/>
      <c r="BC26" s="56"/>
      <c r="BD26" s="84">
        <f t="shared" si="5"/>
        <v>0</v>
      </c>
      <c r="BE26" s="56"/>
      <c r="BF26" s="56"/>
      <c r="BG26" s="56"/>
      <c r="BH26" s="72"/>
    </row>
    <row r="27" spans="1:60" ht="20.100000000000001" customHeight="1" outlineLevel="1">
      <c r="A27" s="77" t="s">
        <v>43</v>
      </c>
      <c r="B27" s="77" t="s">
        <v>203</v>
      </c>
      <c r="C27" s="77"/>
      <c r="D27" s="78" t="s">
        <v>46</v>
      </c>
      <c r="E27" s="78" t="str">
        <f t="shared" si="6"/>
        <v>000</v>
      </c>
      <c r="F27" s="3">
        <v>661001</v>
      </c>
      <c r="G27" s="176" t="s">
        <v>856</v>
      </c>
      <c r="H27" s="87"/>
      <c r="I27" s="13">
        <v>13244</v>
      </c>
      <c r="J27" s="13">
        <v>0</v>
      </c>
      <c r="L27" s="56">
        <v>1033</v>
      </c>
      <c r="M27" s="56"/>
      <c r="N27" s="56">
        <v>0</v>
      </c>
      <c r="O27" s="56"/>
      <c r="P27" s="56">
        <v>0</v>
      </c>
      <c r="Q27" s="56"/>
      <c r="R27" s="56">
        <v>0</v>
      </c>
      <c r="S27" s="56"/>
      <c r="T27" s="56">
        <v>0</v>
      </c>
      <c r="U27" s="56"/>
      <c r="V27" s="56">
        <v>0</v>
      </c>
      <c r="W27" s="56"/>
      <c r="X27" s="56">
        <v>0</v>
      </c>
      <c r="Y27" s="56"/>
      <c r="Z27" s="56">
        <v>0</v>
      </c>
      <c r="AA27" s="56"/>
      <c r="AB27" s="56"/>
      <c r="AC27" s="56"/>
      <c r="AD27" s="56"/>
      <c r="AE27" s="56"/>
      <c r="AF27" s="56">
        <f t="shared" si="7"/>
        <v>0</v>
      </c>
      <c r="AG27" s="56">
        <v>0</v>
      </c>
      <c r="AH27" s="56">
        <v>0</v>
      </c>
      <c r="AI27" s="56"/>
      <c r="AJ27" s="56">
        <f t="shared" si="8"/>
        <v>0</v>
      </c>
      <c r="AK27" s="85"/>
      <c r="AL27" s="56">
        <v>0</v>
      </c>
      <c r="AM27" s="56"/>
      <c r="AN27" s="88">
        <f t="shared" si="9"/>
        <v>0</v>
      </c>
      <c r="AO27" s="88">
        <v>0</v>
      </c>
      <c r="AP27" s="88">
        <v>0</v>
      </c>
      <c r="AQ27" s="56"/>
      <c r="AR27" s="56">
        <v>0</v>
      </c>
      <c r="AS27" s="56"/>
      <c r="AT27" s="56">
        <v>0</v>
      </c>
      <c r="AU27" s="56"/>
      <c r="AV27" s="56">
        <f t="shared" si="10"/>
        <v>0</v>
      </c>
      <c r="AW27" s="56"/>
      <c r="AX27" s="56">
        <v>0</v>
      </c>
      <c r="AY27" s="56"/>
      <c r="AZ27" s="56">
        <v>0</v>
      </c>
      <c r="BA27" s="56">
        <v>0</v>
      </c>
      <c r="BB27" s="214"/>
      <c r="BC27" s="56"/>
      <c r="BD27" s="84">
        <f t="shared" si="5"/>
        <v>0</v>
      </c>
      <c r="BE27" s="56"/>
      <c r="BF27" s="56"/>
      <c r="BG27" s="56"/>
      <c r="BH27" s="72"/>
    </row>
    <row r="28" spans="1:60" ht="20.100000000000001" hidden="1" customHeight="1" outlineLevel="1">
      <c r="A28" s="77" t="s">
        <v>43</v>
      </c>
      <c r="B28" s="77" t="s">
        <v>203</v>
      </c>
      <c r="C28" s="77" t="s">
        <v>855</v>
      </c>
      <c r="D28" s="78" t="s">
        <v>46</v>
      </c>
      <c r="E28" s="78" t="str">
        <f t="shared" si="6"/>
        <v>000</v>
      </c>
      <c r="F28" s="3">
        <v>661101</v>
      </c>
      <c r="G28" s="176" t="s">
        <v>857</v>
      </c>
      <c r="H28" s="87"/>
      <c r="I28" s="13">
        <v>0</v>
      </c>
      <c r="J28" s="13">
        <v>0</v>
      </c>
      <c r="L28" s="56">
        <v>0</v>
      </c>
      <c r="M28" s="56"/>
      <c r="N28" s="56">
        <v>0</v>
      </c>
      <c r="O28" s="56"/>
      <c r="P28" s="56">
        <v>1000</v>
      </c>
      <c r="Q28" s="56"/>
      <c r="R28" s="56">
        <v>1000</v>
      </c>
      <c r="S28" s="56"/>
      <c r="T28" s="56">
        <v>0</v>
      </c>
      <c r="U28" s="56"/>
      <c r="V28" s="56">
        <v>1000</v>
      </c>
      <c r="W28" s="56"/>
      <c r="X28" s="56">
        <v>0</v>
      </c>
      <c r="Y28" s="56"/>
      <c r="Z28" s="56">
        <v>0</v>
      </c>
      <c r="AA28" s="56"/>
      <c r="AB28" s="56"/>
      <c r="AC28" s="56"/>
      <c r="AD28" s="56"/>
      <c r="AE28" s="56"/>
      <c r="AF28" s="56">
        <f t="shared" si="7"/>
        <v>0</v>
      </c>
      <c r="AG28" s="56">
        <v>0</v>
      </c>
      <c r="AH28" s="56">
        <v>0</v>
      </c>
      <c r="AI28" s="56"/>
      <c r="AJ28" s="56">
        <f t="shared" si="8"/>
        <v>0</v>
      </c>
      <c r="AK28" s="85"/>
      <c r="AL28" s="56">
        <v>0</v>
      </c>
      <c r="AM28" s="56"/>
      <c r="AN28" s="88">
        <f t="shared" si="9"/>
        <v>0</v>
      </c>
      <c r="AO28" s="88">
        <v>0</v>
      </c>
      <c r="AP28" s="88">
        <v>0</v>
      </c>
      <c r="AQ28" s="56"/>
      <c r="AR28" s="56">
        <v>0</v>
      </c>
      <c r="AS28" s="56"/>
      <c r="AT28" s="56">
        <v>0</v>
      </c>
      <c r="AU28" s="56"/>
      <c r="AV28" s="56">
        <f t="shared" si="10"/>
        <v>0</v>
      </c>
      <c r="AW28" s="56"/>
      <c r="AX28" s="56">
        <v>0</v>
      </c>
      <c r="AY28" s="56"/>
      <c r="AZ28" s="56">
        <v>0</v>
      </c>
      <c r="BA28" s="56">
        <v>0</v>
      </c>
      <c r="BB28" s="214"/>
      <c r="BC28" s="56"/>
      <c r="BD28" s="84">
        <f t="shared" si="5"/>
        <v>0</v>
      </c>
      <c r="BE28" s="56"/>
      <c r="BF28" s="56"/>
      <c r="BG28" s="56"/>
      <c r="BH28" s="72"/>
    </row>
    <row r="29" spans="1:60" ht="20.100000000000001" customHeight="1" outlineLevel="1">
      <c r="A29" s="77" t="s">
        <v>43</v>
      </c>
      <c r="B29" s="77" t="s">
        <v>218</v>
      </c>
      <c r="C29" s="77"/>
      <c r="D29" s="90" t="s">
        <v>859</v>
      </c>
      <c r="E29" s="78" t="str">
        <f t="shared" si="6"/>
        <v>LOC</v>
      </c>
      <c r="F29" s="3">
        <v>611342</v>
      </c>
      <c r="G29" s="176" t="s">
        <v>860</v>
      </c>
      <c r="H29" s="87"/>
      <c r="I29" s="13">
        <v>0</v>
      </c>
      <c r="J29" s="13">
        <v>0</v>
      </c>
      <c r="L29" s="56">
        <v>5341</v>
      </c>
      <c r="M29" s="56"/>
      <c r="N29" s="56">
        <v>0</v>
      </c>
      <c r="O29" s="56"/>
      <c r="P29" s="56">
        <v>1750000</v>
      </c>
      <c r="Q29" s="56"/>
      <c r="R29" s="56">
        <v>1129750</v>
      </c>
      <c r="S29" s="89"/>
      <c r="T29" s="56">
        <v>0</v>
      </c>
      <c r="U29" s="56"/>
      <c r="V29" s="56">
        <v>1129750</v>
      </c>
      <c r="W29" s="56"/>
      <c r="X29" s="56">
        <f>1254098.27-37487.83</f>
        <v>1216610.44</v>
      </c>
      <c r="Y29" s="56"/>
      <c r="Z29" s="56">
        <v>900000</v>
      </c>
      <c r="AA29" s="56"/>
      <c r="AB29" s="56"/>
      <c r="AC29" s="56"/>
      <c r="AD29" s="56"/>
      <c r="AE29" s="56"/>
      <c r="AF29" s="56">
        <f t="shared" si="7"/>
        <v>900000</v>
      </c>
      <c r="AG29" s="56">
        <v>0</v>
      </c>
      <c r="AH29" s="56">
        <v>0</v>
      </c>
      <c r="AI29" s="56"/>
      <c r="AJ29" s="56">
        <f t="shared" si="8"/>
        <v>900000</v>
      </c>
      <c r="AK29" s="85"/>
      <c r="AL29" s="89">
        <v>304450</v>
      </c>
      <c r="AM29" s="56"/>
      <c r="AN29" s="88">
        <f t="shared" si="9"/>
        <v>1204450</v>
      </c>
      <c r="AO29" s="88">
        <v>0</v>
      </c>
      <c r="AP29" s="88">
        <v>0</v>
      </c>
      <c r="AQ29" s="56"/>
      <c r="AR29" s="56">
        <v>0</v>
      </c>
      <c r="AS29" s="56"/>
      <c r="AT29" s="56">
        <v>0</v>
      </c>
      <c r="AU29" s="56"/>
      <c r="AV29" s="56">
        <f t="shared" si="10"/>
        <v>0</v>
      </c>
      <c r="AW29" s="56"/>
      <c r="AX29" s="56">
        <v>0</v>
      </c>
      <c r="AY29" s="56"/>
      <c r="AZ29" s="56">
        <v>0</v>
      </c>
      <c r="BA29" s="56">
        <v>0</v>
      </c>
      <c r="BB29" s="214"/>
      <c r="BC29" s="56"/>
      <c r="BD29" s="84">
        <f t="shared" si="5"/>
        <v>-1204450</v>
      </c>
      <c r="BE29" s="56"/>
      <c r="BF29" s="56"/>
      <c r="BG29" s="56"/>
      <c r="BH29" s="72">
        <v>1</v>
      </c>
    </row>
    <row r="30" spans="1:60" ht="20.100000000000001" hidden="1" customHeight="1" outlineLevel="1">
      <c r="A30" s="77" t="s">
        <v>43</v>
      </c>
      <c r="B30" s="77" t="s">
        <v>666</v>
      </c>
      <c r="C30" s="77" t="s">
        <v>858</v>
      </c>
      <c r="D30" s="90" t="s">
        <v>859</v>
      </c>
      <c r="E30" s="78" t="str">
        <f t="shared" si="6"/>
        <v>LOC</v>
      </c>
      <c r="F30" s="3">
        <v>611332</v>
      </c>
      <c r="G30" s="176" t="s">
        <v>861</v>
      </c>
      <c r="H30" s="87"/>
      <c r="I30" s="87">
        <v>0</v>
      </c>
      <c r="J30" s="87">
        <v>0</v>
      </c>
      <c r="L30" s="87">
        <v>0</v>
      </c>
      <c r="M30" s="56"/>
      <c r="N30" s="56">
        <v>0</v>
      </c>
      <c r="O30" s="56"/>
      <c r="P30" s="56">
        <v>0</v>
      </c>
      <c r="Q30" s="56"/>
      <c r="R30" s="56">
        <v>55800</v>
      </c>
      <c r="S30" s="89"/>
      <c r="T30" s="56">
        <v>0</v>
      </c>
      <c r="U30" s="56"/>
      <c r="V30" s="56">
        <v>55800</v>
      </c>
      <c r="W30" s="56"/>
      <c r="X30" s="56">
        <v>0</v>
      </c>
      <c r="Y30" s="56"/>
      <c r="Z30" s="56">
        <v>0</v>
      </c>
      <c r="AA30" s="56"/>
      <c r="AB30" s="56"/>
      <c r="AC30" s="56"/>
      <c r="AD30" s="56"/>
      <c r="AE30" s="56"/>
      <c r="AF30" s="56">
        <f t="shared" si="7"/>
        <v>0</v>
      </c>
      <c r="AG30" s="56">
        <v>0</v>
      </c>
      <c r="AH30" s="56">
        <v>0</v>
      </c>
      <c r="AI30" s="56"/>
      <c r="AJ30" s="56">
        <f t="shared" si="8"/>
        <v>0</v>
      </c>
      <c r="AK30" s="85"/>
      <c r="AL30" s="56">
        <v>0</v>
      </c>
      <c r="AM30" s="56"/>
      <c r="AN30" s="88">
        <f t="shared" si="9"/>
        <v>0</v>
      </c>
      <c r="AO30" s="88">
        <v>0</v>
      </c>
      <c r="AP30" s="88">
        <v>0</v>
      </c>
      <c r="AQ30" s="56"/>
      <c r="AR30" s="56">
        <v>0</v>
      </c>
      <c r="AS30" s="56"/>
      <c r="AT30" s="56">
        <v>0</v>
      </c>
      <c r="AU30" s="56"/>
      <c r="AV30" s="56">
        <f t="shared" si="10"/>
        <v>0</v>
      </c>
      <c r="AW30" s="56"/>
      <c r="AX30" s="56">
        <v>0</v>
      </c>
      <c r="AY30" s="56"/>
      <c r="AZ30" s="56">
        <v>0</v>
      </c>
      <c r="BA30" s="56">
        <v>0</v>
      </c>
      <c r="BB30" s="214"/>
      <c r="BC30" s="56"/>
      <c r="BD30" s="84">
        <f t="shared" si="5"/>
        <v>0</v>
      </c>
      <c r="BE30" s="56"/>
      <c r="BF30" s="56"/>
      <c r="BG30" s="56"/>
      <c r="BH30" s="72">
        <v>1</v>
      </c>
    </row>
    <row r="31" spans="1:60" ht="20.100000000000001" customHeight="1" outlineLevel="1">
      <c r="A31" s="77" t="s">
        <v>43</v>
      </c>
      <c r="B31" s="77" t="s">
        <v>218</v>
      </c>
      <c r="C31" s="77" t="s">
        <v>1122</v>
      </c>
      <c r="D31" s="78" t="s">
        <v>46</v>
      </c>
      <c r="E31" s="78" t="str">
        <f t="shared" si="6"/>
        <v>000</v>
      </c>
      <c r="F31" s="3">
        <v>611342</v>
      </c>
      <c r="G31" s="176" t="s">
        <v>862</v>
      </c>
      <c r="H31" s="87"/>
      <c r="I31" s="13">
        <v>0</v>
      </c>
      <c r="J31" s="13">
        <v>0</v>
      </c>
      <c r="L31" s="87">
        <v>0</v>
      </c>
      <c r="M31" s="56"/>
      <c r="N31" s="56">
        <v>0</v>
      </c>
      <c r="O31" s="56"/>
      <c r="P31" s="56">
        <v>0</v>
      </c>
      <c r="Q31" s="56"/>
      <c r="R31" s="56">
        <v>0</v>
      </c>
      <c r="S31" s="56"/>
      <c r="T31" s="56">
        <v>0</v>
      </c>
      <c r="U31" s="56"/>
      <c r="V31" s="56">
        <v>0</v>
      </c>
      <c r="W31" s="56"/>
      <c r="X31" s="56">
        <v>4850</v>
      </c>
      <c r="Y31" s="56"/>
      <c r="Z31" s="56">
        <v>0</v>
      </c>
      <c r="AA31" s="56"/>
      <c r="AB31" s="56"/>
      <c r="AC31" s="56"/>
      <c r="AD31" s="56"/>
      <c r="AE31" s="56"/>
      <c r="AF31" s="56">
        <f t="shared" si="7"/>
        <v>0</v>
      </c>
      <c r="AG31" s="56">
        <v>0</v>
      </c>
      <c r="AH31" s="56">
        <v>0</v>
      </c>
      <c r="AI31" s="56"/>
      <c r="AJ31" s="56">
        <f t="shared" si="8"/>
        <v>0</v>
      </c>
      <c r="AK31" s="85"/>
      <c r="AL31" s="56">
        <v>0</v>
      </c>
      <c r="AM31" s="56"/>
      <c r="AN31" s="88">
        <f t="shared" si="9"/>
        <v>0</v>
      </c>
      <c r="AO31" s="88">
        <v>0</v>
      </c>
      <c r="AP31" s="88">
        <v>34793</v>
      </c>
      <c r="AQ31" s="56"/>
      <c r="AR31" s="56">
        <v>0</v>
      </c>
      <c r="AS31" s="56"/>
      <c r="AT31" s="56">
        <v>0</v>
      </c>
      <c r="AU31" s="56"/>
      <c r="AV31" s="56">
        <f t="shared" si="10"/>
        <v>34793</v>
      </c>
      <c r="AW31" s="56"/>
      <c r="AX31" s="56">
        <v>0</v>
      </c>
      <c r="AY31" s="56"/>
      <c r="AZ31" s="56">
        <v>34793</v>
      </c>
      <c r="BA31" s="56">
        <v>34793</v>
      </c>
      <c r="BB31" s="214"/>
      <c r="BC31" s="56"/>
      <c r="BD31" s="84">
        <f t="shared" si="5"/>
        <v>34793</v>
      </c>
      <c r="BE31" s="56"/>
      <c r="BF31" s="56"/>
      <c r="BG31" s="56"/>
      <c r="BH31" s="72">
        <v>1</v>
      </c>
    </row>
    <row r="32" spans="1:60" ht="20.100000000000001" customHeight="1" outlineLevel="1">
      <c r="A32" s="77" t="s">
        <v>43</v>
      </c>
      <c r="B32" s="77" t="s">
        <v>218</v>
      </c>
      <c r="C32" s="77"/>
      <c r="D32" s="78" t="s">
        <v>46</v>
      </c>
      <c r="E32" s="78" t="str">
        <f t="shared" si="6"/>
        <v>000</v>
      </c>
      <c r="F32" s="3">
        <v>615011</v>
      </c>
      <c r="G32" s="176" t="s">
        <v>863</v>
      </c>
      <c r="H32" s="87"/>
      <c r="I32" s="13">
        <v>0</v>
      </c>
      <c r="J32" s="13">
        <v>0</v>
      </c>
      <c r="L32" s="56">
        <v>619</v>
      </c>
      <c r="M32" s="56"/>
      <c r="N32" s="56">
        <v>0</v>
      </c>
      <c r="O32" s="56"/>
      <c r="P32" s="56">
        <v>0</v>
      </c>
      <c r="Q32" s="56"/>
      <c r="R32" s="56">
        <v>0</v>
      </c>
      <c r="S32" s="56"/>
      <c r="T32" s="56">
        <v>0</v>
      </c>
      <c r="U32" s="56"/>
      <c r="V32" s="56">
        <v>0</v>
      </c>
      <c r="W32" s="56"/>
      <c r="X32" s="56">
        <v>1716</v>
      </c>
      <c r="Y32" s="56"/>
      <c r="Z32" s="56">
        <v>0</v>
      </c>
      <c r="AA32" s="56"/>
      <c r="AB32" s="56"/>
      <c r="AC32" s="56"/>
      <c r="AD32" s="56"/>
      <c r="AE32" s="56"/>
      <c r="AF32" s="56">
        <f t="shared" si="7"/>
        <v>0</v>
      </c>
      <c r="AG32" s="56">
        <v>0</v>
      </c>
      <c r="AH32" s="56">
        <v>0</v>
      </c>
      <c r="AI32" s="56"/>
      <c r="AJ32" s="56">
        <f t="shared" si="8"/>
        <v>0</v>
      </c>
      <c r="AK32" s="85"/>
      <c r="AL32" s="56">
        <v>0</v>
      </c>
      <c r="AM32" s="56"/>
      <c r="AN32" s="88">
        <f t="shared" si="9"/>
        <v>0</v>
      </c>
      <c r="AO32" s="88">
        <v>0</v>
      </c>
      <c r="AP32" s="88">
        <v>0</v>
      </c>
      <c r="AQ32" s="56"/>
      <c r="AR32" s="56">
        <v>0</v>
      </c>
      <c r="AS32" s="56"/>
      <c r="AT32" s="56">
        <v>0</v>
      </c>
      <c r="AU32" s="56"/>
      <c r="AV32" s="56">
        <f t="shared" si="10"/>
        <v>0</v>
      </c>
      <c r="AW32" s="56"/>
      <c r="AX32" s="56">
        <v>0</v>
      </c>
      <c r="AY32" s="56"/>
      <c r="AZ32" s="56">
        <v>0</v>
      </c>
      <c r="BA32" s="56">
        <v>0</v>
      </c>
      <c r="BB32" s="214"/>
      <c r="BC32" s="56"/>
      <c r="BD32" s="84">
        <f t="shared" si="5"/>
        <v>0</v>
      </c>
      <c r="BE32" s="56"/>
      <c r="BF32" s="56"/>
      <c r="BG32" s="56"/>
      <c r="BH32" s="72">
        <v>1</v>
      </c>
    </row>
    <row r="33" spans="1:60" ht="20.100000000000001" customHeight="1" outlineLevel="1">
      <c r="A33" s="77" t="s">
        <v>43</v>
      </c>
      <c r="B33" s="77" t="s">
        <v>203</v>
      </c>
      <c r="C33" s="77"/>
      <c r="D33" s="78" t="s">
        <v>46</v>
      </c>
      <c r="E33" s="78" t="str">
        <f t="shared" si="6"/>
        <v>000</v>
      </c>
      <c r="F33" s="3">
        <v>624011</v>
      </c>
      <c r="G33" s="176" t="s">
        <v>864</v>
      </c>
      <c r="H33" s="87"/>
      <c r="I33" s="13">
        <v>0</v>
      </c>
      <c r="J33" s="13">
        <v>0</v>
      </c>
      <c r="L33" s="56">
        <v>0</v>
      </c>
      <c r="M33" s="56"/>
      <c r="N33" s="56">
        <v>0</v>
      </c>
      <c r="O33" s="56"/>
      <c r="P33" s="56">
        <v>0</v>
      </c>
      <c r="Q33" s="56"/>
      <c r="R33" s="56">
        <v>0</v>
      </c>
      <c r="S33" s="56"/>
      <c r="T33" s="89">
        <v>3050</v>
      </c>
      <c r="U33" s="56"/>
      <c r="V33" s="56">
        <v>0</v>
      </c>
      <c r="W33" s="56"/>
      <c r="X33" s="56">
        <v>0</v>
      </c>
      <c r="Y33" s="56"/>
      <c r="Z33" s="56">
        <v>0</v>
      </c>
      <c r="AA33" s="56"/>
      <c r="AB33" s="56"/>
      <c r="AC33" s="56"/>
      <c r="AD33" s="56"/>
      <c r="AE33" s="56"/>
      <c r="AF33" s="56">
        <f t="shared" si="7"/>
        <v>0</v>
      </c>
      <c r="AG33" s="56">
        <v>0</v>
      </c>
      <c r="AH33" s="56">
        <v>0</v>
      </c>
      <c r="AI33" s="56"/>
      <c r="AJ33" s="56">
        <f t="shared" si="8"/>
        <v>0</v>
      </c>
      <c r="AK33" s="85"/>
      <c r="AL33" s="56">
        <v>0</v>
      </c>
      <c r="AM33" s="56"/>
      <c r="AN33" s="88">
        <v>5302</v>
      </c>
      <c r="AO33" s="88">
        <v>0</v>
      </c>
      <c r="AP33" s="88">
        <v>0</v>
      </c>
      <c r="AQ33" s="56"/>
      <c r="AR33" s="56">
        <v>0</v>
      </c>
      <c r="AS33" s="56"/>
      <c r="AT33" s="56">
        <v>0</v>
      </c>
      <c r="AU33" s="56"/>
      <c r="AV33" s="56">
        <f t="shared" si="10"/>
        <v>0</v>
      </c>
      <c r="AW33" s="56"/>
      <c r="AX33" s="56">
        <v>0</v>
      </c>
      <c r="AY33" s="56"/>
      <c r="AZ33" s="56">
        <v>0</v>
      </c>
      <c r="BA33" s="56">
        <v>0</v>
      </c>
      <c r="BB33" s="56"/>
      <c r="BC33" s="56"/>
      <c r="BD33" s="84">
        <f t="shared" si="5"/>
        <v>-5302</v>
      </c>
      <c r="BE33" s="56"/>
      <c r="BF33" s="56"/>
      <c r="BG33" s="56"/>
      <c r="BH33" s="72">
        <v>1</v>
      </c>
    </row>
    <row r="34" spans="1:60" ht="20.100000000000001" customHeight="1">
      <c r="B34" s="77"/>
      <c r="C34" s="77"/>
      <c r="D34" s="90"/>
      <c r="E34" s="90"/>
      <c r="F34" s="3"/>
      <c r="G34" s="110" t="s">
        <v>1049</v>
      </c>
      <c r="H34" s="81"/>
      <c r="I34" s="92">
        <v>30944</v>
      </c>
      <c r="J34" s="93">
        <v>48321</v>
      </c>
      <c r="L34" s="125">
        <v>352954</v>
      </c>
      <c r="M34" s="126"/>
      <c r="N34" s="125">
        <v>20000</v>
      </c>
      <c r="O34" s="126"/>
      <c r="P34" s="125">
        <v>1771000</v>
      </c>
      <c r="Q34" s="126"/>
      <c r="R34" s="125">
        <v>1260150</v>
      </c>
      <c r="S34" s="95"/>
      <c r="T34" s="94">
        <v>3050</v>
      </c>
      <c r="U34" s="126"/>
      <c r="V34" s="125">
        <v>1260150</v>
      </c>
      <c r="W34" s="126"/>
      <c r="X34" s="125">
        <f>SUBTOTAL(9,X11:X33)</f>
        <v>2104627.7400000002</v>
      </c>
      <c r="Y34" s="126"/>
      <c r="Z34" s="125">
        <f>SUBTOTAL(9,Z12:Z33)</f>
        <v>924000</v>
      </c>
      <c r="AA34" s="126"/>
      <c r="AB34" s="125">
        <f t="shared" ref="AB34:AH34" si="11">SUBTOTAL(9,AB11:AB33)</f>
        <v>16000</v>
      </c>
      <c r="AC34" s="125">
        <f t="shared" si="11"/>
        <v>0</v>
      </c>
      <c r="AD34" s="125">
        <f t="shared" si="11"/>
        <v>6043</v>
      </c>
      <c r="AE34" s="125">
        <f t="shared" si="11"/>
        <v>0</v>
      </c>
      <c r="AF34" s="125">
        <f t="shared" si="11"/>
        <v>946043</v>
      </c>
      <c r="AG34" s="125">
        <f t="shared" si="11"/>
        <v>5000</v>
      </c>
      <c r="AH34" s="125">
        <f t="shared" si="11"/>
        <v>0</v>
      </c>
      <c r="AI34" s="126"/>
      <c r="AJ34" s="125">
        <f>SUBTOTAL(9,AJ11:AJ33)</f>
        <v>951043</v>
      </c>
      <c r="AK34" s="96"/>
      <c r="AL34" s="125">
        <f>SUBTOTAL(9,AL11:AL33)</f>
        <v>304450</v>
      </c>
      <c r="AM34" s="126"/>
      <c r="AN34" s="127">
        <f>SUBTOTAL(9,AN11:AN33)</f>
        <v>1260795</v>
      </c>
      <c r="AO34" s="127">
        <f>SUBTOTAL(9,AO11:AO33)</f>
        <v>0</v>
      </c>
      <c r="AP34" s="127">
        <f>SUBTOTAL(9,AP11:AP33)</f>
        <v>131986</v>
      </c>
      <c r="AQ34" s="126"/>
      <c r="AR34" s="125">
        <f>SUBTOTAL(9,AR11:AR33)</f>
        <v>0</v>
      </c>
      <c r="AS34" s="125">
        <f>SUBTOTAL(9,AS11:AS33)</f>
        <v>0</v>
      </c>
      <c r="AT34" s="125">
        <f>SUBTOTAL(9,AT11:AT33)</f>
        <v>0</v>
      </c>
      <c r="AU34" s="125">
        <f>SUBTOTAL(9,AU11:AU33)</f>
        <v>0</v>
      </c>
      <c r="AV34" s="125">
        <f>SUBTOTAL(9,AV11:AV33)</f>
        <v>131986</v>
      </c>
      <c r="AW34" s="126"/>
      <c r="AX34" s="125">
        <f>SUBTOTAL(9,AX11:AX33)</f>
        <v>0</v>
      </c>
      <c r="AY34" s="126"/>
      <c r="AZ34" s="127">
        <f>SUBTOTAL(9,AZ11:AZ33)</f>
        <v>131986</v>
      </c>
      <c r="BA34" s="125">
        <f>SUBTOTAL(9,BA11:BA33)</f>
        <v>131986</v>
      </c>
      <c r="BB34" s="125"/>
      <c r="BC34" s="125"/>
      <c r="BD34" s="98">
        <f t="shared" si="5"/>
        <v>-1128809</v>
      </c>
      <c r="BE34" s="126"/>
      <c r="BF34" s="126"/>
      <c r="BG34" s="126"/>
      <c r="BH34" s="178"/>
    </row>
    <row r="35" spans="1:60">
      <c r="AK35" s="212"/>
    </row>
    <row r="36" spans="1:60">
      <c r="AK36" s="212"/>
    </row>
    <row r="37" spans="1:60">
      <c r="L37" s="168"/>
      <c r="M37" s="168"/>
      <c r="N37" s="168"/>
      <c r="O37" s="168"/>
      <c r="P37" s="168"/>
      <c r="Q37" s="168"/>
      <c r="S37" s="168"/>
      <c r="T37" s="168"/>
      <c r="U37" s="168"/>
      <c r="W37" s="168"/>
      <c r="X37" s="168"/>
      <c r="Y37" s="168"/>
      <c r="AA37" s="168"/>
      <c r="AC37" s="168"/>
      <c r="AE37" s="168"/>
      <c r="AI37" s="168"/>
      <c r="AK37" s="210"/>
      <c r="AM37" s="168"/>
      <c r="AQ37" s="168"/>
      <c r="AS37" s="168"/>
      <c r="AU37" s="168"/>
    </row>
    <row r="38" spans="1:60">
      <c r="L38" s="168"/>
      <c r="M38" s="168"/>
      <c r="N38" s="168"/>
      <c r="O38" s="168"/>
      <c r="P38" s="168"/>
      <c r="Q38" s="168"/>
      <c r="S38" s="168"/>
      <c r="T38" s="168"/>
      <c r="U38" s="168"/>
      <c r="W38" s="168"/>
      <c r="X38" s="168"/>
      <c r="Y38" s="168"/>
      <c r="AA38" s="168"/>
      <c r="AC38" s="168"/>
      <c r="AE38" s="168"/>
      <c r="AI38" s="168"/>
      <c r="AK38" s="210"/>
      <c r="AM38" s="168"/>
      <c r="AQ38" s="168"/>
      <c r="AS38" s="168"/>
      <c r="AU38" s="168"/>
    </row>
    <row r="39" spans="1:60">
      <c r="AK39" s="212"/>
    </row>
    <row r="74" spans="18:63">
      <c r="R74" s="7">
        <v>420044982</v>
      </c>
      <c r="BI74" s="211"/>
      <c r="BJ74" s="7"/>
      <c r="BK74" s="7"/>
    </row>
    <row r="75" spans="18:63">
      <c r="BI75" s="211"/>
      <c r="BJ75" s="7"/>
    </row>
  </sheetData>
  <autoFilter ref="A9:BH34"/>
  <mergeCells count="8">
    <mergeCell ref="A8:D8"/>
    <mergeCell ref="AB5:AD5"/>
    <mergeCell ref="AG2:AH2"/>
    <mergeCell ref="AG3:AH3"/>
    <mergeCell ref="AG4:AH4"/>
    <mergeCell ref="AB4:AD4"/>
    <mergeCell ref="A6:F6"/>
    <mergeCell ref="A7:F7"/>
  </mergeCells>
  <phoneticPr fontId="3" type="noConversion"/>
  <conditionalFormatting sqref="F1:F1048576">
    <cfRule type="cellIs" dxfId="1" priority="1" stopIfTrue="1" operator="between">
      <formula>610000</formula>
      <formula>619999</formula>
    </cfRule>
  </conditionalFormatting>
  <pageMargins left="0.54" right="0.25" top="0.24" bottom="0.49" header="0.25" footer="0"/>
  <pageSetup scale="77" fitToHeight="0" orientation="landscape" r:id="rId1"/>
  <headerFooter alignWithMargins="0">
    <oddFooter>&amp;C&amp;8Detail of Expenditures Budget By Department, Page &amp;P of &amp;N</oddFooter>
  </headerFooter>
  <legacyDrawing r:id="rId2"/>
</worksheet>
</file>

<file path=xl/worksheets/sheet36.xml><?xml version="1.0" encoding="utf-8"?>
<worksheet xmlns="http://schemas.openxmlformats.org/spreadsheetml/2006/main" xmlns:r="http://schemas.openxmlformats.org/officeDocument/2006/relationships">
  <sheetPr codeName="Sheet36" enableFormatConditionsCalculation="0">
    <tabColor indexed="17"/>
    <pageSetUpPr fitToPage="1"/>
  </sheetPr>
  <dimension ref="A1:BK67"/>
  <sheetViews>
    <sheetView zoomScale="85" zoomScaleNormal="90" workbookViewId="0">
      <pane xSplit="8" ySplit="9" topLeftCell="O10" activePane="bottomRight" state="frozen"/>
      <selection activeCell="A28" sqref="A28"/>
      <selection pane="topRight" activeCell="A28" sqref="A28"/>
      <selection pane="bottomLeft" activeCell="A28" sqref="A28"/>
      <selection pane="bottomRight"/>
    </sheetView>
  </sheetViews>
  <sheetFormatPr defaultRowHeight="12.75" outlineLevelRow="1" outlineLevelCol="1"/>
  <cols>
    <col min="1" max="1" width="7" style="39" customWidth="1" outlineLevel="1"/>
    <col min="2" max="2" width="6.140625" style="39" customWidth="1" outlineLevel="1"/>
    <col min="3" max="3" width="3.7109375" style="39" customWidth="1" outlineLevel="1"/>
    <col min="4" max="5" width="4.85546875" style="168" customWidth="1" outlineLevel="1"/>
    <col min="6" max="6" width="8.7109375" style="40" customWidth="1" outlineLevel="1"/>
    <col min="7" max="7" width="28.5703125" style="4" customWidth="1"/>
    <col min="8" max="8" width="16.5703125" style="4" hidden="1" customWidth="1"/>
    <col min="9" max="10" width="15.140625" style="4" hidden="1" customWidth="1" collapsed="1"/>
    <col min="11" max="11" width="39.5703125" style="4" hidden="1" customWidth="1"/>
    <col min="12" max="12" width="15.140625" style="7" bestFit="1" customWidth="1" collapsed="1"/>
    <col min="13" max="13" width="31.7109375" style="7" hidden="1" customWidth="1"/>
    <col min="14" max="14" width="35.5703125" style="7" hidden="1" customWidth="1" collapsed="1"/>
    <col min="15" max="15" width="0.140625" style="7" customWidth="1"/>
    <col min="16" max="16" width="25.28515625" style="7" hidden="1" customWidth="1" outlineLevel="1" collapsed="1"/>
    <col min="17" max="17" width="23.42578125" style="7" hidden="1" customWidth="1" outlineLevel="1"/>
    <col min="18" max="18" width="20.5703125" style="7" hidden="1" customWidth="1" outlineLevel="1" collapsed="1"/>
    <col min="19" max="19" width="18" style="7" hidden="1" customWidth="1" outlineLevel="1"/>
    <col min="20" max="20" width="19.5703125" style="7" hidden="1" customWidth="1" outlineLevel="1"/>
    <col min="21" max="21" width="18.42578125" style="7" hidden="1" customWidth="1" outlineLevel="1"/>
    <col min="22" max="22" width="13.140625" style="7" hidden="1" customWidth="1"/>
    <col min="23" max="23" width="14.140625" style="7" hidden="1" customWidth="1"/>
    <col min="24" max="24" width="14.5703125" style="7" customWidth="1" collapsed="1"/>
    <col min="25" max="25" width="0.85546875" style="7" hidden="1" customWidth="1"/>
    <col min="26" max="26" width="16.140625" style="7" hidden="1" customWidth="1"/>
    <col min="27" max="27" width="0.140625" style="7" hidden="1" customWidth="1"/>
    <col min="28" max="28" width="16.140625" style="7" hidden="1" customWidth="1" outlineLevel="1"/>
    <col min="29" max="29" width="0.42578125" style="7" hidden="1" customWidth="1" outlineLevel="1"/>
    <col min="30" max="30" width="17.85546875" style="7" hidden="1" customWidth="1" outlineLevel="1"/>
    <col min="31" max="31" width="0.42578125" style="7" hidden="1" customWidth="1" outlineLevel="1"/>
    <col min="32" max="32" width="16.140625" style="7" hidden="1" customWidth="1" collapsed="1"/>
    <col min="33" max="33" width="16" style="7" hidden="1" customWidth="1" outlineLevel="1"/>
    <col min="34" max="34" width="17" style="7" hidden="1" customWidth="1" outlineLevel="1"/>
    <col min="35" max="35" width="10.5703125" style="7" hidden="1" customWidth="1" outlineLevel="1"/>
    <col min="36" max="36" width="16.140625" style="7" hidden="1" customWidth="1" collapsed="1"/>
    <col min="37" max="37" width="0.7109375" style="7" hidden="1" customWidth="1"/>
    <col min="38" max="38" width="16.140625" style="7" hidden="1" customWidth="1" outlineLevel="1"/>
    <col min="39" max="39" width="4.140625" style="7" hidden="1" customWidth="1" outlineLevel="1"/>
    <col min="40" max="40" width="16.140625" style="17" customWidth="1" collapsed="1"/>
    <col min="41" max="41" width="16.140625" style="17" hidden="1" customWidth="1" collapsed="1"/>
    <col min="42" max="42" width="16.140625" style="17" customWidth="1" collapsed="1"/>
    <col min="43" max="43" width="0.7109375" style="7" hidden="1" customWidth="1" outlineLevel="1"/>
    <col min="44" max="44" width="22.140625" style="7" hidden="1" customWidth="1" outlineLevel="1"/>
    <col min="45" max="45" width="0.42578125" style="7" hidden="1" customWidth="1" outlineLevel="1"/>
    <col min="46" max="46" width="17.85546875" style="7" hidden="1" customWidth="1" outlineLevel="1"/>
    <col min="47" max="47" width="0.42578125" style="7" hidden="1" customWidth="1" outlineLevel="1"/>
    <col min="48" max="48" width="18" style="7" hidden="1" customWidth="1" collapsed="1"/>
    <col min="49" max="49" width="0.5703125" style="7" hidden="1" customWidth="1"/>
    <col min="50" max="50" width="18" style="7" hidden="1" customWidth="1"/>
    <col min="51" max="51" width="0.5703125" style="7" customWidth="1"/>
    <col min="52" max="52" width="15.140625" style="7" customWidth="1"/>
    <col min="53" max="53" width="15.7109375" style="7" bestFit="1" customWidth="1"/>
    <col min="54" max="54" width="15.140625" style="7" customWidth="1"/>
    <col min="55" max="55" width="23.140625" style="7" customWidth="1"/>
    <col min="56" max="56" width="19.85546875" style="7" bestFit="1" customWidth="1"/>
    <col min="57" max="59" width="12.42578125" style="7" customWidth="1"/>
    <col min="60" max="60" width="3.85546875" style="76" customWidth="1"/>
    <col min="61" max="61" width="14.5703125" style="12" bestFit="1" customWidth="1"/>
  </cols>
  <sheetData>
    <row r="1" spans="1:61" ht="15">
      <c r="A1" s="1" t="s">
        <v>0</v>
      </c>
      <c r="B1" s="2"/>
      <c r="C1" s="2"/>
      <c r="D1" s="1"/>
      <c r="E1" s="1"/>
      <c r="F1" s="3"/>
      <c r="H1" s="5"/>
      <c r="I1" s="6"/>
      <c r="T1" s="8"/>
      <c r="Z1" s="9"/>
      <c r="AB1" s="9"/>
      <c r="AD1" s="9"/>
      <c r="AF1" s="9"/>
      <c r="AH1" s="10" t="e">
        <f>+#REF!</f>
        <v>#REF!</v>
      </c>
      <c r="AJ1" s="9"/>
      <c r="AK1" s="9"/>
      <c r="AN1" s="9"/>
      <c r="AO1" s="9"/>
      <c r="AP1" s="9"/>
      <c r="AR1" s="9"/>
      <c r="AT1" s="9"/>
      <c r="AV1" s="9"/>
      <c r="AW1" s="9"/>
      <c r="AX1" s="9"/>
      <c r="AY1" s="9"/>
      <c r="AZ1" s="9"/>
      <c r="BA1" s="9"/>
      <c r="BB1" s="9"/>
      <c r="BC1" s="9"/>
      <c r="BD1" s="9"/>
      <c r="BE1" s="9"/>
      <c r="BF1" s="9"/>
      <c r="BG1" s="9"/>
      <c r="BH1" s="11"/>
    </row>
    <row r="2" spans="1:61" ht="15">
      <c r="A2" s="1" t="s">
        <v>1053</v>
      </c>
      <c r="B2" s="2"/>
      <c r="C2" s="2"/>
      <c r="D2" s="1"/>
      <c r="E2" s="1"/>
      <c r="F2" s="3"/>
      <c r="H2" s="5"/>
      <c r="I2" s="13"/>
      <c r="J2" s="14"/>
      <c r="K2" s="14"/>
      <c r="L2" s="15"/>
      <c r="M2" s="15"/>
      <c r="N2" s="15"/>
      <c r="O2" s="15"/>
      <c r="P2" s="15"/>
      <c r="R2" s="15"/>
      <c r="T2" s="8"/>
      <c r="V2" s="15"/>
      <c r="X2" s="15"/>
      <c r="Z2" s="15"/>
      <c r="AB2" s="15"/>
      <c r="AD2" s="15"/>
      <c r="AF2" s="15"/>
      <c r="AG2" s="238" t="s">
        <v>1</v>
      </c>
      <c r="AH2" s="238"/>
      <c r="AI2" s="17"/>
      <c r="AJ2" s="18"/>
      <c r="AK2" s="15"/>
      <c r="AL2" s="10" t="e">
        <f>+#REF!</f>
        <v>#REF!</v>
      </c>
      <c r="AN2" s="18"/>
      <c r="AO2" s="18"/>
      <c r="AP2" s="18"/>
      <c r="AR2" s="15"/>
      <c r="AT2" s="15"/>
      <c r="AV2" s="15"/>
      <c r="AW2" s="15"/>
      <c r="AX2" s="15"/>
      <c r="AY2" s="15"/>
      <c r="AZ2" s="15"/>
      <c r="BA2" s="15"/>
      <c r="BB2" s="15"/>
      <c r="BC2" s="15"/>
      <c r="BD2" s="15"/>
      <c r="BE2" s="15"/>
      <c r="BF2" s="15"/>
      <c r="BG2" s="15"/>
      <c r="BH2" s="19"/>
    </row>
    <row r="3" spans="1:61">
      <c r="A3" s="20" t="str">
        <f>IF(G7=1,"DETAIL OF EXPENDITURES BUDGET BY DEPARTMENT WITH COMPARATIVE AMOUNTS", "SUMMARY OF EXPENDITURES BUDGET BY DEPARTMENT WITH COMPARATIVE AMOUNTS")</f>
        <v>DETAIL OF EXPENDITURES BUDGET BY DEPARTMENT WITH COMPARATIVE AMOUNTS</v>
      </c>
      <c r="B3" s="21"/>
      <c r="C3" s="21"/>
      <c r="D3" s="22"/>
      <c r="E3" s="22"/>
      <c r="F3" s="3"/>
      <c r="H3" s="5"/>
      <c r="I3" s="23"/>
      <c r="J3" s="15"/>
      <c r="L3" s="15"/>
      <c r="M3" s="10"/>
      <c r="N3" s="10"/>
      <c r="O3" s="10"/>
      <c r="P3" s="24"/>
      <c r="R3" s="24"/>
      <c r="V3" s="24"/>
      <c r="W3" s="24"/>
      <c r="X3" s="15"/>
      <c r="Y3" s="24"/>
      <c r="AA3" s="24"/>
      <c r="AB3" s="24" t="e">
        <f>+#REF!</f>
        <v>#REF!</v>
      </c>
      <c r="AC3" s="24"/>
      <c r="AD3" s="24" t="e">
        <f>+#REF!</f>
        <v>#REF!</v>
      </c>
      <c r="AE3" s="24"/>
      <c r="AF3" s="10" t="e">
        <f>+#REF!</f>
        <v>#REF!</v>
      </c>
      <c r="AG3" s="239" t="s">
        <v>2</v>
      </c>
      <c r="AH3" s="239"/>
      <c r="AI3" s="25"/>
      <c r="AJ3" s="25" t="e">
        <f>+#REF!</f>
        <v>#REF!</v>
      </c>
      <c r="AK3" s="24"/>
      <c r="AL3" s="16" t="s">
        <v>1</v>
      </c>
      <c r="AM3" s="25"/>
      <c r="AN3" s="25"/>
      <c r="AO3" s="25"/>
      <c r="AP3" s="25"/>
      <c r="AQ3" s="24"/>
      <c r="AR3" s="24" t="e">
        <f>+#REF!</f>
        <v>#REF!</v>
      </c>
      <c r="AS3" s="24"/>
      <c r="AT3" s="24" t="e">
        <f>+#REF!</f>
        <v>#REF!</v>
      </c>
      <c r="AU3" s="24"/>
      <c r="AV3" s="24" t="e">
        <f>+#REF!</f>
        <v>#REF!</v>
      </c>
      <c r="AW3" s="24"/>
      <c r="AX3" s="24" t="e">
        <f>+#REF!</f>
        <v>#REF!</v>
      </c>
      <c r="AY3" s="24"/>
      <c r="AZ3" s="24"/>
      <c r="BA3" s="24"/>
      <c r="BB3" s="24"/>
      <c r="BC3" s="24"/>
      <c r="BD3" s="26"/>
      <c r="BE3" s="26"/>
      <c r="BF3" s="26"/>
      <c r="BG3" s="26"/>
      <c r="BH3" s="27"/>
    </row>
    <row r="4" spans="1:61" ht="15">
      <c r="A4" s="28" t="s">
        <v>1070</v>
      </c>
      <c r="B4" s="29"/>
      <c r="C4" s="29"/>
      <c r="D4" s="28"/>
      <c r="E4" s="28"/>
      <c r="F4" s="3"/>
      <c r="H4" s="30"/>
      <c r="I4" s="31" t="e">
        <f>+#REF!</f>
        <v>#REF!</v>
      </c>
      <c r="J4" s="31" t="e">
        <f>+#REF!</f>
        <v>#REF!</v>
      </c>
      <c r="L4" s="31"/>
      <c r="M4" s="32"/>
      <c r="N4" s="33"/>
      <c r="O4" s="32"/>
      <c r="P4" s="33"/>
      <c r="R4" s="33"/>
      <c r="T4" s="33"/>
      <c r="X4" s="31"/>
      <c r="Z4" s="10"/>
      <c r="AB4" s="241"/>
      <c r="AC4" s="241"/>
      <c r="AD4" s="241"/>
      <c r="AE4" s="35"/>
      <c r="AF4" s="34"/>
      <c r="AG4" s="240"/>
      <c r="AH4" s="240"/>
      <c r="AI4" s="17"/>
      <c r="AJ4" s="16"/>
      <c r="AK4" s="24"/>
      <c r="AL4" s="16"/>
      <c r="AM4" s="17"/>
      <c r="AN4" s="31"/>
      <c r="AO4" s="31"/>
      <c r="AP4" s="31"/>
      <c r="AR4" s="34" t="s">
        <v>5</v>
      </c>
      <c r="AU4" s="35"/>
      <c r="AV4" s="34"/>
      <c r="AW4" s="34"/>
      <c r="AX4" s="34" t="s">
        <v>5</v>
      </c>
      <c r="AY4" s="34"/>
      <c r="AZ4" s="34"/>
      <c r="BA4" s="34"/>
      <c r="BB4" s="34"/>
      <c r="BC4" s="34"/>
      <c r="BD4" s="37"/>
      <c r="BE4" s="37"/>
      <c r="BF4" s="37"/>
      <c r="BG4" s="37"/>
      <c r="BH4" s="38"/>
    </row>
    <row r="5" spans="1:61" ht="15">
      <c r="B5" s="29"/>
      <c r="C5" s="29"/>
      <c r="D5" s="28"/>
      <c r="E5" s="28"/>
      <c r="G5" s="28"/>
      <c r="H5" s="5"/>
      <c r="I5" s="41" t="s">
        <v>6</v>
      </c>
      <c r="J5" s="42" t="s">
        <v>7</v>
      </c>
      <c r="L5" s="16" t="s">
        <v>8</v>
      </c>
      <c r="M5" s="16"/>
      <c r="N5" s="16" t="s">
        <v>9</v>
      </c>
      <c r="O5" s="16"/>
      <c r="P5" s="16" t="s">
        <v>9</v>
      </c>
      <c r="Q5" s="17"/>
      <c r="R5" s="43"/>
      <c r="S5" s="17"/>
      <c r="T5" s="16"/>
      <c r="U5" s="17"/>
      <c r="V5" s="16" t="s">
        <v>9</v>
      </c>
      <c r="X5" s="16" t="s">
        <v>9</v>
      </c>
      <c r="Z5" s="34" t="s">
        <v>1</v>
      </c>
      <c r="AB5" s="243" t="s">
        <v>10</v>
      </c>
      <c r="AC5" s="243"/>
      <c r="AD5" s="243"/>
      <c r="AE5" s="35"/>
      <c r="AF5" s="34" t="s">
        <v>1</v>
      </c>
      <c r="AG5" s="17"/>
      <c r="AH5" s="16" t="s">
        <v>11</v>
      </c>
      <c r="AI5" s="17"/>
      <c r="AJ5" s="16" t="s">
        <v>1</v>
      </c>
      <c r="AK5" s="24"/>
      <c r="AL5" s="43" t="s">
        <v>12</v>
      </c>
      <c r="AM5" s="17"/>
      <c r="AN5" s="16" t="s">
        <v>1</v>
      </c>
      <c r="AO5" s="45" t="s">
        <v>1</v>
      </c>
      <c r="AP5" s="46" t="s">
        <v>5</v>
      </c>
      <c r="AQ5" s="47"/>
      <c r="AR5" s="48" t="s">
        <v>10</v>
      </c>
      <c r="AS5" s="47"/>
      <c r="AT5" s="47"/>
      <c r="AU5" s="47"/>
      <c r="AV5" s="46" t="s">
        <v>5</v>
      </c>
      <c r="AW5" s="34"/>
      <c r="AX5" s="49" t="s">
        <v>3</v>
      </c>
      <c r="AY5" s="34"/>
      <c r="AZ5" s="16" t="s">
        <v>1054</v>
      </c>
      <c r="BA5" s="16" t="s">
        <v>1054</v>
      </c>
      <c r="BB5" s="34" t="s">
        <v>1069</v>
      </c>
      <c r="BC5" s="34"/>
      <c r="BD5" s="50" t="s">
        <v>13</v>
      </c>
      <c r="BE5" s="37"/>
      <c r="BF5" s="37"/>
      <c r="BG5" s="37"/>
      <c r="BH5" s="51"/>
    </row>
    <row r="6" spans="1:61">
      <c r="A6" s="242"/>
      <c r="B6" s="242"/>
      <c r="C6" s="242"/>
      <c r="D6" s="242"/>
      <c r="E6" s="242"/>
      <c r="F6" s="242"/>
      <c r="G6" s="22"/>
      <c r="H6" s="5"/>
      <c r="I6" s="52" t="s">
        <v>14</v>
      </c>
      <c r="J6" s="52" t="s">
        <v>14</v>
      </c>
      <c r="L6" s="43" t="s">
        <v>14</v>
      </c>
      <c r="M6" s="43"/>
      <c r="N6" s="43" t="s">
        <v>15</v>
      </c>
      <c r="O6" s="43"/>
      <c r="P6" s="43" t="s">
        <v>4</v>
      </c>
      <c r="Q6" s="17"/>
      <c r="R6" s="43" t="s">
        <v>4</v>
      </c>
      <c r="S6" s="43"/>
      <c r="T6" s="43" t="s">
        <v>16</v>
      </c>
      <c r="U6" s="43"/>
      <c r="V6" s="43" t="s">
        <v>4</v>
      </c>
      <c r="W6" s="43"/>
      <c r="X6" s="43" t="s">
        <v>14</v>
      </c>
      <c r="Y6" s="43"/>
      <c r="Z6" s="34" t="s">
        <v>17</v>
      </c>
      <c r="AA6" s="43"/>
      <c r="AB6" s="53" t="s">
        <v>16</v>
      </c>
      <c r="AC6" s="53"/>
      <c r="AD6" s="34"/>
      <c r="AE6" s="53"/>
      <c r="AF6" s="34" t="s">
        <v>17</v>
      </c>
      <c r="AG6" s="43" t="s">
        <v>16</v>
      </c>
      <c r="AH6" s="16" t="s">
        <v>18</v>
      </c>
      <c r="AI6" s="43"/>
      <c r="AJ6" s="16" t="s">
        <v>19</v>
      </c>
      <c r="AK6" s="24"/>
      <c r="AL6" s="43" t="s">
        <v>16</v>
      </c>
      <c r="AM6" s="43"/>
      <c r="AN6" s="43" t="s">
        <v>14</v>
      </c>
      <c r="AO6" s="45" t="s">
        <v>20</v>
      </c>
      <c r="AP6" s="43" t="s">
        <v>14</v>
      </c>
      <c r="AQ6" s="54"/>
      <c r="AR6" s="54" t="s">
        <v>16</v>
      </c>
      <c r="AS6" s="54"/>
      <c r="AT6" s="46"/>
      <c r="AU6" s="54"/>
      <c r="AV6" s="46" t="s">
        <v>19</v>
      </c>
      <c r="AW6" s="34"/>
      <c r="AX6" s="55" t="s">
        <v>16</v>
      </c>
      <c r="AY6" s="34"/>
      <c r="AZ6" s="16" t="s">
        <v>19</v>
      </c>
      <c r="BA6" s="16" t="s">
        <v>19</v>
      </c>
      <c r="BB6" s="34" t="s">
        <v>19</v>
      </c>
      <c r="BC6" s="56"/>
      <c r="BD6" s="50" t="s">
        <v>21</v>
      </c>
      <c r="BE6" s="37"/>
      <c r="BF6" s="37"/>
      <c r="BG6" s="37"/>
      <c r="BH6" s="57"/>
    </row>
    <row r="7" spans="1:61" ht="15">
      <c r="A7" s="237"/>
      <c r="B7" s="237"/>
      <c r="C7" s="237"/>
      <c r="D7" s="237"/>
      <c r="E7" s="237"/>
      <c r="F7" s="237"/>
      <c r="G7" s="59">
        <v>1</v>
      </c>
      <c r="H7" s="60"/>
      <c r="I7" s="52" t="s">
        <v>22</v>
      </c>
      <c r="J7" s="52" t="s">
        <v>22</v>
      </c>
      <c r="L7" s="43" t="s">
        <v>22</v>
      </c>
      <c r="M7" s="43"/>
      <c r="N7" s="43" t="s">
        <v>23</v>
      </c>
      <c r="O7" s="43"/>
      <c r="P7" s="43" t="s">
        <v>24</v>
      </c>
      <c r="Q7" s="43"/>
      <c r="R7" s="43" t="s">
        <v>24</v>
      </c>
      <c r="S7" s="43"/>
      <c r="T7" s="43" t="s">
        <v>25</v>
      </c>
      <c r="U7" s="43"/>
      <c r="V7" s="43" t="s">
        <v>24</v>
      </c>
      <c r="W7" s="43"/>
      <c r="X7" s="43" t="s">
        <v>22</v>
      </c>
      <c r="Y7" s="43"/>
      <c r="Z7" s="53" t="s">
        <v>15</v>
      </c>
      <c r="AA7" s="43"/>
      <c r="AB7" s="53" t="s">
        <v>26</v>
      </c>
      <c r="AC7" s="53"/>
      <c r="AD7" s="53"/>
      <c r="AE7" s="53"/>
      <c r="AF7" s="53" t="s">
        <v>4</v>
      </c>
      <c r="AG7" s="43" t="s">
        <v>26</v>
      </c>
      <c r="AH7" s="43" t="s">
        <v>27</v>
      </c>
      <c r="AI7" s="43"/>
      <c r="AJ7" s="43" t="s">
        <v>4</v>
      </c>
      <c r="AK7" s="24"/>
      <c r="AL7" s="43" t="s">
        <v>26</v>
      </c>
      <c r="AM7" s="43"/>
      <c r="AN7" s="43" t="s">
        <v>22</v>
      </c>
      <c r="AO7" s="61" t="s">
        <v>22</v>
      </c>
      <c r="AP7" s="43" t="s">
        <v>22</v>
      </c>
      <c r="AQ7" s="54"/>
      <c r="AR7" s="54" t="s">
        <v>26</v>
      </c>
      <c r="AS7" s="54"/>
      <c r="AT7" s="54"/>
      <c r="AU7" s="54"/>
      <c r="AV7" s="54" t="s">
        <v>4</v>
      </c>
      <c r="AW7" s="53"/>
      <c r="AX7" s="55" t="s">
        <v>26</v>
      </c>
      <c r="AY7" s="53"/>
      <c r="AZ7" s="16" t="s">
        <v>15</v>
      </c>
      <c r="BA7" s="43" t="s">
        <v>4</v>
      </c>
      <c r="BB7" s="34" t="s">
        <v>15</v>
      </c>
      <c r="BC7" s="56"/>
      <c r="BD7" s="50" t="s">
        <v>28</v>
      </c>
      <c r="BE7" s="62"/>
      <c r="BF7" s="62"/>
      <c r="BG7" s="62"/>
      <c r="BH7" s="57"/>
      <c r="BI7" s="63"/>
    </row>
    <row r="8" spans="1:61" ht="15">
      <c r="A8" s="237" t="s">
        <v>29</v>
      </c>
      <c r="B8" s="237"/>
      <c r="C8" s="237"/>
      <c r="D8" s="237"/>
      <c r="E8" s="237"/>
      <c r="F8" s="64" t="s">
        <v>30</v>
      </c>
      <c r="G8" s="64" t="s">
        <v>31</v>
      </c>
      <c r="H8" s="60"/>
      <c r="I8" s="65" t="s">
        <v>32</v>
      </c>
      <c r="J8" s="65" t="s">
        <v>32</v>
      </c>
      <c r="L8" s="66" t="s">
        <v>32</v>
      </c>
      <c r="M8" s="36"/>
      <c r="N8" s="36" t="s">
        <v>2</v>
      </c>
      <c r="O8" s="36"/>
      <c r="P8" s="36" t="s">
        <v>33</v>
      </c>
      <c r="Q8" s="36"/>
      <c r="R8" s="36" t="s">
        <v>34</v>
      </c>
      <c r="S8" s="36"/>
      <c r="T8" s="36" t="s">
        <v>35</v>
      </c>
      <c r="U8" s="36"/>
      <c r="V8" s="36" t="s">
        <v>36</v>
      </c>
      <c r="W8" s="36"/>
      <c r="X8" s="66" t="s">
        <v>32</v>
      </c>
      <c r="Y8" s="36"/>
      <c r="Z8" s="44" t="s">
        <v>24</v>
      </c>
      <c r="AA8" s="36"/>
      <c r="AB8" s="44" t="s">
        <v>35</v>
      </c>
      <c r="AC8" s="44"/>
      <c r="AD8" s="44" t="s">
        <v>37</v>
      </c>
      <c r="AE8" s="44"/>
      <c r="AF8" s="44" t="s">
        <v>38</v>
      </c>
      <c r="AG8" s="36" t="s">
        <v>35</v>
      </c>
      <c r="AH8" s="36" t="s">
        <v>39</v>
      </c>
      <c r="AI8" s="36"/>
      <c r="AJ8" s="36" t="s">
        <v>40</v>
      </c>
      <c r="AK8" s="24"/>
      <c r="AL8" s="36" t="s">
        <v>35</v>
      </c>
      <c r="AM8" s="36"/>
      <c r="AN8" s="36" t="s">
        <v>32</v>
      </c>
      <c r="AO8" s="67" t="s">
        <v>32</v>
      </c>
      <c r="AP8" s="36" t="s">
        <v>32</v>
      </c>
      <c r="AQ8" s="48"/>
      <c r="AR8" s="48" t="s">
        <v>35</v>
      </c>
      <c r="AS8" s="48"/>
      <c r="AT8" s="48" t="s">
        <v>37</v>
      </c>
      <c r="AU8" s="48"/>
      <c r="AV8" s="48" t="s">
        <v>38</v>
      </c>
      <c r="AW8" s="44"/>
      <c r="AX8" s="49" t="s">
        <v>35</v>
      </c>
      <c r="AY8" s="44"/>
      <c r="AZ8" s="36" t="s">
        <v>2</v>
      </c>
      <c r="BA8" s="36" t="s">
        <v>40</v>
      </c>
      <c r="BB8" s="44" t="s">
        <v>2</v>
      </c>
      <c r="BC8" s="56"/>
      <c r="BD8" s="50" t="s">
        <v>41</v>
      </c>
      <c r="BE8" s="68"/>
      <c r="BF8" s="68"/>
      <c r="BG8" s="68"/>
      <c r="BH8" s="69"/>
    </row>
    <row r="9" spans="1:61" ht="15">
      <c r="A9" s="58"/>
      <c r="B9" s="58"/>
      <c r="C9" s="58"/>
      <c r="D9" s="64"/>
      <c r="E9" s="64"/>
      <c r="F9" s="64"/>
      <c r="G9" s="70"/>
      <c r="H9" s="60"/>
      <c r="J9" s="71"/>
      <c r="AK9" s="24"/>
      <c r="AZ9" s="34"/>
      <c r="BB9" s="34"/>
      <c r="BC9" s="56"/>
      <c r="BH9" s="72">
        <v>2</v>
      </c>
    </row>
    <row r="10" spans="1:61" ht="20.100000000000001" customHeight="1" outlineLevel="1">
      <c r="A10" s="187" t="s">
        <v>43</v>
      </c>
      <c r="B10" s="39">
        <v>5200</v>
      </c>
      <c r="C10" s="39" t="s">
        <v>1113</v>
      </c>
      <c r="D10" s="183" t="s">
        <v>46</v>
      </c>
      <c r="E10" s="183" t="str">
        <f>+D10</f>
        <v>000</v>
      </c>
      <c r="F10" s="3">
        <v>693211</v>
      </c>
      <c r="G10" s="110" t="s">
        <v>1022</v>
      </c>
      <c r="H10" s="141"/>
      <c r="I10" s="13">
        <v>2086332</v>
      </c>
      <c r="J10" s="13">
        <v>3371298</v>
      </c>
      <c r="L10" s="56">
        <v>2937788</v>
      </c>
      <c r="M10" s="56"/>
      <c r="N10" s="56">
        <v>2817592</v>
      </c>
      <c r="O10" s="56"/>
      <c r="P10" s="56">
        <v>2817592</v>
      </c>
      <c r="Q10" s="56"/>
      <c r="R10" s="56">
        <v>3853452</v>
      </c>
      <c r="S10" s="56"/>
      <c r="T10" s="56">
        <v>0</v>
      </c>
      <c r="U10" s="56"/>
      <c r="V10" s="56">
        <v>3853452</v>
      </c>
      <c r="W10" s="56"/>
      <c r="X10" s="56">
        <v>4042048.48</v>
      </c>
      <c r="Y10" s="56"/>
      <c r="Z10" s="175">
        <v>4300000</v>
      </c>
      <c r="AA10" s="56"/>
      <c r="AB10" s="175"/>
      <c r="AD10" s="175"/>
      <c r="AE10" s="56"/>
      <c r="AF10" s="175">
        <f>SUM(Z10:AE10)</f>
        <v>4300000</v>
      </c>
      <c r="AG10" s="86">
        <v>0</v>
      </c>
      <c r="AH10" s="175">
        <v>811100</v>
      </c>
      <c r="AI10" s="56"/>
      <c r="AJ10" s="175">
        <f>SUM(AE10:AI10)</f>
        <v>5111100</v>
      </c>
      <c r="AK10" s="85"/>
      <c r="AL10" s="175">
        <v>0</v>
      </c>
      <c r="AM10" s="56"/>
      <c r="AN10" s="86">
        <f>SUM(AI10:AM10)</f>
        <v>5111100</v>
      </c>
      <c r="AO10" s="86">
        <v>0</v>
      </c>
      <c r="AP10" s="86">
        <v>4300000</v>
      </c>
      <c r="AQ10" s="56"/>
      <c r="AR10" s="175"/>
      <c r="AT10" s="175">
        <v>0</v>
      </c>
      <c r="AU10" s="56"/>
      <c r="AV10" s="175">
        <f>SUM(AP10:AU10)</f>
        <v>4300000</v>
      </c>
      <c r="AW10" s="175"/>
      <c r="AX10" s="175">
        <v>0</v>
      </c>
      <c r="AY10" s="175"/>
      <c r="AZ10" s="175">
        <v>1200000</v>
      </c>
      <c r="BA10" s="175">
        <v>1200000</v>
      </c>
      <c r="BB10" s="175"/>
      <c r="BC10" s="175"/>
      <c r="BD10" s="84">
        <f>+AP10-AN10</f>
        <v>-811100</v>
      </c>
      <c r="BE10" s="175"/>
      <c r="BF10" s="175"/>
      <c r="BG10" s="175"/>
      <c r="BH10" s="72"/>
    </row>
    <row r="11" spans="1:61" ht="20.100000000000001" customHeight="1">
      <c r="A11" s="77"/>
      <c r="B11" s="77"/>
      <c r="C11" s="184"/>
      <c r="D11" s="78"/>
      <c r="E11" s="78"/>
      <c r="F11" s="79"/>
      <c r="G11" s="110" t="s">
        <v>1023</v>
      </c>
      <c r="H11" s="141"/>
      <c r="I11" s="185">
        <f>SUBTOTAL(9,I10)</f>
        <v>2086332</v>
      </c>
      <c r="J11" s="93">
        <f>SUBTOTAL(9,J10)</f>
        <v>3371298</v>
      </c>
      <c r="K11" s="186"/>
      <c r="L11" s="185">
        <f>SUBTOTAL(9,L10)</f>
        <v>2937788</v>
      </c>
      <c r="M11" s="185"/>
      <c r="N11" s="185">
        <f>SUBTOTAL(9,N10)</f>
        <v>2817592</v>
      </c>
      <c r="O11" s="185"/>
      <c r="P11" s="185"/>
      <c r="Q11" s="185"/>
      <c r="R11" s="94"/>
      <c r="S11" s="94"/>
      <c r="T11" s="94"/>
      <c r="U11" s="185"/>
      <c r="V11" s="94">
        <f>SUBTOTAL(9,V10)</f>
        <v>3853452</v>
      </c>
      <c r="W11" s="185"/>
      <c r="X11" s="185">
        <f>SUBTOTAL(9,X10)</f>
        <v>4042048.48</v>
      </c>
      <c r="Y11" s="185"/>
      <c r="Z11" s="94">
        <f>SUBTOTAL(9,Z10)</f>
        <v>4300000</v>
      </c>
      <c r="AA11" s="185"/>
      <c r="AB11" s="94">
        <f>SUBTOTAL(9,AB10)</f>
        <v>0</v>
      </c>
      <c r="AD11" s="94">
        <f>SUBTOTAL(9,AD10)</f>
        <v>0</v>
      </c>
      <c r="AE11" s="185"/>
      <c r="AF11" s="94">
        <f>SUBTOTAL(9,AF10)</f>
        <v>4300000</v>
      </c>
      <c r="AG11" s="92">
        <f>SUBTOTAL(9,AG10)</f>
        <v>0</v>
      </c>
      <c r="AH11" s="94">
        <f>SUBTOTAL(9,AH10)</f>
        <v>811100</v>
      </c>
      <c r="AI11" s="185"/>
      <c r="AJ11" s="94">
        <f>SUBTOTAL(9,AJ10)</f>
        <v>5111100</v>
      </c>
      <c r="AK11" s="96"/>
      <c r="AL11" s="94">
        <f>SUBTOTAL(9,AL10)</f>
        <v>0</v>
      </c>
      <c r="AM11" s="185"/>
      <c r="AN11" s="97">
        <f>SUBTOTAL(9,AN10)</f>
        <v>5111100</v>
      </c>
      <c r="AO11" s="97">
        <f>SUBTOTAL(9,AO10)</f>
        <v>0</v>
      </c>
      <c r="AP11" s="97">
        <f>SUBTOTAL(9,AP10)</f>
        <v>4300000</v>
      </c>
      <c r="AQ11" s="185"/>
      <c r="AR11" s="94">
        <f>SUBTOTAL(9,AR10)</f>
        <v>0</v>
      </c>
      <c r="AT11" s="94">
        <f>SUBTOTAL(9,AT10)</f>
        <v>0</v>
      </c>
      <c r="AU11" s="185"/>
      <c r="AV11" s="94">
        <f>SUBTOTAL(9,AV10)</f>
        <v>4300000</v>
      </c>
      <c r="AW11" s="95"/>
      <c r="AX11" s="94">
        <f>SUBTOTAL(9,AX10)</f>
        <v>0</v>
      </c>
      <c r="AY11" s="95"/>
      <c r="AZ11" s="94">
        <f>+AZ10</f>
        <v>1200000</v>
      </c>
      <c r="BA11" s="94">
        <f>SUBTOTAL(9,BA10)</f>
        <v>1200000</v>
      </c>
      <c r="BB11" s="94"/>
      <c r="BC11" s="94"/>
      <c r="BD11" s="98">
        <f>+AP11-AN11</f>
        <v>-811100</v>
      </c>
      <c r="BE11" s="95"/>
      <c r="BF11" s="95"/>
      <c r="BG11" s="95"/>
      <c r="BH11" s="99"/>
    </row>
    <row r="12" spans="1:61" ht="20.100000000000001" customHeight="1">
      <c r="A12" s="101" t="s">
        <v>1052</v>
      </c>
      <c r="B12" s="77"/>
      <c r="C12" s="77"/>
      <c r="D12" s="90"/>
      <c r="E12" s="90"/>
      <c r="F12" s="3"/>
      <c r="G12" s="80"/>
      <c r="H12" s="87"/>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5"/>
      <c r="AL12" s="83"/>
      <c r="AM12" s="83"/>
      <c r="AN12" s="100"/>
      <c r="AO12" s="100"/>
      <c r="AP12" s="100"/>
      <c r="AQ12" s="83"/>
      <c r="AR12" s="83"/>
      <c r="AS12" s="83"/>
      <c r="AT12" s="83"/>
      <c r="AU12" s="83"/>
      <c r="AV12" s="83"/>
      <c r="AW12" s="83"/>
      <c r="AX12" s="83"/>
      <c r="AY12" s="83"/>
      <c r="AZ12" s="83"/>
      <c r="BA12" s="83"/>
      <c r="BB12" s="83"/>
      <c r="BC12" s="83"/>
      <c r="BD12" s="83"/>
      <c r="BE12" s="83"/>
      <c r="BF12" s="83"/>
      <c r="BG12" s="83"/>
      <c r="BH12" s="19"/>
    </row>
    <row r="13" spans="1:61" ht="20.100000000000001" customHeight="1" outlineLevel="1">
      <c r="A13" s="187" t="s">
        <v>43</v>
      </c>
      <c r="B13" s="77" t="s">
        <v>176</v>
      </c>
      <c r="C13" s="77" t="s">
        <v>1116</v>
      </c>
      <c r="D13" s="78" t="s">
        <v>46</v>
      </c>
      <c r="E13" s="78" t="str">
        <f>+D13</f>
        <v>000</v>
      </c>
      <c r="F13" s="3">
        <v>634021</v>
      </c>
      <c r="G13" s="188" t="s">
        <v>1024</v>
      </c>
      <c r="H13" s="87"/>
      <c r="I13" s="189">
        <v>0</v>
      </c>
      <c r="J13" s="189">
        <v>0</v>
      </c>
      <c r="L13" s="189">
        <v>1025</v>
      </c>
      <c r="M13" s="189"/>
      <c r="N13" s="189">
        <v>0</v>
      </c>
      <c r="O13" s="189"/>
      <c r="P13" s="189">
        <v>0</v>
      </c>
      <c r="Q13" s="189"/>
      <c r="R13" s="83">
        <v>0</v>
      </c>
      <c r="S13" s="189"/>
      <c r="T13" s="189">
        <v>0</v>
      </c>
      <c r="U13" s="189"/>
      <c r="V13" s="83">
        <v>0</v>
      </c>
      <c r="W13" s="189"/>
      <c r="X13" s="189">
        <v>900</v>
      </c>
      <c r="Y13" s="189"/>
      <c r="Z13" s="83">
        <v>1000</v>
      </c>
      <c r="AA13" s="189"/>
      <c r="AB13" s="83"/>
      <c r="AD13" s="83"/>
      <c r="AE13" s="189"/>
      <c r="AF13" s="86">
        <f>SUM(Z13:AE13)</f>
        <v>1000</v>
      </c>
      <c r="AG13" s="83">
        <v>0</v>
      </c>
      <c r="AH13" s="83">
        <v>0</v>
      </c>
      <c r="AI13" s="189"/>
      <c r="AJ13" s="86">
        <f>SUM(AE13:AI13)</f>
        <v>1000</v>
      </c>
      <c r="AK13" s="85"/>
      <c r="AL13" s="83">
        <v>0</v>
      </c>
      <c r="AM13" s="189"/>
      <c r="AN13" s="86">
        <f>SUM(AI13:AM13)</f>
        <v>1000</v>
      </c>
      <c r="AO13" s="86">
        <v>0</v>
      </c>
      <c r="AP13" s="86">
        <v>600</v>
      </c>
      <c r="AQ13" s="189"/>
      <c r="AR13" s="83">
        <v>0</v>
      </c>
      <c r="AT13" s="83">
        <v>0</v>
      </c>
      <c r="AU13" s="189"/>
      <c r="AV13" s="86">
        <f>SUM(AP13:AU13)</f>
        <v>600</v>
      </c>
      <c r="AW13" s="86"/>
      <c r="AX13" s="86">
        <v>0</v>
      </c>
      <c r="AY13" s="86"/>
      <c r="AZ13" s="86">
        <v>1000</v>
      </c>
      <c r="BA13" s="86">
        <v>1000</v>
      </c>
      <c r="BB13" s="214"/>
      <c r="BC13" s="86"/>
      <c r="BD13" s="84">
        <f>+AP13-AN13</f>
        <v>-400</v>
      </c>
      <c r="BE13" s="86"/>
      <c r="BF13" s="86"/>
      <c r="BG13" s="86"/>
      <c r="BH13" s="72"/>
    </row>
    <row r="14" spans="1:61" ht="20.100000000000001" customHeight="1" outlineLevel="1">
      <c r="A14" s="187" t="s">
        <v>43</v>
      </c>
      <c r="B14" s="77" t="s">
        <v>176</v>
      </c>
      <c r="C14" s="77" t="str">
        <f>+C13</f>
        <v>BN·</v>
      </c>
      <c r="D14" s="78" t="s">
        <v>46</v>
      </c>
      <c r="E14" s="78" t="str">
        <f>+D14</f>
        <v>000</v>
      </c>
      <c r="F14" s="224">
        <v>683201</v>
      </c>
      <c r="G14" s="188" t="s">
        <v>1025</v>
      </c>
      <c r="H14" s="87"/>
      <c r="I14" s="56">
        <v>0</v>
      </c>
      <c r="J14" s="56">
        <v>0</v>
      </c>
      <c r="L14" s="190">
        <v>53105</v>
      </c>
      <c r="M14" s="189"/>
      <c r="N14" s="56">
        <v>0</v>
      </c>
      <c r="O14" s="189"/>
      <c r="P14" s="56">
        <v>0</v>
      </c>
      <c r="Q14" s="189"/>
      <c r="R14" s="56">
        <v>0</v>
      </c>
      <c r="S14" s="189"/>
      <c r="T14" s="56">
        <v>0</v>
      </c>
      <c r="U14" s="189"/>
      <c r="V14" s="56">
        <v>0</v>
      </c>
      <c r="W14" s="189"/>
      <c r="X14" s="190">
        <v>111572.5</v>
      </c>
      <c r="Y14" s="189"/>
      <c r="Z14" s="56">
        <v>112000</v>
      </c>
      <c r="AA14" s="189"/>
      <c r="AB14" s="56"/>
      <c r="AD14" s="56"/>
      <c r="AE14" s="189"/>
      <c r="AF14" s="56">
        <f>SUM(Z14:AE14)</f>
        <v>112000</v>
      </c>
      <c r="AG14" s="56">
        <v>0</v>
      </c>
      <c r="AH14" s="56">
        <v>0</v>
      </c>
      <c r="AI14" s="189"/>
      <c r="AJ14" s="56">
        <f>SUM(AE14:AI14)</f>
        <v>112000</v>
      </c>
      <c r="AK14" s="85"/>
      <c r="AL14" s="56">
        <v>0</v>
      </c>
      <c r="AM14" s="189"/>
      <c r="AN14" s="88">
        <f>SUM(AI14:AM14)</f>
        <v>112000</v>
      </c>
      <c r="AO14" s="88">
        <v>0</v>
      </c>
      <c r="AP14" s="88">
        <v>91813</v>
      </c>
      <c r="AQ14" s="189"/>
      <c r="AR14" s="56">
        <v>0</v>
      </c>
      <c r="AT14" s="56">
        <v>0</v>
      </c>
      <c r="AU14" s="189"/>
      <c r="AV14" s="56">
        <f>SUM(AP14:AU14)</f>
        <v>91813</v>
      </c>
      <c r="AW14" s="56"/>
      <c r="AX14" s="56">
        <v>0</v>
      </c>
      <c r="AY14" s="56"/>
      <c r="AZ14" s="56">
        <v>80812</v>
      </c>
      <c r="BA14" s="56">
        <v>80812</v>
      </c>
      <c r="BB14" s="214"/>
      <c r="BC14" s="56"/>
      <c r="BD14" s="84">
        <f>+AP14-AN14</f>
        <v>-20187</v>
      </c>
      <c r="BE14" s="56"/>
      <c r="BF14" s="56"/>
      <c r="BG14" s="56"/>
      <c r="BH14" s="72"/>
    </row>
    <row r="15" spans="1:61" ht="20.100000000000001" customHeight="1" outlineLevel="1">
      <c r="A15" s="187" t="s">
        <v>43</v>
      </c>
      <c r="B15" s="77" t="s">
        <v>176</v>
      </c>
      <c r="C15" s="77" t="str">
        <f>+C14</f>
        <v>BN·</v>
      </c>
      <c r="D15" s="78" t="s">
        <v>46</v>
      </c>
      <c r="E15" s="78" t="str">
        <f>+D15</f>
        <v>000</v>
      </c>
      <c r="F15" s="224">
        <v>683300</v>
      </c>
      <c r="G15" s="188" t="s">
        <v>1026</v>
      </c>
      <c r="H15" s="87"/>
      <c r="I15" s="56">
        <v>0</v>
      </c>
      <c r="J15" s="56">
        <v>0</v>
      </c>
      <c r="L15" s="190">
        <v>80039</v>
      </c>
      <c r="M15" s="189"/>
      <c r="N15" s="56">
        <v>0</v>
      </c>
      <c r="O15" s="189"/>
      <c r="P15" s="56">
        <v>0</v>
      </c>
      <c r="Q15" s="189"/>
      <c r="R15" s="56">
        <v>0</v>
      </c>
      <c r="S15" s="189"/>
      <c r="T15" s="56">
        <v>0</v>
      </c>
      <c r="U15" s="189"/>
      <c r="V15" s="56">
        <v>0</v>
      </c>
      <c r="W15" s="189"/>
      <c r="X15" s="190">
        <v>0</v>
      </c>
      <c r="Y15" s="189"/>
      <c r="Z15" s="56">
        <v>0</v>
      </c>
      <c r="AA15" s="189"/>
      <c r="AB15" s="56"/>
      <c r="AD15" s="56"/>
      <c r="AE15" s="189"/>
      <c r="AF15" s="56">
        <f>SUM(Z15:AE15)</f>
        <v>0</v>
      </c>
      <c r="AG15" s="56">
        <v>0</v>
      </c>
      <c r="AH15" s="56">
        <v>0</v>
      </c>
      <c r="AI15" s="189"/>
      <c r="AJ15" s="56">
        <f>SUM(AE15:AI15)</f>
        <v>0</v>
      </c>
      <c r="AK15" s="85"/>
      <c r="AL15" s="56">
        <v>0</v>
      </c>
      <c r="AM15" s="189"/>
      <c r="AN15" s="88">
        <f>SUM(AI15:AM15)</f>
        <v>0</v>
      </c>
      <c r="AO15" s="88">
        <v>0</v>
      </c>
      <c r="AP15" s="88">
        <v>0</v>
      </c>
      <c r="AQ15" s="189"/>
      <c r="AR15" s="56">
        <v>0</v>
      </c>
      <c r="AT15" s="56">
        <v>0</v>
      </c>
      <c r="AU15" s="189"/>
      <c r="AV15" s="56">
        <f>SUM(AP15:AU15)</f>
        <v>0</v>
      </c>
      <c r="AW15" s="56"/>
      <c r="AX15" s="56">
        <v>0</v>
      </c>
      <c r="AY15" s="56"/>
      <c r="AZ15" s="56">
        <v>0</v>
      </c>
      <c r="BA15" s="56">
        <v>0</v>
      </c>
      <c r="BB15" s="214"/>
      <c r="BC15" s="56"/>
      <c r="BD15" s="84">
        <f>+AP15-AN15</f>
        <v>0</v>
      </c>
      <c r="BE15" s="56"/>
      <c r="BF15" s="56"/>
      <c r="BG15" s="56"/>
      <c r="BH15" s="72"/>
    </row>
    <row r="16" spans="1:61" ht="20.100000000000001" customHeight="1" outlineLevel="1">
      <c r="A16" s="187" t="s">
        <v>43</v>
      </c>
      <c r="B16" s="77" t="s">
        <v>176</v>
      </c>
      <c r="C16" s="77" t="str">
        <f>+C15</f>
        <v>BN·</v>
      </c>
      <c r="D16" s="78" t="s">
        <v>46</v>
      </c>
      <c r="E16" s="78" t="str">
        <f>+D16</f>
        <v>000</v>
      </c>
      <c r="F16" s="224">
        <v>683101</v>
      </c>
      <c r="G16" s="188" t="s">
        <v>1027</v>
      </c>
      <c r="H16" s="87"/>
      <c r="I16" s="56">
        <v>0</v>
      </c>
      <c r="J16" s="56">
        <v>0</v>
      </c>
      <c r="L16" s="190">
        <v>0</v>
      </c>
      <c r="M16" s="189"/>
      <c r="N16" s="56">
        <v>0</v>
      </c>
      <c r="O16" s="189"/>
      <c r="P16" s="56">
        <v>0</v>
      </c>
      <c r="Q16" s="189"/>
      <c r="R16" s="56">
        <v>250000</v>
      </c>
      <c r="S16" s="189"/>
      <c r="T16" s="56">
        <v>0</v>
      </c>
      <c r="U16" s="189"/>
      <c r="V16" s="56">
        <v>250000</v>
      </c>
      <c r="W16" s="189"/>
      <c r="X16" s="190">
        <v>250000</v>
      </c>
      <c r="Y16" s="189"/>
      <c r="Z16" s="56">
        <v>260000</v>
      </c>
      <c r="AA16" s="189"/>
      <c r="AB16" s="56"/>
      <c r="AD16" s="56"/>
      <c r="AE16" s="189"/>
      <c r="AF16" s="56">
        <f>SUM(Z16:AD16)</f>
        <v>260000</v>
      </c>
      <c r="AG16" s="56">
        <v>0</v>
      </c>
      <c r="AH16" s="56">
        <v>0</v>
      </c>
      <c r="AI16" s="189"/>
      <c r="AJ16" s="56">
        <f>SUM(AE16:AI16)</f>
        <v>260000</v>
      </c>
      <c r="AK16" s="85"/>
      <c r="AL16" s="56">
        <v>0</v>
      </c>
      <c r="AM16" s="189"/>
      <c r="AN16" s="88">
        <f>SUM(AI16:AM16)</f>
        <v>260000</v>
      </c>
      <c r="AO16" s="88">
        <v>0</v>
      </c>
      <c r="AP16" s="88">
        <v>270000</v>
      </c>
      <c r="AQ16" s="189"/>
      <c r="AR16" s="56">
        <v>0</v>
      </c>
      <c r="AT16" s="56">
        <v>0</v>
      </c>
      <c r="AU16" s="189"/>
      <c r="AV16" s="56">
        <f>SUM(AP16:AT16)</f>
        <v>270000</v>
      </c>
      <c r="AW16" s="56"/>
      <c r="AX16" s="56">
        <v>0</v>
      </c>
      <c r="AY16" s="56"/>
      <c r="AZ16" s="56">
        <v>280000</v>
      </c>
      <c r="BA16" s="56">
        <v>280000</v>
      </c>
      <c r="BB16" s="56"/>
      <c r="BC16" s="56"/>
      <c r="BD16" s="84">
        <f>+AP16-AN16</f>
        <v>10000</v>
      </c>
      <c r="BE16" s="56"/>
      <c r="BF16" s="56"/>
      <c r="BG16" s="56"/>
      <c r="BH16" s="72"/>
    </row>
    <row r="17" spans="1:61" ht="20.100000000000001" customHeight="1">
      <c r="B17" s="77"/>
      <c r="C17" s="77"/>
      <c r="D17" s="90"/>
      <c r="E17" s="90"/>
      <c r="F17" s="3"/>
      <c r="G17" s="110" t="s">
        <v>1028</v>
      </c>
      <c r="H17" s="87"/>
      <c r="I17" s="125">
        <v>0</v>
      </c>
      <c r="J17" s="125">
        <v>0</v>
      </c>
      <c r="K17" s="125">
        <v>134169</v>
      </c>
      <c r="L17" s="125">
        <v>134169</v>
      </c>
      <c r="M17" s="126"/>
      <c r="N17" s="94">
        <v>0</v>
      </c>
      <c r="O17" s="126"/>
      <c r="P17" s="94">
        <v>0</v>
      </c>
      <c r="Q17" s="126"/>
      <c r="R17" s="94">
        <v>250000</v>
      </c>
      <c r="S17" s="95"/>
      <c r="T17" s="94">
        <v>0</v>
      </c>
      <c r="U17" s="126"/>
      <c r="V17" s="94">
        <v>250000</v>
      </c>
      <c r="W17" s="126"/>
      <c r="X17" s="125">
        <f>SUBTOTAL(9,X13:X16)</f>
        <v>362472.5</v>
      </c>
      <c r="Y17" s="126"/>
      <c r="Z17" s="94">
        <f>SUBTOTAL(9,Z13:Z16)</f>
        <v>373000</v>
      </c>
      <c r="AA17" s="126"/>
      <c r="AB17" s="94">
        <f>SUBTOTAL(9,AB13:AB16)</f>
        <v>0</v>
      </c>
      <c r="AD17" s="94">
        <f>SUBTOTAL(9,AD13:AD16)</f>
        <v>0</v>
      </c>
      <c r="AE17" s="126"/>
      <c r="AF17" s="94">
        <f>SUBTOTAL(9,AF13:AF16)</f>
        <v>373000</v>
      </c>
      <c r="AG17" s="92">
        <f>SUBTOTAL(9,AG13:AG16)</f>
        <v>0</v>
      </c>
      <c r="AH17" s="92">
        <f>SUBTOTAL(9,AH13:AH16)</f>
        <v>0</v>
      </c>
      <c r="AI17" s="126"/>
      <c r="AJ17" s="94">
        <f>SUBTOTAL(9,AJ13:AJ16)</f>
        <v>373000</v>
      </c>
      <c r="AK17" s="96"/>
      <c r="AL17" s="92">
        <f>SUBTOTAL(9,AL13:AL16)</f>
        <v>0</v>
      </c>
      <c r="AM17" s="126"/>
      <c r="AN17" s="97">
        <f>SUBTOTAL(9,AN13:AN16)</f>
        <v>373000</v>
      </c>
      <c r="AO17" s="97">
        <f>SUBTOTAL(9,AO13:AO16)</f>
        <v>0</v>
      </c>
      <c r="AP17" s="97">
        <f>SUBTOTAL(9,AP13:AP16)</f>
        <v>362413</v>
      </c>
      <c r="AQ17" s="126"/>
      <c r="AR17" s="94">
        <f>SUBTOTAL(9,AR13:AR16)</f>
        <v>0</v>
      </c>
      <c r="AT17" s="94">
        <f>SUBTOTAL(9,AT13:AT16)</f>
        <v>0</v>
      </c>
      <c r="AU17" s="126"/>
      <c r="AV17" s="94">
        <f>SUBTOTAL(9,AV13:AV16)</f>
        <v>362413</v>
      </c>
      <c r="AW17" s="95"/>
      <c r="AX17" s="94">
        <f>SUBTOTAL(9,AX13:AX16)</f>
        <v>0</v>
      </c>
      <c r="AY17" s="95"/>
      <c r="AZ17" s="97">
        <f>SUBTOTAL(9,AZ13:AZ16)</f>
        <v>361812</v>
      </c>
      <c r="BA17" s="94">
        <f>SUBTOTAL(9,BA13:BA16)</f>
        <v>361812</v>
      </c>
      <c r="BB17" s="94"/>
      <c r="BC17" s="94"/>
      <c r="BD17" s="98">
        <f>+AP17-AN17</f>
        <v>-10587</v>
      </c>
      <c r="BE17" s="95"/>
      <c r="BF17" s="95"/>
      <c r="BG17" s="95"/>
      <c r="BH17" s="99"/>
    </row>
    <row r="18" spans="1:61" ht="20.100000000000001" customHeight="1">
      <c r="A18" s="77"/>
      <c r="B18" s="77"/>
      <c r="C18" s="77"/>
      <c r="D18" s="90"/>
      <c r="E18" s="90"/>
      <c r="F18" s="3"/>
      <c r="G18" s="80"/>
      <c r="H18" s="87"/>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5"/>
      <c r="AL18" s="83"/>
      <c r="AM18" s="83"/>
      <c r="AN18" s="100"/>
      <c r="AO18" s="100"/>
      <c r="AP18" s="100"/>
      <c r="AQ18" s="83"/>
      <c r="AR18" s="83"/>
      <c r="AS18" s="83"/>
      <c r="AT18" s="83"/>
      <c r="AU18" s="83"/>
      <c r="AV18" s="83"/>
      <c r="AW18" s="83"/>
      <c r="AX18" s="83"/>
      <c r="AY18" s="83"/>
      <c r="AZ18" s="83"/>
      <c r="BA18" s="83"/>
      <c r="BB18" s="83"/>
      <c r="BC18" s="83"/>
      <c r="BD18" s="83"/>
      <c r="BE18" s="83"/>
      <c r="BF18" s="83"/>
      <c r="BG18" s="83"/>
      <c r="BH18" s="19"/>
    </row>
    <row r="19" spans="1:61" ht="20.100000000000001" customHeight="1" outlineLevel="1">
      <c r="A19" s="191" t="s">
        <v>842</v>
      </c>
      <c r="B19" s="77"/>
      <c r="C19" s="77"/>
      <c r="D19" s="90"/>
      <c r="E19" s="90"/>
      <c r="F19" s="3"/>
      <c r="H19" s="87"/>
      <c r="L19" s="189"/>
      <c r="M19" s="189"/>
      <c r="N19" s="189"/>
      <c r="O19" s="189"/>
      <c r="P19" s="189"/>
      <c r="Q19" s="189"/>
      <c r="R19" s="189"/>
      <c r="S19" s="189"/>
      <c r="T19" s="189"/>
      <c r="U19" s="189"/>
      <c r="V19" s="189"/>
      <c r="W19" s="189"/>
      <c r="X19" s="189"/>
      <c r="Y19" s="189"/>
      <c r="Z19" s="189"/>
      <c r="AA19" s="189"/>
      <c r="AB19" s="189"/>
      <c r="AD19" s="189"/>
      <c r="AE19" s="189"/>
      <c r="AF19" s="189"/>
      <c r="AG19" s="189"/>
      <c r="AH19" s="189"/>
      <c r="AI19" s="189"/>
      <c r="AJ19" s="189"/>
      <c r="AK19" s="85"/>
      <c r="AL19" s="189"/>
      <c r="AM19" s="189"/>
      <c r="AN19" s="192"/>
      <c r="AO19" s="192"/>
      <c r="AP19" s="192"/>
      <c r="AQ19" s="189"/>
      <c r="AR19" s="189"/>
      <c r="AT19" s="189"/>
      <c r="AU19" s="189"/>
      <c r="AV19" s="189"/>
      <c r="AW19" s="189"/>
      <c r="AX19" s="189"/>
      <c r="AY19" s="189"/>
      <c r="AZ19" s="189"/>
      <c r="BA19" s="189"/>
      <c r="BB19" s="189"/>
      <c r="BC19" s="189"/>
      <c r="BD19" s="189"/>
      <c r="BE19" s="189"/>
      <c r="BF19" s="189"/>
      <c r="BG19" s="189"/>
    </row>
    <row r="20" spans="1:61" ht="20.100000000000001" customHeight="1" outlineLevel="1">
      <c r="A20" s="215" t="s">
        <v>43</v>
      </c>
      <c r="B20" s="77" t="s">
        <v>841</v>
      </c>
      <c r="C20" s="77" t="s">
        <v>1029</v>
      </c>
      <c r="D20" s="78" t="s">
        <v>46</v>
      </c>
      <c r="E20" s="78" t="str">
        <f>+D20</f>
        <v>000</v>
      </c>
      <c r="F20" s="3">
        <v>693211</v>
      </c>
      <c r="G20" s="150" t="s">
        <v>1114</v>
      </c>
      <c r="H20" s="87"/>
      <c r="I20" s="189">
        <v>363893</v>
      </c>
      <c r="J20" s="189">
        <v>114411</v>
      </c>
      <c r="L20" s="189">
        <v>3035989</v>
      </c>
      <c r="M20" s="189"/>
      <c r="N20" s="189">
        <v>225000</v>
      </c>
      <c r="O20" s="189"/>
      <c r="P20" s="189">
        <v>225000</v>
      </c>
      <c r="Q20" s="189"/>
      <c r="R20" s="83">
        <v>225000</v>
      </c>
      <c r="S20" s="189"/>
      <c r="T20" s="189">
        <v>0</v>
      </c>
      <c r="U20" s="189"/>
      <c r="V20" s="175">
        <v>225000</v>
      </c>
      <c r="W20" s="193"/>
      <c r="X20" s="189">
        <v>4073707</v>
      </c>
      <c r="Y20" s="193"/>
      <c r="Z20" s="86">
        <v>300000</v>
      </c>
      <c r="AA20" s="193"/>
      <c r="AB20" s="84"/>
      <c r="AD20" s="84"/>
      <c r="AE20" s="193"/>
      <c r="AF20" s="86">
        <f>SUM(Z20:AE20)</f>
        <v>300000</v>
      </c>
      <c r="AG20" s="86">
        <v>0</v>
      </c>
      <c r="AH20" s="86">
        <v>0</v>
      </c>
      <c r="AI20" s="193"/>
      <c r="AJ20" s="86">
        <f>SUM(AE20:AI20)</f>
        <v>300000</v>
      </c>
      <c r="AK20" s="85"/>
      <c r="AL20" s="86">
        <v>0</v>
      </c>
      <c r="AM20" s="193"/>
      <c r="AN20" s="86">
        <v>569284.42000000004</v>
      </c>
      <c r="AO20" s="86">
        <v>0</v>
      </c>
      <c r="AP20" s="86">
        <v>855653.83</v>
      </c>
      <c r="AQ20" s="193"/>
      <c r="AR20" s="84">
        <v>0</v>
      </c>
      <c r="AT20" s="84">
        <v>0</v>
      </c>
      <c r="AU20" s="193"/>
      <c r="AV20" s="86">
        <f>SUM(AP20:AU20)</f>
        <v>855653.83</v>
      </c>
      <c r="AW20" s="86"/>
      <c r="AX20" s="86">
        <v>0</v>
      </c>
      <c r="AY20" s="86"/>
      <c r="AZ20" s="86">
        <v>600000</v>
      </c>
      <c r="BA20" s="86">
        <v>600000</v>
      </c>
      <c r="BB20" s="214"/>
      <c r="BC20" s="86"/>
      <c r="BD20" s="84">
        <f>+AP20-AN20</f>
        <v>286369.40999999992</v>
      </c>
      <c r="BE20" s="86"/>
      <c r="BF20" s="86"/>
      <c r="BG20" s="86"/>
      <c r="BH20" s="72"/>
    </row>
    <row r="21" spans="1:61" ht="20.100000000000001" customHeight="1" outlineLevel="1">
      <c r="B21" s="194"/>
      <c r="C21" s="194"/>
      <c r="D21" s="195"/>
      <c r="E21" s="195"/>
      <c r="F21" s="196"/>
      <c r="G21" s="150" t="s">
        <v>1115</v>
      </c>
      <c r="H21" s="87"/>
      <c r="I21" s="197">
        <v>0</v>
      </c>
      <c r="J21" s="197">
        <v>0</v>
      </c>
      <c r="K21" s="198"/>
      <c r="L21" s="199">
        <v>61731</v>
      </c>
      <c r="M21" s="199"/>
      <c r="N21" s="199">
        <v>250000</v>
      </c>
      <c r="O21" s="199"/>
      <c r="P21" s="200">
        <v>250000</v>
      </c>
      <c r="Q21" s="199"/>
      <c r="R21" s="201">
        <v>443000</v>
      </c>
      <c r="S21" s="200"/>
      <c r="T21" s="201">
        <v>0</v>
      </c>
      <c r="U21" s="199"/>
      <c r="V21" s="200">
        <v>443000</v>
      </c>
      <c r="W21" s="199"/>
      <c r="X21" s="199">
        <v>0</v>
      </c>
      <c r="Y21" s="199"/>
      <c r="Z21" s="200">
        <v>2400000</v>
      </c>
      <c r="AA21" s="199"/>
      <c r="AB21" s="200"/>
      <c r="AD21" s="200"/>
      <c r="AE21" s="199"/>
      <c r="AF21" s="200">
        <f>SUM(Z21:AE21)</f>
        <v>2400000</v>
      </c>
      <c r="AG21" s="200">
        <v>0</v>
      </c>
      <c r="AH21" s="200">
        <v>0</v>
      </c>
      <c r="AI21" s="199"/>
      <c r="AJ21" s="200">
        <f>SUM(AE21:AI21)</f>
        <v>2400000</v>
      </c>
      <c r="AK21" s="85"/>
      <c r="AL21" s="200">
        <v>0</v>
      </c>
      <c r="AM21" s="199"/>
      <c r="AN21" s="202">
        <v>0</v>
      </c>
      <c r="AO21" s="202">
        <v>0</v>
      </c>
      <c r="AP21" s="202">
        <v>246765.52</v>
      </c>
      <c r="AQ21" s="199"/>
      <c r="AR21" s="200">
        <v>0</v>
      </c>
      <c r="AT21" s="200">
        <v>0</v>
      </c>
      <c r="AU21" s="199"/>
      <c r="AV21" s="200">
        <f>SUM(AP21:AU21)</f>
        <v>246765.52</v>
      </c>
      <c r="AW21" s="200"/>
      <c r="AX21" s="200">
        <v>0</v>
      </c>
      <c r="AY21" s="200"/>
      <c r="AZ21" s="200">
        <v>0</v>
      </c>
      <c r="BA21" s="200">
        <v>250000</v>
      </c>
      <c r="BB21" s="200"/>
      <c r="BC21" s="200"/>
      <c r="BD21" s="84">
        <f>+AP21-AN21</f>
        <v>246765.52</v>
      </c>
      <c r="BE21" s="200"/>
      <c r="BF21" s="200"/>
      <c r="BG21" s="200"/>
      <c r="BH21" s="203"/>
    </row>
    <row r="22" spans="1:61" ht="20.100000000000001" customHeight="1">
      <c r="B22" s="194"/>
      <c r="C22" s="194"/>
      <c r="D22" s="195"/>
      <c r="E22" s="195"/>
      <c r="F22" s="196"/>
      <c r="G22" s="110" t="s">
        <v>1030</v>
      </c>
      <c r="H22" s="87"/>
      <c r="I22" s="92">
        <f t="shared" ref="I22:AB22" si="0">SUBTOTAL(9,I20:I21)</f>
        <v>363893</v>
      </c>
      <c r="J22" s="92">
        <f t="shared" si="0"/>
        <v>114411</v>
      </c>
      <c r="K22" s="92">
        <f t="shared" si="0"/>
        <v>0</v>
      </c>
      <c r="L22" s="92">
        <f t="shared" si="0"/>
        <v>3097720</v>
      </c>
      <c r="M22" s="92">
        <f t="shared" si="0"/>
        <v>0</v>
      </c>
      <c r="N22" s="92">
        <f t="shared" si="0"/>
        <v>475000</v>
      </c>
      <c r="O22" s="92">
        <f t="shared" si="0"/>
        <v>0</v>
      </c>
      <c r="P22" s="92">
        <f t="shared" si="0"/>
        <v>475000</v>
      </c>
      <c r="Q22" s="92">
        <f t="shared" si="0"/>
        <v>0</v>
      </c>
      <c r="R22" s="92">
        <f t="shared" si="0"/>
        <v>668000</v>
      </c>
      <c r="S22" s="92">
        <f t="shared" si="0"/>
        <v>0</v>
      </c>
      <c r="T22" s="92">
        <f t="shared" si="0"/>
        <v>0</v>
      </c>
      <c r="U22" s="92">
        <f t="shared" si="0"/>
        <v>0</v>
      </c>
      <c r="V22" s="92">
        <f t="shared" si="0"/>
        <v>668000</v>
      </c>
      <c r="W22" s="92">
        <f t="shared" si="0"/>
        <v>0</v>
      </c>
      <c r="X22" s="204">
        <f t="shared" si="0"/>
        <v>4073707</v>
      </c>
      <c r="Y22" s="92">
        <f t="shared" si="0"/>
        <v>0</v>
      </c>
      <c r="Z22" s="92">
        <f t="shared" si="0"/>
        <v>2700000</v>
      </c>
      <c r="AA22" s="92">
        <f t="shared" si="0"/>
        <v>0</v>
      </c>
      <c r="AB22" s="92">
        <f t="shared" si="0"/>
        <v>0</v>
      </c>
      <c r="AD22" s="92">
        <f>SUBTOTAL(9,AD20:AD21)</f>
        <v>0</v>
      </c>
      <c r="AE22" s="92">
        <f>SUBTOTAL(9,AE20:AE21)</f>
        <v>0</v>
      </c>
      <c r="AF22" s="92">
        <f>SUBTOTAL(9,AF20:AF21)</f>
        <v>2700000</v>
      </c>
      <c r="AG22" s="92">
        <f>SUBTOTAL(9,AG20:AG21)</f>
        <v>0</v>
      </c>
      <c r="AH22" s="92">
        <f>SUBTOTAL(9,AH20:AH21)</f>
        <v>0</v>
      </c>
      <c r="AI22" s="92"/>
      <c r="AJ22" s="92">
        <f>SUBTOTAL(9,AJ20:AJ21)</f>
        <v>2700000</v>
      </c>
      <c r="AK22" s="96"/>
      <c r="AL22" s="92">
        <f>SUBTOTAL(9,AL20:AL21)</f>
        <v>0</v>
      </c>
      <c r="AM22" s="92"/>
      <c r="AN22" s="205">
        <f>SUBTOTAL(9,AN20:AN21)</f>
        <v>569284.42000000004</v>
      </c>
      <c r="AO22" s="205">
        <f>SUBTOTAL(9,AO20:AO21)</f>
        <v>0</v>
      </c>
      <c r="AP22" s="205">
        <f>SUBTOTAL(9,AP20:AP21)</f>
        <v>1102419.3499999999</v>
      </c>
      <c r="AQ22" s="92"/>
      <c r="AR22" s="92">
        <f>SUBTOTAL(9,AR20:AR21)</f>
        <v>0</v>
      </c>
      <c r="AT22" s="92">
        <f>SUBTOTAL(9,AT20:AT21)</f>
        <v>0</v>
      </c>
      <c r="AU22" s="92">
        <f>SUBTOTAL(9,AU20:AU21)</f>
        <v>0</v>
      </c>
      <c r="AV22" s="92">
        <f>SUBTOTAL(9,AV20:AV21)</f>
        <v>1102419.3499999999</v>
      </c>
      <c r="AW22" s="206"/>
      <c r="AX22" s="92">
        <f>SUBTOTAL(9,AX20:AX21)</f>
        <v>0</v>
      </c>
      <c r="AY22" s="206"/>
      <c r="AZ22" s="205">
        <f>SUBTOTAL(9,AZ20:AZ21)</f>
        <v>600000</v>
      </c>
      <c r="BA22" s="92">
        <f>SUBTOTAL(9,BA20:BA21)</f>
        <v>850000</v>
      </c>
      <c r="BB22" s="92"/>
      <c r="BC22" s="92"/>
      <c r="BD22" s="98">
        <f>+AP22-AN22</f>
        <v>533134.92999999982</v>
      </c>
      <c r="BE22" s="206"/>
      <c r="BF22" s="206"/>
      <c r="BG22" s="206"/>
      <c r="BH22" s="99"/>
    </row>
    <row r="23" spans="1:61" ht="20.100000000000001" customHeight="1">
      <c r="A23" s="77"/>
      <c r="B23" s="77"/>
      <c r="C23" s="77"/>
      <c r="D23" s="90"/>
      <c r="E23" s="90"/>
      <c r="F23" s="3"/>
      <c r="G23" s="80"/>
      <c r="H23" s="87"/>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5"/>
      <c r="AL23" s="83"/>
      <c r="AM23" s="83"/>
      <c r="AN23" s="100"/>
      <c r="AO23" s="100"/>
      <c r="AP23" s="100"/>
      <c r="AQ23" s="83"/>
      <c r="AR23" s="83"/>
      <c r="AS23" s="83"/>
      <c r="AT23" s="83"/>
      <c r="AU23" s="83"/>
      <c r="AV23" s="83"/>
      <c r="AW23" s="83"/>
      <c r="AX23" s="83"/>
      <c r="AY23" s="83"/>
      <c r="AZ23" s="83"/>
      <c r="BA23" s="83"/>
      <c r="BB23" s="83"/>
      <c r="BC23" s="83"/>
      <c r="BD23" s="83"/>
      <c r="BE23" s="83"/>
      <c r="BF23" s="83"/>
      <c r="BG23" s="83"/>
      <c r="BH23" s="19"/>
    </row>
    <row r="24" spans="1:61">
      <c r="A24" s="74"/>
      <c r="B24" s="74"/>
      <c r="C24" s="74"/>
      <c r="D24" s="3"/>
      <c r="E24" s="3"/>
      <c r="F24" s="3"/>
      <c r="G24" s="188"/>
      <c r="I24" s="207"/>
      <c r="N24" s="208">
        <v>244078028</v>
      </c>
      <c r="AK24" s="24"/>
    </row>
    <row r="25" spans="1:61">
      <c r="A25" s="74"/>
      <c r="B25" s="74"/>
      <c r="C25" s="74"/>
      <c r="D25" s="3"/>
      <c r="E25" s="3"/>
      <c r="F25" s="3"/>
      <c r="G25" s="188"/>
      <c r="AH25" s="209" t="e">
        <f>SUM(#REF!)</f>
        <v>#REF!</v>
      </c>
      <c r="AK25" s="24"/>
      <c r="AL25" s="209" t="e">
        <f>SUM(#REF!)</f>
        <v>#REF!</v>
      </c>
    </row>
    <row r="26" spans="1:61">
      <c r="A26" s="74"/>
      <c r="B26" s="74"/>
      <c r="C26" s="74"/>
      <c r="D26" s="3"/>
      <c r="E26" s="3"/>
      <c r="F26" s="3"/>
      <c r="G26" s="188"/>
      <c r="AK26" s="210"/>
      <c r="BI26" s="211"/>
    </row>
    <row r="27" spans="1:61">
      <c r="AK27" s="212"/>
    </row>
    <row r="28" spans="1:61">
      <c r="AK28" s="212"/>
    </row>
    <row r="29" spans="1:61">
      <c r="L29" s="168"/>
      <c r="M29" s="168"/>
      <c r="N29" s="168"/>
      <c r="O29" s="168"/>
      <c r="P29" s="168"/>
      <c r="Q29" s="168"/>
      <c r="S29" s="168"/>
      <c r="T29" s="168"/>
      <c r="U29" s="168"/>
      <c r="W29" s="168"/>
      <c r="X29" s="168"/>
      <c r="Y29" s="168"/>
      <c r="AA29" s="168"/>
      <c r="AC29" s="168"/>
      <c r="AE29" s="168"/>
      <c r="AI29" s="168"/>
      <c r="AK29" s="210"/>
      <c r="AM29" s="168"/>
      <c r="AQ29" s="168"/>
      <c r="AS29" s="168"/>
      <c r="AU29" s="168"/>
    </row>
    <row r="30" spans="1:61">
      <c r="L30" s="168"/>
      <c r="M30" s="168"/>
      <c r="N30" s="168"/>
      <c r="O30" s="168"/>
      <c r="P30" s="168"/>
      <c r="Q30" s="168"/>
      <c r="S30" s="168"/>
      <c r="T30" s="168"/>
      <c r="U30" s="168"/>
      <c r="W30" s="168"/>
      <c r="X30" s="168"/>
      <c r="Y30" s="168"/>
      <c r="AA30" s="168"/>
      <c r="AC30" s="168"/>
      <c r="AE30" s="168"/>
      <c r="AI30" s="168"/>
      <c r="AK30" s="210"/>
      <c r="AM30" s="168"/>
      <c r="AQ30" s="168"/>
      <c r="AS30" s="168"/>
      <c r="AU30" s="168"/>
    </row>
    <row r="31" spans="1:61">
      <c r="AK31" s="212"/>
    </row>
    <row r="66" spans="18:63">
      <c r="R66" s="7">
        <v>420044982</v>
      </c>
      <c r="BI66" s="211"/>
      <c r="BJ66" s="7"/>
      <c r="BK66" s="7"/>
    </row>
    <row r="67" spans="18:63">
      <c r="BI67" s="211"/>
      <c r="BJ67" s="7"/>
    </row>
  </sheetData>
  <autoFilter ref="A9:BH23"/>
  <mergeCells count="8">
    <mergeCell ref="A8:E8"/>
    <mergeCell ref="AG2:AH2"/>
    <mergeCell ref="AG3:AH3"/>
    <mergeCell ref="AG4:AH4"/>
    <mergeCell ref="AB4:AD4"/>
    <mergeCell ref="A6:F6"/>
    <mergeCell ref="A7:F7"/>
    <mergeCell ref="AB5:AD5"/>
  </mergeCells>
  <phoneticPr fontId="3" type="noConversion"/>
  <conditionalFormatting sqref="F1:F1048576">
    <cfRule type="cellIs" dxfId="0" priority="1" stopIfTrue="1" operator="between">
      <formula>610000</formula>
      <formula>619999</formula>
    </cfRule>
  </conditionalFormatting>
  <pageMargins left="0.54" right="0.25" top="0.24" bottom="0.49" header="0.25" footer="0"/>
  <pageSetup scale="77" fitToHeight="0" orientation="landscape" r:id="rId1"/>
  <headerFooter alignWithMargins="0">
    <oddFooter>&amp;C&amp;8Detail of Expenditures Budget By Department, Page &amp;P of &amp;N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72</vt:i4>
      </vt:variant>
    </vt:vector>
  </HeadingPairs>
  <TitlesOfParts>
    <vt:vector size="108" baseType="lpstr">
      <vt:lpstr>Board</vt:lpstr>
      <vt:lpstr>Superintendent</vt:lpstr>
      <vt:lpstr>Internal Audit</vt:lpstr>
      <vt:lpstr>C&amp;I</vt:lpstr>
      <vt:lpstr>Elementary</vt:lpstr>
      <vt:lpstr>Elem Instructional</vt:lpstr>
      <vt:lpstr>Middle</vt:lpstr>
      <vt:lpstr>High Schools</vt:lpstr>
      <vt:lpstr>CareerTech Ed</vt:lpstr>
      <vt:lpstr>Adult Ed</vt:lpstr>
      <vt:lpstr>SpecialEd</vt:lpstr>
      <vt:lpstr>GiftedTalented</vt:lpstr>
      <vt:lpstr>Pupil Appraisal</vt:lpstr>
      <vt:lpstr>SpeechLang Therapy</vt:lpstr>
      <vt:lpstr>Child Welfare</vt:lpstr>
      <vt:lpstr>Nursing</vt:lpstr>
      <vt:lpstr>Testing</vt:lpstr>
      <vt:lpstr>LibraryMedia</vt:lpstr>
      <vt:lpstr>Print Shop</vt:lpstr>
      <vt:lpstr>Personnel</vt:lpstr>
      <vt:lpstr>Finance</vt:lpstr>
      <vt:lpstr>AccountingPurchasing</vt:lpstr>
      <vt:lpstr>Accounts Payable</vt:lpstr>
      <vt:lpstr>Payroll</vt:lpstr>
      <vt:lpstr>Insurance</vt:lpstr>
      <vt:lpstr>MIS</vt:lpstr>
      <vt:lpstr>Technology</vt:lpstr>
      <vt:lpstr>Sales Tax</vt:lpstr>
      <vt:lpstr>Warehouse</vt:lpstr>
      <vt:lpstr>Transportation</vt:lpstr>
      <vt:lpstr>Maintenance</vt:lpstr>
      <vt:lpstr>Planning and Construction</vt:lpstr>
      <vt:lpstr>Utilities</vt:lpstr>
      <vt:lpstr>Employee Bene</vt:lpstr>
      <vt:lpstr>Other Misc Grants</vt:lpstr>
      <vt:lpstr>Food Svc-D27 Debt-Transfers</vt:lpstr>
      <vt:lpstr>AccountingPurchasing!Print_Area</vt:lpstr>
      <vt:lpstr>'Accounts Payable'!Print_Area</vt:lpstr>
      <vt:lpstr>'Adult Ed'!Print_Area</vt:lpstr>
      <vt:lpstr>Board!Print_Area</vt:lpstr>
      <vt:lpstr>'C&amp;I'!Print_Area</vt:lpstr>
      <vt:lpstr>'CareerTech Ed'!Print_Area</vt:lpstr>
      <vt:lpstr>'Child Welfare'!Print_Area</vt:lpstr>
      <vt:lpstr>'Elem Instructional'!Print_Area</vt:lpstr>
      <vt:lpstr>Elementary!Print_Area</vt:lpstr>
      <vt:lpstr>'Employee Bene'!Print_Area</vt:lpstr>
      <vt:lpstr>Finance!Print_Area</vt:lpstr>
      <vt:lpstr>'Food Svc-D27 Debt-Transfers'!Print_Area</vt:lpstr>
      <vt:lpstr>GiftedTalented!Print_Area</vt:lpstr>
      <vt:lpstr>'High Schools'!Print_Area</vt:lpstr>
      <vt:lpstr>Insurance!Print_Area</vt:lpstr>
      <vt:lpstr>'Internal Audit'!Print_Area</vt:lpstr>
      <vt:lpstr>LibraryMedia!Print_Area</vt:lpstr>
      <vt:lpstr>Maintenance!Print_Area</vt:lpstr>
      <vt:lpstr>Middle!Print_Area</vt:lpstr>
      <vt:lpstr>MIS!Print_Area</vt:lpstr>
      <vt:lpstr>Nursing!Print_Area</vt:lpstr>
      <vt:lpstr>'Other Misc Grants'!Print_Area</vt:lpstr>
      <vt:lpstr>Payroll!Print_Area</vt:lpstr>
      <vt:lpstr>Personnel!Print_Area</vt:lpstr>
      <vt:lpstr>'Planning and Construction'!Print_Area</vt:lpstr>
      <vt:lpstr>'Print Shop'!Print_Area</vt:lpstr>
      <vt:lpstr>'Pupil Appraisal'!Print_Area</vt:lpstr>
      <vt:lpstr>'Sales Tax'!Print_Area</vt:lpstr>
      <vt:lpstr>SpecialEd!Print_Area</vt:lpstr>
      <vt:lpstr>'SpeechLang Therapy'!Print_Area</vt:lpstr>
      <vt:lpstr>Superintendent!Print_Area</vt:lpstr>
      <vt:lpstr>Technology!Print_Area</vt:lpstr>
      <vt:lpstr>Testing!Print_Area</vt:lpstr>
      <vt:lpstr>Transportation!Print_Area</vt:lpstr>
      <vt:lpstr>Utilities!Print_Area</vt:lpstr>
      <vt:lpstr>Warehouse!Print_Area</vt:lpstr>
      <vt:lpstr>AccountingPurchasing!Print_Titles</vt:lpstr>
      <vt:lpstr>'Accounts Payable'!Print_Titles</vt:lpstr>
      <vt:lpstr>'Adult Ed'!Print_Titles</vt:lpstr>
      <vt:lpstr>Board!Print_Titles</vt:lpstr>
      <vt:lpstr>'C&amp;I'!Print_Titles</vt:lpstr>
      <vt:lpstr>'CareerTech Ed'!Print_Titles</vt:lpstr>
      <vt:lpstr>'Child Welfare'!Print_Titles</vt:lpstr>
      <vt:lpstr>'Elem Instructional'!Print_Titles</vt:lpstr>
      <vt:lpstr>Elementary!Print_Titles</vt:lpstr>
      <vt:lpstr>'Employee Bene'!Print_Titles</vt:lpstr>
      <vt:lpstr>Finance!Print_Titles</vt:lpstr>
      <vt:lpstr>'Food Svc-D27 Debt-Transfers'!Print_Titles</vt:lpstr>
      <vt:lpstr>GiftedTalented!Print_Titles</vt:lpstr>
      <vt:lpstr>'High Schools'!Print_Titles</vt:lpstr>
      <vt:lpstr>Insurance!Print_Titles</vt:lpstr>
      <vt:lpstr>'Internal Audit'!Print_Titles</vt:lpstr>
      <vt:lpstr>LibraryMedia!Print_Titles</vt:lpstr>
      <vt:lpstr>Maintenance!Print_Titles</vt:lpstr>
      <vt:lpstr>Middle!Print_Titles</vt:lpstr>
      <vt:lpstr>MIS!Print_Titles</vt:lpstr>
      <vt:lpstr>Nursing!Print_Titles</vt:lpstr>
      <vt:lpstr>'Other Misc Grants'!Print_Titles</vt:lpstr>
      <vt:lpstr>Payroll!Print_Titles</vt:lpstr>
      <vt:lpstr>Personnel!Print_Titles</vt:lpstr>
      <vt:lpstr>'Planning and Construction'!Print_Titles</vt:lpstr>
      <vt:lpstr>'Print Shop'!Print_Titles</vt:lpstr>
      <vt:lpstr>'Pupil Appraisal'!Print_Titles</vt:lpstr>
      <vt:lpstr>'Sales Tax'!Print_Titles</vt:lpstr>
      <vt:lpstr>SpecialEd!Print_Titles</vt:lpstr>
      <vt:lpstr>'SpeechLang Therapy'!Print_Titles</vt:lpstr>
      <vt:lpstr>Superintendent!Print_Titles</vt:lpstr>
      <vt:lpstr>Technology!Print_Titles</vt:lpstr>
      <vt:lpstr>Testing!Print_Titles</vt:lpstr>
      <vt:lpstr>Transportation!Print_Titles</vt:lpstr>
      <vt:lpstr>Utilities!Print_Titles</vt:lpstr>
      <vt:lpstr>Warehouse!Print_Titles</vt:lpstr>
    </vt:vector>
  </TitlesOfParts>
  <Company>CPSB</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CPSB</dc:creator>
  <cp:lastModifiedBy>User</cp:lastModifiedBy>
  <cp:lastPrinted>2011-03-14T16:44:17Z</cp:lastPrinted>
  <dcterms:created xsi:type="dcterms:W3CDTF">2010-02-17T21:44:41Z</dcterms:created>
  <dcterms:modified xsi:type="dcterms:W3CDTF">2011-03-14T19:09:45Z</dcterms:modified>
</cp:coreProperties>
</file>