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warde\Desktop\"/>
    </mc:Choice>
  </mc:AlternateContent>
  <xr:revisionPtr revIDLastSave="0" documentId="8_{B5C5DE70-C35E-4C09-A8DE-B18E85C0B06B}" xr6:coauthVersionLast="47" xr6:coauthVersionMax="47" xr10:uidLastSave="{00000000-0000-0000-0000-000000000000}"/>
  <bookViews>
    <workbookView xWindow="-60" yWindow="-60" windowWidth="19320" windowHeight="10200" activeTab="1" xr2:uid="{A25EA8E2-C17A-4C56-AE43-E71CBEDD4C6F}"/>
  </bookViews>
  <sheets>
    <sheet name="Sheet1" sheetId="1" r:id="rId1"/>
    <sheet name="Bond Tax Impact" sheetId="5" r:id="rId2"/>
    <sheet name="MMBB Summary" sheetId="4" r:id="rId3"/>
    <sheet name="10-Yr Prelim" sheetId="2" r:id="rId4"/>
    <sheet name="20-Yr Prelim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82" i="5" l="1"/>
  <c r="L82" i="5"/>
  <c r="K82" i="5"/>
  <c r="J82" i="5"/>
  <c r="I82" i="5"/>
  <c r="M81" i="5"/>
  <c r="L81" i="5"/>
  <c r="K81" i="5"/>
  <c r="J81" i="5"/>
  <c r="I81" i="5"/>
  <c r="M80" i="5"/>
  <c r="L80" i="5"/>
  <c r="K80" i="5"/>
  <c r="J80" i="5"/>
  <c r="I80" i="5"/>
  <c r="M79" i="5"/>
  <c r="L79" i="5"/>
  <c r="K79" i="5"/>
  <c r="J79" i="5"/>
  <c r="I79" i="5"/>
  <c r="M78" i="5"/>
  <c r="L78" i="5"/>
  <c r="K78" i="5"/>
  <c r="J78" i="5"/>
  <c r="I78" i="5"/>
  <c r="M77" i="5"/>
  <c r="L77" i="5"/>
  <c r="K77" i="5"/>
  <c r="J77" i="5"/>
  <c r="I77" i="5"/>
  <c r="M76" i="5"/>
  <c r="L76" i="5"/>
  <c r="K76" i="5"/>
  <c r="J76" i="5"/>
  <c r="I76" i="5"/>
  <c r="G82" i="5"/>
  <c r="F82" i="5"/>
  <c r="E82" i="5"/>
  <c r="D82" i="5"/>
  <c r="C82" i="5"/>
  <c r="G81" i="5"/>
  <c r="F81" i="5"/>
  <c r="E81" i="5"/>
  <c r="D81" i="5"/>
  <c r="C81" i="5"/>
  <c r="G80" i="5"/>
  <c r="F80" i="5"/>
  <c r="E80" i="5"/>
  <c r="D80" i="5"/>
  <c r="C80" i="5"/>
  <c r="G79" i="5"/>
  <c r="F79" i="5"/>
  <c r="E79" i="5"/>
  <c r="D79" i="5"/>
  <c r="C79" i="5"/>
  <c r="G78" i="5"/>
  <c r="F78" i="5"/>
  <c r="E78" i="5"/>
  <c r="D78" i="5"/>
  <c r="C78" i="5"/>
  <c r="G77" i="5"/>
  <c r="F77" i="5"/>
  <c r="E77" i="5"/>
  <c r="D77" i="5"/>
  <c r="C77" i="5"/>
  <c r="G76" i="5"/>
  <c r="F76" i="5"/>
  <c r="E76" i="5"/>
  <c r="D76" i="5"/>
  <c r="C76" i="5"/>
  <c r="B82" i="5"/>
  <c r="B81" i="5"/>
  <c r="B80" i="5"/>
  <c r="B79" i="5"/>
  <c r="B78" i="5"/>
  <c r="B77" i="5"/>
  <c r="B76" i="5"/>
  <c r="M70" i="5"/>
  <c r="L70" i="5"/>
  <c r="K70" i="5"/>
  <c r="J70" i="5"/>
  <c r="I70" i="5"/>
  <c r="M69" i="5"/>
  <c r="L69" i="5"/>
  <c r="K69" i="5"/>
  <c r="J69" i="5"/>
  <c r="I69" i="5"/>
  <c r="M68" i="5"/>
  <c r="L68" i="5"/>
  <c r="K68" i="5"/>
  <c r="J68" i="5"/>
  <c r="I68" i="5"/>
  <c r="M67" i="5"/>
  <c r="L67" i="5"/>
  <c r="K67" i="5"/>
  <c r="J67" i="5"/>
  <c r="I67" i="5"/>
  <c r="M66" i="5"/>
  <c r="L66" i="5"/>
  <c r="K66" i="5"/>
  <c r="J66" i="5"/>
  <c r="I66" i="5"/>
  <c r="M65" i="5"/>
  <c r="L65" i="5"/>
  <c r="K65" i="5"/>
  <c r="J65" i="5"/>
  <c r="I65" i="5"/>
  <c r="M64" i="5"/>
  <c r="L64" i="5"/>
  <c r="K64" i="5"/>
  <c r="J64" i="5"/>
  <c r="I64" i="5"/>
  <c r="G70" i="5"/>
  <c r="F70" i="5"/>
  <c r="E70" i="5"/>
  <c r="D70" i="5"/>
  <c r="C70" i="5"/>
  <c r="G69" i="5"/>
  <c r="F69" i="5"/>
  <c r="E69" i="5"/>
  <c r="D69" i="5"/>
  <c r="C69" i="5"/>
  <c r="G68" i="5"/>
  <c r="F68" i="5"/>
  <c r="E68" i="5"/>
  <c r="D68" i="5"/>
  <c r="C68" i="5"/>
  <c r="G67" i="5"/>
  <c r="F67" i="5"/>
  <c r="E67" i="5"/>
  <c r="D67" i="5"/>
  <c r="C67" i="5"/>
  <c r="G66" i="5"/>
  <c r="F66" i="5"/>
  <c r="E66" i="5"/>
  <c r="D66" i="5"/>
  <c r="C66" i="5"/>
  <c r="G65" i="5"/>
  <c r="F65" i="5"/>
  <c r="E65" i="5"/>
  <c r="D65" i="5"/>
  <c r="C65" i="5"/>
  <c r="G64" i="5"/>
  <c r="F64" i="5"/>
  <c r="E64" i="5"/>
  <c r="D64" i="5"/>
  <c r="C64" i="5"/>
  <c r="B70" i="5"/>
  <c r="B69" i="5"/>
  <c r="B68" i="5"/>
  <c r="B67" i="5"/>
  <c r="B66" i="5"/>
  <c r="B65" i="5"/>
  <c r="B64" i="5"/>
  <c r="M58" i="5"/>
  <c r="L58" i="5"/>
  <c r="K58" i="5"/>
  <c r="J58" i="5"/>
  <c r="I58" i="5"/>
  <c r="M57" i="5"/>
  <c r="L57" i="5"/>
  <c r="K57" i="5"/>
  <c r="J57" i="5"/>
  <c r="I57" i="5"/>
  <c r="M56" i="5"/>
  <c r="L56" i="5"/>
  <c r="K56" i="5"/>
  <c r="J56" i="5"/>
  <c r="I56" i="5"/>
  <c r="M55" i="5"/>
  <c r="L55" i="5"/>
  <c r="K55" i="5"/>
  <c r="J55" i="5"/>
  <c r="I55" i="5"/>
  <c r="M54" i="5"/>
  <c r="L54" i="5"/>
  <c r="K54" i="5"/>
  <c r="J54" i="5"/>
  <c r="I54" i="5"/>
  <c r="M53" i="5"/>
  <c r="L53" i="5"/>
  <c r="K53" i="5"/>
  <c r="J53" i="5"/>
  <c r="I53" i="5"/>
  <c r="M52" i="5"/>
  <c r="L52" i="5"/>
  <c r="K52" i="5"/>
  <c r="J52" i="5"/>
  <c r="I52" i="5"/>
  <c r="G58" i="5"/>
  <c r="F58" i="5"/>
  <c r="E58" i="5"/>
  <c r="D58" i="5"/>
  <c r="C58" i="5"/>
  <c r="G57" i="5"/>
  <c r="F57" i="5"/>
  <c r="E57" i="5"/>
  <c r="D57" i="5"/>
  <c r="C57" i="5"/>
  <c r="G56" i="5"/>
  <c r="F56" i="5"/>
  <c r="E56" i="5"/>
  <c r="D56" i="5"/>
  <c r="C56" i="5"/>
  <c r="G55" i="5"/>
  <c r="F55" i="5"/>
  <c r="E55" i="5"/>
  <c r="D55" i="5"/>
  <c r="C55" i="5"/>
  <c r="G54" i="5"/>
  <c r="F54" i="5"/>
  <c r="E54" i="5"/>
  <c r="D54" i="5"/>
  <c r="C54" i="5"/>
  <c r="G53" i="5"/>
  <c r="F53" i="5"/>
  <c r="E53" i="5"/>
  <c r="D53" i="5"/>
  <c r="C53" i="5"/>
  <c r="G52" i="5"/>
  <c r="F52" i="5"/>
  <c r="E52" i="5"/>
  <c r="D52" i="5"/>
  <c r="C52" i="5"/>
  <c r="B58" i="5"/>
  <c r="B57" i="5"/>
  <c r="B56" i="5"/>
  <c r="B55" i="5"/>
  <c r="B54" i="5"/>
  <c r="B53" i="5"/>
  <c r="B52" i="5"/>
  <c r="M46" i="5"/>
  <c r="L46" i="5"/>
  <c r="K46" i="5"/>
  <c r="J46" i="5"/>
  <c r="I46" i="5"/>
  <c r="M45" i="5"/>
  <c r="L45" i="5"/>
  <c r="K45" i="5"/>
  <c r="J45" i="5"/>
  <c r="I45" i="5"/>
  <c r="M44" i="5"/>
  <c r="L44" i="5"/>
  <c r="K44" i="5"/>
  <c r="J44" i="5"/>
  <c r="I44" i="5"/>
  <c r="M43" i="5"/>
  <c r="L43" i="5"/>
  <c r="K43" i="5"/>
  <c r="J43" i="5"/>
  <c r="I43" i="5"/>
  <c r="M42" i="5"/>
  <c r="L42" i="5"/>
  <c r="K42" i="5"/>
  <c r="J42" i="5"/>
  <c r="I42" i="5"/>
  <c r="M41" i="5"/>
  <c r="L41" i="5"/>
  <c r="K41" i="5"/>
  <c r="J41" i="5"/>
  <c r="I41" i="5"/>
  <c r="M40" i="5"/>
  <c r="L40" i="5"/>
  <c r="K40" i="5"/>
  <c r="J40" i="5"/>
  <c r="I40" i="5"/>
  <c r="G46" i="5"/>
  <c r="F46" i="5"/>
  <c r="E46" i="5"/>
  <c r="D46" i="5"/>
  <c r="C46" i="5"/>
  <c r="G45" i="5"/>
  <c r="F45" i="5"/>
  <c r="E45" i="5"/>
  <c r="D45" i="5"/>
  <c r="C45" i="5"/>
  <c r="G44" i="5"/>
  <c r="F44" i="5"/>
  <c r="E44" i="5"/>
  <c r="D44" i="5"/>
  <c r="C44" i="5"/>
  <c r="G43" i="5"/>
  <c r="F43" i="5"/>
  <c r="E43" i="5"/>
  <c r="D43" i="5"/>
  <c r="C43" i="5"/>
  <c r="G42" i="5"/>
  <c r="F42" i="5"/>
  <c r="E42" i="5"/>
  <c r="D42" i="5"/>
  <c r="C42" i="5"/>
  <c r="G41" i="5"/>
  <c r="F41" i="5"/>
  <c r="E41" i="5"/>
  <c r="D41" i="5"/>
  <c r="C41" i="5"/>
  <c r="G40" i="5"/>
  <c r="F40" i="5"/>
  <c r="E40" i="5"/>
  <c r="D40" i="5"/>
  <c r="C40" i="5"/>
  <c r="B46" i="5"/>
  <c r="B45" i="5"/>
  <c r="B44" i="5"/>
  <c r="B43" i="5"/>
  <c r="B42" i="5"/>
  <c r="B41" i="5"/>
  <c r="B40" i="5"/>
  <c r="M75" i="5"/>
  <c r="L75" i="5"/>
  <c r="K75" i="5"/>
  <c r="J75" i="5"/>
  <c r="I75" i="5"/>
  <c r="G75" i="5"/>
  <c r="F75" i="5"/>
  <c r="E75" i="5"/>
  <c r="D75" i="5"/>
  <c r="M63" i="5"/>
  <c r="L63" i="5"/>
  <c r="K63" i="5"/>
  <c r="J63" i="5"/>
  <c r="I63" i="5"/>
  <c r="G63" i="5"/>
  <c r="F63" i="5"/>
  <c r="E63" i="5"/>
  <c r="D63" i="5"/>
  <c r="M51" i="5"/>
  <c r="L51" i="5"/>
  <c r="K51" i="5"/>
  <c r="J51" i="5"/>
  <c r="I51" i="5"/>
  <c r="G51" i="5"/>
  <c r="F51" i="5"/>
  <c r="E51" i="5"/>
  <c r="D51" i="5"/>
  <c r="M39" i="5"/>
  <c r="L39" i="5"/>
  <c r="K39" i="5"/>
  <c r="J39" i="5"/>
  <c r="G39" i="5"/>
  <c r="F39" i="5"/>
  <c r="E39" i="5"/>
  <c r="D39" i="5"/>
  <c r="C75" i="5"/>
  <c r="C63" i="5"/>
  <c r="C51" i="5"/>
  <c r="I39" i="5"/>
  <c r="C39" i="5"/>
  <c r="B75" i="5"/>
  <c r="B63" i="5"/>
  <c r="B51" i="5"/>
  <c r="B39" i="5"/>
  <c r="M34" i="5"/>
  <c r="L34" i="5"/>
  <c r="K34" i="5"/>
  <c r="J34" i="5"/>
  <c r="I34" i="5"/>
  <c r="M33" i="5"/>
  <c r="L33" i="5"/>
  <c r="K33" i="5"/>
  <c r="J33" i="5"/>
  <c r="I33" i="5"/>
  <c r="M32" i="5"/>
  <c r="L32" i="5"/>
  <c r="K32" i="5"/>
  <c r="J32" i="5"/>
  <c r="I32" i="5"/>
  <c r="M31" i="5"/>
  <c r="L31" i="5"/>
  <c r="K31" i="5"/>
  <c r="J31" i="5"/>
  <c r="I31" i="5"/>
  <c r="M30" i="5"/>
  <c r="L30" i="5"/>
  <c r="K30" i="5"/>
  <c r="J30" i="5"/>
  <c r="I30" i="5"/>
  <c r="M29" i="5"/>
  <c r="L29" i="5"/>
  <c r="K29" i="5"/>
  <c r="J29" i="5"/>
  <c r="I29" i="5"/>
  <c r="M28" i="5"/>
  <c r="L28" i="5"/>
  <c r="K28" i="5"/>
  <c r="J28" i="5"/>
  <c r="I28" i="5"/>
  <c r="G34" i="5"/>
  <c r="F34" i="5"/>
  <c r="E34" i="5"/>
  <c r="D34" i="5"/>
  <c r="C34" i="5"/>
  <c r="G33" i="5"/>
  <c r="F33" i="5"/>
  <c r="E33" i="5"/>
  <c r="D33" i="5"/>
  <c r="C33" i="5"/>
  <c r="G32" i="5"/>
  <c r="F32" i="5"/>
  <c r="E32" i="5"/>
  <c r="D32" i="5"/>
  <c r="C32" i="5"/>
  <c r="G31" i="5"/>
  <c r="F31" i="5"/>
  <c r="E31" i="5"/>
  <c r="D31" i="5"/>
  <c r="C31" i="5"/>
  <c r="G30" i="5"/>
  <c r="F30" i="5"/>
  <c r="E30" i="5"/>
  <c r="D30" i="5"/>
  <c r="C30" i="5"/>
  <c r="G29" i="5"/>
  <c r="F29" i="5"/>
  <c r="E29" i="5"/>
  <c r="D29" i="5"/>
  <c r="C29" i="5"/>
  <c r="G28" i="5"/>
  <c r="F28" i="5"/>
  <c r="E28" i="5"/>
  <c r="D28" i="5"/>
  <c r="C28" i="5"/>
  <c r="I27" i="5"/>
  <c r="J27" i="5"/>
  <c r="K27" i="5"/>
  <c r="L27" i="5"/>
  <c r="M27" i="5"/>
  <c r="C27" i="5"/>
  <c r="D27" i="5"/>
  <c r="E27" i="5"/>
  <c r="F27" i="5"/>
  <c r="G27" i="5"/>
  <c r="C22" i="5"/>
  <c r="D22" i="5"/>
  <c r="C21" i="5"/>
  <c r="D21" i="5"/>
  <c r="C20" i="5"/>
  <c r="D20" i="5"/>
  <c r="C19" i="5"/>
  <c r="D19" i="5"/>
  <c r="C18" i="5"/>
  <c r="D18" i="5"/>
  <c r="C17" i="5"/>
  <c r="D17" i="5"/>
  <c r="C16" i="5"/>
  <c r="D16" i="5"/>
  <c r="C15" i="5"/>
  <c r="D15" i="5"/>
  <c r="C14" i="5"/>
  <c r="D14" i="5"/>
  <c r="G7" i="5"/>
  <c r="C11" i="5"/>
  <c r="D11" i="5"/>
  <c r="E11" i="5"/>
  <c r="F11" i="5"/>
  <c r="G11" i="5"/>
  <c r="C10" i="5"/>
  <c r="D10" i="5"/>
  <c r="E10" i="5"/>
  <c r="F10" i="5"/>
  <c r="G10" i="5"/>
  <c r="C9" i="5"/>
  <c r="D9" i="5"/>
  <c r="E9" i="5"/>
  <c r="F9" i="5"/>
  <c r="G9" i="5"/>
  <c r="C8" i="5"/>
  <c r="D8" i="5"/>
  <c r="E8" i="5"/>
  <c r="F8" i="5"/>
  <c r="G8" i="5"/>
  <c r="C7" i="5"/>
  <c r="D7" i="5"/>
  <c r="E7" i="5"/>
  <c r="F7" i="5"/>
  <c r="C6" i="5"/>
  <c r="D6" i="5"/>
  <c r="E6" i="5"/>
  <c r="F6" i="5"/>
  <c r="G6" i="5"/>
  <c r="C38" i="4"/>
  <c r="D38" i="4"/>
  <c r="E38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8" i="4"/>
  <c r="E11" i="4"/>
  <c r="E12" i="4"/>
  <c r="E13" i="4"/>
  <c r="E14" i="4"/>
  <c r="E15" i="4"/>
  <c r="C127" i="3"/>
  <c r="E127" i="3"/>
  <c r="F12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C84" i="3"/>
  <c r="E84" i="3"/>
  <c r="F84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C60" i="3"/>
  <c r="C10" i="3"/>
  <c r="C12" i="3"/>
  <c r="C87" i="2"/>
  <c r="E87" i="2"/>
  <c r="F8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C64" i="2"/>
  <c r="E64" i="2"/>
  <c r="F64" i="2"/>
  <c r="F54" i="2"/>
  <c r="F55" i="2"/>
  <c r="F56" i="2"/>
  <c r="F57" i="2"/>
  <c r="F58" i="2"/>
  <c r="F59" i="2"/>
  <c r="F60" i="2"/>
  <c r="F61" i="2"/>
  <c r="F62" i="2"/>
  <c r="F63" i="2"/>
  <c r="C50" i="2"/>
  <c r="C10" i="2"/>
  <c r="C12" i="2"/>
  <c r="D22" i="1"/>
  <c r="E22" i="1"/>
  <c r="F22" i="1"/>
  <c r="G22" i="1"/>
  <c r="C22" i="1"/>
  <c r="D20" i="1"/>
  <c r="E20" i="1"/>
  <c r="F20" i="1"/>
  <c r="G20" i="1"/>
  <c r="C20" i="1"/>
  <c r="D19" i="1"/>
  <c r="E19" i="1"/>
  <c r="F19" i="1"/>
  <c r="G19" i="1"/>
  <c r="C19" i="1"/>
  <c r="D13" i="1"/>
  <c r="E13" i="1"/>
  <c r="F13" i="1"/>
  <c r="G13" i="1"/>
  <c r="C13" i="1"/>
  <c r="C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Evan Howard</author>
  </authors>
  <commentList>
    <comment ref="B7" authorId="0" shapeId="0" xr:uid="{441C0C7A-FD2D-443C-994E-11127974C48A}">
      <text>
        <r>
          <rPr>
            <b/>
            <sz val="9"/>
            <color indexed="81"/>
            <rFont val="Tahoma"/>
            <family val="2"/>
          </rPr>
          <t>Evan Howard:</t>
        </r>
        <r>
          <rPr>
            <sz val="9"/>
            <color indexed="81"/>
            <rFont val="Tahoma"/>
            <family val="2"/>
          </rPr>
          <t xml:space="preserve">
Source: MMBB - MSAD 75 Spring 2028 Issue (9.25.2026).pdf, uploaded 2026-10-21. Uploaded file. FY rows are rounded to whole dollars as printed in the PDF, so column totals may differ from the PDF by a few dollars.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Evan Howard</author>
  </authors>
  <commentList>
    <comment ref="B2" authorId="0" shapeId="0" xr:uid="{B571FAAB-FFAB-49B6-BB91-18BFC9708431}">
      <text>
        <r>
          <rPr>
            <b/>
            <sz val="9"/>
            <color indexed="81"/>
            <rFont val="Tahoma"/>
            <family val="2"/>
          </rPr>
          <t>Evan Howard:</t>
        </r>
        <r>
          <rPr>
            <sz val="9"/>
            <color indexed="81"/>
            <rFont val="Tahoma"/>
            <family val="2"/>
          </rPr>
          <t xml:space="preserve">
Source: MMBB - MSAD 75 $135,000,000 10-Yr Maturity - Preliminary Numbers (9.25.2026).pdf, uploaded 2026-10-21. Uploaded file. Debt Service columns are calculated as Principal + Interest.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Evan Howard</author>
  </authors>
  <commentList>
    <comment ref="B2" authorId="0" shapeId="0" xr:uid="{16FE6026-C642-4616-BCD3-7C385F3B11EF}">
      <text>
        <r>
          <rPr>
            <b/>
            <sz val="9"/>
            <color indexed="81"/>
            <rFont val="Tahoma"/>
            <family val="2"/>
          </rPr>
          <t>Evan Howard:</t>
        </r>
        <r>
          <rPr>
            <sz val="9"/>
            <color indexed="81"/>
            <rFont val="Tahoma"/>
            <family val="2"/>
          </rPr>
          <t xml:space="preserve">
Source: MMBB - MSAD 75 $135,000,000 20-Yr Maturity - Preliminary Numbers (9.25.2026).pdf, uploaded 2026-10-21. Uploaded file. Debt Service columns are calculated as Principal + Interest.</t>
        </r>
      </text>
    </comment>
  </commentList>
</comments>
</file>

<file path=xl/sharedStrings.xml><?xml version="1.0" encoding="utf-8"?>
<sst xmlns="http://schemas.openxmlformats.org/spreadsheetml/2006/main" count="280" uniqueCount="129">
  <si>
    <t>FY 2027</t>
  </si>
  <si>
    <t>Bowdoin</t>
  </si>
  <si>
    <t>Bowdoinham</t>
  </si>
  <si>
    <t>Harpswell</t>
  </si>
  <si>
    <t>Topsham</t>
  </si>
  <si>
    <t>Overall</t>
  </si>
  <si>
    <t>2027 Total Local Contribution</t>
  </si>
  <si>
    <t>2026 Total Local Contribution</t>
  </si>
  <si>
    <t>Local Contribution Increase</t>
  </si>
  <si>
    <t>% Local Contribution Increase</t>
  </si>
  <si>
    <t>FY2026</t>
  </si>
  <si>
    <t>Total Local Contribution</t>
  </si>
  <si>
    <t>Calculating the Tax Impact on an Average Home:</t>
  </si>
  <si>
    <t>Local Valuation of Town Property*</t>
  </si>
  <si>
    <t>Increased Assessment to Towns</t>
  </si>
  <si>
    <t>Increase to mill rate per $1000 of Valuation</t>
  </si>
  <si>
    <t>Local Assessment of a typical home by community</t>
  </si>
  <si>
    <t>Avg Annual Tax Increase for typical home</t>
  </si>
  <si>
    <t>*Based on January 2026 Numbers for local valuation and typical home value</t>
  </si>
  <si>
    <t>Maine Municipal Bond Bank — $135,000,000 for 10-years (Spring 2028 Issue)</t>
  </si>
  <si>
    <t>MSAD 75 — **Preliminary, Subject to Change**</t>
  </si>
  <si>
    <t>Prepared by Hilltop Securities, Sep 25, 2026</t>
  </si>
  <si>
    <t>SOURCES AND USES OF FUNDS</t>
  </si>
  <si>
    <t>Dated Date</t>
  </si>
  <si>
    <t>Delivery Date</t>
  </si>
  <si>
    <t>Sources — Bond Proceeds: Par Amount</t>
  </si>
  <si>
    <t>Total Sources</t>
  </si>
  <si>
    <t>Uses — Project Fund Deposits: Project Fund</t>
  </si>
  <si>
    <t>Total Uses</t>
  </si>
  <si>
    <t>BOND SUMMARY STATISTICS</t>
  </si>
  <si>
    <t>First Coupon</t>
  </si>
  <si>
    <t>Last Maturity</t>
  </si>
  <si>
    <t>Arbitrage Yield</t>
  </si>
  <si>
    <t>True Interest Cost (TIC)</t>
  </si>
  <si>
    <t>Net Interest Cost (NIC)</t>
  </si>
  <si>
    <t>All-In TIC</t>
  </si>
  <si>
    <t>Average Coupon</t>
  </si>
  <si>
    <t>Average Life (years)</t>
  </si>
  <si>
    <t>Weighted Average Maturity (years)</t>
  </si>
  <si>
    <t>Duration of Issue (years)</t>
  </si>
  <si>
    <t>Par Amount</t>
  </si>
  <si>
    <t>Bond Proceeds</t>
  </si>
  <si>
    <t>Total Interest</t>
  </si>
  <si>
    <t>Net Interest</t>
  </si>
  <si>
    <t>Bond Years from Dated Date</t>
  </si>
  <si>
    <t>Bond Years from Delivery Date</t>
  </si>
  <si>
    <t>Total Debt Service</t>
  </si>
  <si>
    <t>Maximum Annual Debt Service</t>
  </si>
  <si>
    <t>Average Annual Debt Service</t>
  </si>
  <si>
    <t>Bid Price</t>
  </si>
  <si>
    <t>BOND PRICING — Serial Bonds</t>
  </si>
  <si>
    <t>Maturity Date</t>
  </si>
  <si>
    <t>Amount</t>
  </si>
  <si>
    <t>Rate</t>
  </si>
  <si>
    <t>Yield</t>
  </si>
  <si>
    <t>Price</t>
  </si>
  <si>
    <t>Total</t>
  </si>
  <si>
    <t>BOND DEBT SERVICE — Fiscal Year (Period Ending June 30)</t>
  </si>
  <si>
    <t>Period Ending</t>
  </si>
  <si>
    <t>Principal</t>
  </si>
  <si>
    <t>Coupon</t>
  </si>
  <si>
    <t>Interest</t>
  </si>
  <si>
    <t>Debt Service</t>
  </si>
  <si>
    <t>BOND DEBT SERVICE — Semiannual Payment Dates</t>
  </si>
  <si>
    <t>Payment Date</t>
  </si>
  <si>
    <t>Maine Municipal Bond Bank — $135,000,000 for 20-years (Spring 2028 Issue)</t>
  </si>
  <si>
    <t>Maine Municipal Bond Bank</t>
  </si>
  <si>
    <t>Summary of Projected Loan</t>
  </si>
  <si>
    <t>MSAD 75 (Spring 2028 - $135,000,000 Loan Amount)</t>
  </si>
  <si>
    <t>Summary</t>
  </si>
  <si>
    <t>10-Year Maturity</t>
  </si>
  <si>
    <t>20-Year Maturity</t>
  </si>
  <si>
    <t>Difference</t>
  </si>
  <si>
    <t>-</t>
  </si>
  <si>
    <t>Final Maturity</t>
  </si>
  <si>
    <t>True Interest Cost (1)</t>
  </si>
  <si>
    <t>Average Life (Years)</t>
  </si>
  <si>
    <t>Projected Debt Service (1)</t>
  </si>
  <si>
    <t>FY 2029</t>
  </si>
  <si>
    <t>FY 2030</t>
  </si>
  <si>
    <t>FY 2031</t>
  </si>
  <si>
    <t>FY 2032</t>
  </si>
  <si>
    <t>FY 2033</t>
  </si>
  <si>
    <t>FY 2034</t>
  </si>
  <si>
    <t>FY 2035</t>
  </si>
  <si>
    <t>FY 2036</t>
  </si>
  <si>
    <t>FY 2037</t>
  </si>
  <si>
    <t>FY 2038</t>
  </si>
  <si>
    <t>FY 2039</t>
  </si>
  <si>
    <t>FY 2040</t>
  </si>
  <si>
    <t>FY 2041</t>
  </si>
  <si>
    <t>FY 2042</t>
  </si>
  <si>
    <t>FY 2043</t>
  </si>
  <si>
    <t>FY 2044</t>
  </si>
  <si>
    <t>FY 2045</t>
  </si>
  <si>
    <t>FY 2046</t>
  </si>
  <si>
    <t>FY 2047</t>
  </si>
  <si>
    <t>FY 2048</t>
  </si>
  <si>
    <t>1. Market Rates as of September 25, 2026. Rates are preliminary and subject to change with market movement.</t>
  </si>
  <si>
    <t>**PROJECTIONS, SUBJECT TO CHANGE. FOR DISCUSSION PURPOSES ONLY** — Prepared by Hilltop Securities Inc. as financial advisor to the Maine Municipal Bond Bank.</t>
  </si>
  <si>
    <t>MSAD 75 — Bond Scenario Tax Impact by Town</t>
  </si>
  <si>
    <t>Town Inputs (linked from Sheet1)</t>
  </si>
  <si>
    <t>Cost Share % (share of 2027 Local Contribution)</t>
  </si>
  <si>
    <t>Local Assessment of a Typical Home</t>
  </si>
  <si>
    <t>FY2027 Operating Increase to Mill Rate (per $1,000)</t>
  </si>
  <si>
    <t>FY2027 Operating Tax Increase — Typical Home</t>
  </si>
  <si>
    <t>Bond Assumptions (MMBB $135M reference issue)</t>
  </si>
  <si>
    <t>10-Year</t>
  </si>
  <si>
    <t>20-Year</t>
  </si>
  <si>
    <t>Reference Par Amount</t>
  </si>
  <si>
    <t>Final-Year Debt Service</t>
  </si>
  <si>
    <t>Years of Payments</t>
  </si>
  <si>
    <t>1. District Annual Debt Service by Bond Amount</t>
  </si>
  <si>
    <t>Bond Amount</t>
  </si>
  <si>
    <t>Final-Year DS</t>
  </si>
  <si>
    <t>Avg Annual DS</t>
  </si>
  <si>
    <t>5. Combined Annual Tax Increase on a Typical Home — FY2027 Operating Increase + Bond</t>
  </si>
  <si>
    <t>Notes &amp; Methodology</t>
  </si>
  <si>
    <t>• Debt service for each bond size is scaled proportionally from the MMBB $135M preliminary schedules (same rates, level principal). Actual figures will change with market rates at sale.</t>
  </si>
  <si>
    <t>• Each town's share of debt service uses its share of the 2027 Total Local Contribution (row 7). Update row 7 if the district's cost-sharing formula for debt differs.</t>
  </si>
  <si>
    <t>• Valuations and typical home values are January 2026 figures from Sheet1; no valuation growth is assumed.</t>
  </si>
  <si>
    <t>• Table 5 adds the FY2027 operating tax increase (Sheet1 row 22) to the bond impact, showing the total increase over FY2026 for a typical home.</t>
  </si>
  <si>
    <t>Bond sizes from $20M to $160M, scaled from MMBB preliminary numbers (market rates as of 9/25/2026). Tax impact shown for the peak debt-service year (FY2029 for 10-yr, FY2030 for 20-yr).</t>
  </si>
  <si>
    <t>Peak Annual Debt Service</t>
  </si>
  <si>
    <t>Peak Annual DS</t>
  </si>
  <si>
    <t>2. Town Share of Peak Annual Debt Service</t>
  </si>
  <si>
    <t>3. Increase to Mill Rate per $1,000 of Valuation — Bond Only (Peak Year)</t>
  </si>
  <si>
    <t>4. Annual Tax Increase on a Typical Home — Bond Only (Peak Year)</t>
  </si>
  <si>
    <t>• Tax impact is shown for the peak debt-service year (FY2029 for 10-yr, FY2030 for 20-yr); payments decline each year after (see Final-Year and Avg Annual columns in Table 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</si>
</sst>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3" formatCode="_(* #,##0.00_);_(* \(#,##0.00\);_(* &quot;-&quot;??_);_(@_)"/>
    <numFmt numFmtId="170" formatCode="_(* #,##0.0000_);_(* \(#,##0.0000\);_(* &quot;-&quot;??_);_(@_)"/>
    <numFmt numFmtId="171" formatCode="mm/dd/yyyy"/>
    <numFmt numFmtId="172" formatCode="0.000000%"/>
    <numFmt numFmtId="173" formatCode="0.000"/>
    <numFmt numFmtId="174" formatCode="0.000000"/>
    <numFmt numFmtId="175" formatCode="0.000%"/>
    <numFmt numFmtId="176" formatCode="&quot;$&quot;#,##0_);\(&quot;$&quot;#,##0\);&quot;-&quot;_)"/>
  </numFmts>
  <fonts count="1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008000"/>
      <name val="Arial"/>
      <family val="2"/>
    </font>
    <font>
      <sz val="10"/>
      <color rgb="FF000000"/>
      <name val="Arial"/>
      <family val="2"/>
    </font>
    <font>
      <b/>
      <sz val="10"/>
      <color rgb="FF008000"/>
      <name val="Arial"/>
      <family val="2"/>
    </font>
    <font>
      <b/>
      <sz val="10"/>
      <color rgb="FF000000"/>
      <name val="Arial"/>
      <family val="2"/>
    </font>
    <font>
      <b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B6D7A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8" fontId="4" fillId="0" borderId="0" xfId="0" applyNumberFormat="1" applyFont="1" applyAlignment="1">
      <alignment horizontal="center" wrapText="1"/>
    </xf>
    <xf numFmtId="8" fontId="3" fillId="0" borderId="0" xfId="0" applyNumberFormat="1" applyFont="1" applyAlignment="1">
      <alignment horizontal="center" wrapText="1"/>
    </xf>
    <xf numFmtId="8" fontId="4" fillId="0" borderId="0" xfId="0" applyNumberFormat="1" applyFont="1" applyAlignment="1">
      <alignment horizontal="right" wrapText="1"/>
    </xf>
    <xf numFmtId="0" fontId="3" fillId="2" borderId="0" xfId="0" applyFont="1" applyFill="1" applyAlignment="1">
      <alignment horizontal="right" wrapText="1"/>
    </xf>
    <xf numFmtId="10" fontId="4" fillId="2" borderId="0" xfId="0" applyNumberFormat="1" applyFont="1" applyFill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wrapText="1"/>
    </xf>
    <xf numFmtId="8" fontId="3" fillId="0" borderId="0" xfId="0" applyNumberFormat="1" applyFont="1" applyAlignment="1">
      <alignment horizontal="right" wrapText="1"/>
    </xf>
    <xf numFmtId="10" fontId="4" fillId="0" borderId="0" xfId="0" applyNumberFormat="1" applyFont="1" applyAlignment="1">
      <alignment horizontal="center" wrapText="1"/>
    </xf>
    <xf numFmtId="10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8" fontId="4" fillId="2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170" fontId="4" fillId="0" borderId="0" xfId="1" applyNumberFormat="1" applyFont="1" applyAlignment="1">
      <alignment horizontal="right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3" borderId="0" xfId="0" applyFont="1" applyFill="1"/>
    <xf numFmtId="171" fontId="4" fillId="0" borderId="0" xfId="0" applyNumberFormat="1" applyFont="1"/>
    <xf numFmtId="0" fontId="3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2" borderId="2" xfId="0" applyFont="1" applyFill="1" applyBorder="1"/>
    <xf numFmtId="0" fontId="4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171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72" fontId="4" fillId="0" borderId="0" xfId="0" applyNumberFormat="1" applyFont="1" applyAlignment="1">
      <alignment horizontal="right"/>
    </xf>
    <xf numFmtId="173" fontId="4" fillId="0" borderId="0" xfId="0" applyNumberFormat="1" applyFont="1" applyAlignment="1">
      <alignment horizontal="right"/>
    </xf>
    <xf numFmtId="174" fontId="4" fillId="0" borderId="0" xfId="0" applyNumberFormat="1" applyFont="1" applyAlignment="1">
      <alignment horizontal="right"/>
    </xf>
    <xf numFmtId="0" fontId="3" fillId="2" borderId="1" xfId="0" applyFont="1" applyFill="1" applyBorder="1" applyAlignment="1">
      <alignment horizontal="right"/>
    </xf>
    <xf numFmtId="175" fontId="4" fillId="0" borderId="0" xfId="0" applyNumberFormat="1" applyFont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" fontId="3" fillId="2" borderId="2" xfId="0" applyNumberFormat="1" applyFont="1" applyFill="1" applyBorder="1" applyAlignment="1">
      <alignment horizontal="right"/>
    </xf>
    <xf numFmtId="175" fontId="3" fillId="2" borderId="2" xfId="0" applyNumberFormat="1" applyFont="1" applyFill="1" applyBorder="1" applyAlignment="1">
      <alignment horizontal="right"/>
    </xf>
    <xf numFmtId="15" fontId="6" fillId="0" borderId="0" xfId="0" applyNumberFormat="1" applyFont="1"/>
    <xf numFmtId="0" fontId="3" fillId="3" borderId="0" xfId="0" applyFont="1" applyFill="1" applyAlignment="1">
      <alignment horizontal="center"/>
    </xf>
    <xf numFmtId="176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3" fillId="2" borderId="2" xfId="0" applyFont="1" applyFill="1" applyBorder="1" applyAlignment="1">
      <alignment horizontal="left"/>
    </xf>
    <xf numFmtId="176" fontId="4" fillId="0" borderId="0" xfId="0" applyNumberFormat="1" applyFont="1" applyAlignment="1">
      <alignment horizontal="right"/>
    </xf>
    <xf numFmtId="176" fontId="3" fillId="2" borderId="2" xfId="0" applyNumberFormat="1" applyFont="1" applyFill="1" applyBorder="1" applyAlignment="1">
      <alignment horizontal="right"/>
    </xf>
    <xf numFmtId="8" fontId="10" fillId="0" borderId="0" xfId="0" applyNumberFormat="1" applyFont="1"/>
    <xf numFmtId="10" fontId="11" fillId="0" borderId="0" xfId="0" applyNumberFormat="1" applyFont="1"/>
    <xf numFmtId="3" fontId="10" fillId="0" borderId="0" xfId="0" applyNumberFormat="1" applyFont="1"/>
    <xf numFmtId="170" fontId="4" fillId="0" borderId="0" xfId="0" applyNumberFormat="1" applyFont="1"/>
    <xf numFmtId="170" fontId="10" fillId="0" borderId="0" xfId="0" applyNumberFormat="1" applyFont="1"/>
    <xf numFmtId="8" fontId="12" fillId="0" borderId="0" xfId="0" applyNumberFormat="1" applyFont="1"/>
    <xf numFmtId="10" fontId="13" fillId="0" borderId="0" xfId="0" applyNumberFormat="1" applyFont="1"/>
    <xf numFmtId="3" fontId="12" fillId="0" borderId="0" xfId="0" applyNumberFormat="1" applyFont="1"/>
    <xf numFmtId="170" fontId="12" fillId="0" borderId="0" xfId="0" applyNumberFormat="1" applyFont="1"/>
    <xf numFmtId="176" fontId="10" fillId="0" borderId="0" xfId="0" applyNumberFormat="1" applyFont="1" applyAlignment="1">
      <alignment horizontal="right"/>
    </xf>
    <xf numFmtId="175" fontId="10" fillId="0" borderId="0" xfId="0" applyNumberFormat="1" applyFont="1" applyAlignment="1">
      <alignment horizontal="right"/>
    </xf>
    <xf numFmtId="171" fontId="10" fillId="0" borderId="0" xfId="0" applyNumberFormat="1" applyFont="1" applyAlignment="1">
      <alignment horizontal="right"/>
    </xf>
    <xf numFmtId="1" fontId="10" fillId="0" borderId="0" xfId="0" applyNumberFormat="1" applyFont="1" applyAlignment="1">
      <alignment horizontal="right"/>
    </xf>
    <xf numFmtId="176" fontId="11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wrapText="1"/>
    </xf>
    <xf numFmtId="176" fontId="3" fillId="0" borderId="0" xfId="0" applyNumberFormat="1" applyFont="1"/>
    <xf numFmtId="170" fontId="3" fillId="0" borderId="0" xfId="0" applyNumberFormat="1" applyFont="1"/>
    <xf numFmtId="8" fontId="4" fillId="2" borderId="0" xfId="0" applyNumberFormat="1" applyFont="1" applyFill="1"/>
    <xf numFmtId="8" fontId="3" fillId="2" borderId="0" xfId="0" applyNumberFormat="1" applyFont="1" applyFill="1"/>
    <xf numFmtId="176" fontId="14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5F6D156-4985-44BF-B35F-1C70C5AAF02B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302a08fa-2d97-4a61-bd84-9df8fd70c35a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F96D-4DDE-4978-8976-962A8E271CEB}">
  <dimension ref="B4:G24"/>
  <sheetViews>
    <sheetView topLeftCell="A8" workbookViewId="0">
      <selection activeCell="I20" sqref="I20"/>
    </sheetView>
  </sheetViews>
  <sheetFormatPr defaultRowHeight="14.25" x14ac:dyDescent="0.45"/>
  <cols>
    <col min="2" max="2" width="39.59765625" customWidth="1"/>
    <col min="3" max="4" width="12.9296875" bestFit="1" customWidth="1"/>
    <col min="5" max="7" width="13.9296875" bestFit="1" customWidth="1"/>
  </cols>
  <sheetData>
    <row r="4" spans="2:7" x14ac:dyDescent="0.45">
      <c r="B4" s="1" t="s">
        <v>10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x14ac:dyDescent="0.45">
      <c r="B5" s="2" t="s">
        <v>11</v>
      </c>
      <c r="C5" s="5">
        <v>4253973.54</v>
      </c>
      <c r="D5" s="5">
        <v>4664442.45</v>
      </c>
      <c r="E5" s="5">
        <v>11266530.380000001</v>
      </c>
      <c r="F5" s="5">
        <v>14201192.880000001</v>
      </c>
      <c r="G5" s="10">
        <v>34386139.240000002</v>
      </c>
    </row>
    <row r="6" spans="2:7" x14ac:dyDescent="0.45">
      <c r="B6" s="2" t="s">
        <v>8</v>
      </c>
      <c r="C6" s="5">
        <v>429765.54</v>
      </c>
      <c r="D6" s="5">
        <v>438861.45</v>
      </c>
      <c r="E6" s="5">
        <v>897576.38</v>
      </c>
      <c r="F6" s="5">
        <v>1062600.8799999999</v>
      </c>
      <c r="G6" s="10">
        <v>2828804.24</v>
      </c>
    </row>
    <row r="7" spans="2:7" x14ac:dyDescent="0.45">
      <c r="B7" s="2" t="s">
        <v>9</v>
      </c>
      <c r="C7" s="11">
        <v>0.1124</v>
      </c>
      <c r="D7" s="11">
        <v>0.10390000000000001</v>
      </c>
      <c r="E7" s="11">
        <v>8.6599999999999996E-2</v>
      </c>
      <c r="F7" s="11">
        <v>8.09E-2</v>
      </c>
      <c r="G7" s="12">
        <v>8.9599999999999999E-2</v>
      </c>
    </row>
    <row r="9" spans="2:7" ht="15.85" customHeight="1" x14ac:dyDescent="0.45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2:7" ht="15.85" customHeight="1" x14ac:dyDescent="0.45">
      <c r="B10" s="2" t="s">
        <v>7</v>
      </c>
      <c r="C10" s="3">
        <v>4253973.54</v>
      </c>
      <c r="D10" s="3">
        <v>4664442.45</v>
      </c>
      <c r="E10" s="3">
        <v>11266530.380000001</v>
      </c>
      <c r="F10" s="3">
        <v>14201192.880000001</v>
      </c>
      <c r="G10" s="4">
        <v>34386139.25</v>
      </c>
    </row>
    <row r="11" spans="2:7" ht="15.85" customHeight="1" x14ac:dyDescent="0.45">
      <c r="B11" s="2" t="s">
        <v>6</v>
      </c>
      <c r="C11" s="3">
        <v>4718567.9800000004</v>
      </c>
      <c r="D11" s="3">
        <v>5123881.63</v>
      </c>
      <c r="E11" s="3">
        <v>11960576.130000001</v>
      </c>
      <c r="F11" s="3">
        <v>15510746.939999999</v>
      </c>
      <c r="G11" s="4">
        <v>37313772.68</v>
      </c>
    </row>
    <row r="12" spans="2:7" ht="15.85" customHeight="1" x14ac:dyDescent="0.45">
      <c r="B12" s="2" t="s">
        <v>8</v>
      </c>
      <c r="C12" s="5">
        <f>C11-C10</f>
        <v>464594.44000000041</v>
      </c>
      <c r="D12" s="5">
        <v>459439.18</v>
      </c>
      <c r="E12" s="5">
        <v>694045.75</v>
      </c>
      <c r="F12" s="5">
        <v>1309554.06</v>
      </c>
      <c r="G12" s="5">
        <v>2927633.43</v>
      </c>
    </row>
    <row r="13" spans="2:7" ht="15.85" customHeight="1" x14ac:dyDescent="0.45">
      <c r="B13" s="6" t="s">
        <v>9</v>
      </c>
      <c r="C13" s="7">
        <f>C11/C10-1</f>
        <v>0.10921422891596078</v>
      </c>
      <c r="D13" s="7">
        <f t="shared" ref="D13:G13" si="0">D11/D10-1</f>
        <v>9.8498198857614794E-2</v>
      </c>
      <c r="E13" s="7">
        <f t="shared" si="0"/>
        <v>6.160243895778672E-2</v>
      </c>
      <c r="F13" s="7">
        <f t="shared" si="0"/>
        <v>9.2214370374779309E-2</v>
      </c>
      <c r="G13" s="7">
        <f t="shared" si="0"/>
        <v>8.5139928292473188E-2</v>
      </c>
    </row>
    <row r="14" spans="2:7" ht="15.85" customHeight="1" x14ac:dyDescent="0.45"/>
    <row r="15" spans="2:7" ht="15.85" customHeight="1" x14ac:dyDescent="0.45">
      <c r="B15" s="2"/>
    </row>
    <row r="16" spans="2:7" ht="17.25" customHeight="1" x14ac:dyDescent="0.45">
      <c r="B16" s="16" t="s">
        <v>12</v>
      </c>
      <c r="C16" s="9"/>
      <c r="D16" s="9"/>
      <c r="E16" s="9"/>
      <c r="F16" s="9"/>
      <c r="G16" s="9"/>
    </row>
    <row r="17" spans="2:7" ht="9" customHeight="1" x14ac:dyDescent="0.45">
      <c r="B17" s="2"/>
      <c r="C17" s="9"/>
      <c r="D17" s="9"/>
      <c r="E17" s="9"/>
      <c r="F17" s="9"/>
      <c r="G17" s="9"/>
    </row>
    <row r="18" spans="2:7" ht="15.85" customHeight="1" x14ac:dyDescent="0.45">
      <c r="B18" s="16" t="s">
        <v>13</v>
      </c>
      <c r="C18" s="14">
        <v>463579500</v>
      </c>
      <c r="D18" s="14">
        <v>376115160</v>
      </c>
      <c r="E18" s="14">
        <v>2514458550</v>
      </c>
      <c r="F18" s="14">
        <v>1834458550</v>
      </c>
      <c r="G18" s="14">
        <v>5188611760</v>
      </c>
    </row>
    <row r="19" spans="2:7" ht="15.85" customHeight="1" x14ac:dyDescent="0.45">
      <c r="B19" s="2" t="s">
        <v>14</v>
      </c>
      <c r="C19" s="5">
        <f>C12</f>
        <v>464594.44000000041</v>
      </c>
      <c r="D19" s="5">
        <f t="shared" ref="D19:G19" si="1">D12</f>
        <v>459439.18</v>
      </c>
      <c r="E19" s="5">
        <f t="shared" si="1"/>
        <v>694045.75</v>
      </c>
      <c r="F19" s="5">
        <f t="shared" si="1"/>
        <v>1309554.06</v>
      </c>
      <c r="G19" s="5">
        <f t="shared" si="1"/>
        <v>2927633.43</v>
      </c>
    </row>
    <row r="20" spans="2:7" ht="15.85" customHeight="1" x14ac:dyDescent="0.45">
      <c r="B20" s="16" t="s">
        <v>15</v>
      </c>
      <c r="C20" s="18">
        <f>C19/(C18/1000)</f>
        <v>1.0021893547924368</v>
      </c>
      <c r="D20" s="18">
        <f t="shared" ref="D20:G20" si="2">D19/(D18/1000)</f>
        <v>1.2215385840868527</v>
      </c>
      <c r="E20" s="18">
        <f t="shared" si="2"/>
        <v>0.27602194913891104</v>
      </c>
      <c r="F20" s="18">
        <f t="shared" si="2"/>
        <v>0.71386407722322209</v>
      </c>
      <c r="G20" s="18">
        <f t="shared" si="2"/>
        <v>0.56424214518605653</v>
      </c>
    </row>
    <row r="21" spans="2:7" ht="15.85" customHeight="1" x14ac:dyDescent="0.45">
      <c r="B21" s="16" t="s">
        <v>16</v>
      </c>
      <c r="C21" s="5">
        <v>313600</v>
      </c>
      <c r="D21" s="5">
        <v>250000</v>
      </c>
      <c r="E21" s="5">
        <v>600200</v>
      </c>
      <c r="F21" s="5">
        <v>500000</v>
      </c>
      <c r="G21" s="5">
        <v>415950</v>
      </c>
    </row>
    <row r="22" spans="2:7" ht="15.85" customHeight="1" x14ac:dyDescent="0.45">
      <c r="B22" s="17" t="s">
        <v>17</v>
      </c>
      <c r="C22" s="15">
        <f>(C21/1000)*C20</f>
        <v>314.28658166290819</v>
      </c>
      <c r="D22" s="15">
        <f t="shared" ref="D22:G22" si="3">(D21/1000)*D20</f>
        <v>305.38464602171319</v>
      </c>
      <c r="E22" s="15">
        <f t="shared" si="3"/>
        <v>165.66837387317443</v>
      </c>
      <c r="F22" s="15">
        <f t="shared" si="3"/>
        <v>356.93203861161106</v>
      </c>
      <c r="G22" s="15">
        <f t="shared" si="3"/>
        <v>234.6965202901402</v>
      </c>
    </row>
    <row r="23" spans="2:7" ht="9" customHeight="1" x14ac:dyDescent="0.45">
      <c r="B23" s="9"/>
      <c r="C23" s="9"/>
      <c r="D23" s="9"/>
      <c r="E23" s="9"/>
      <c r="F23" s="9"/>
      <c r="G23" s="9"/>
    </row>
    <row r="24" spans="2:7" ht="15.85" customHeight="1" x14ac:dyDescent="0.45">
      <c r="B24" s="13" t="s">
        <v>18</v>
      </c>
      <c r="C24" s="9"/>
      <c r="D24" s="9"/>
      <c r="E24" s="9"/>
      <c r="F24" s="9"/>
      <c r="G2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261D-67E6-42F8-A805-6BA1E17E9E44}">
  <dimension ref="A2:Z89"/>
  <sheetViews>
    <sheetView tabSelected="1" topLeftCell="A9" zoomScale="90" zoomScaleNormal="90" workbookViewId="0">
      <selection activeCell="C7" sqref="C7"/>
    </sheetView>
  </sheetViews>
  <sheetFormatPr defaultRowHeight="14.25" x14ac:dyDescent="0.45"/>
  <cols>
    <col min="1" max="1" width="2.6640625" style="8" customWidth="1"/>
    <col min="2" max="2" width="44" style="8" customWidth="1"/>
    <col min="3" max="7" width="16.86328125" style="8" customWidth="1"/>
    <col min="8" max="8" width="2.1328125" style="8" customWidth="1"/>
    <col min="9" max="13" width="16.86328125" style="8" customWidth="1"/>
    <col min="14" max="26" width="9.06640625" style="8"/>
  </cols>
  <sheetData>
    <row r="2" spans="2:7" ht="15.4" x14ac:dyDescent="0.45">
      <c r="B2" s="20" t="s">
        <v>100</v>
      </c>
    </row>
    <row r="3" spans="2:7" x14ac:dyDescent="0.45">
      <c r="B3" s="21" t="s">
        <v>122</v>
      </c>
    </row>
    <row r="5" spans="2:7" x14ac:dyDescent="0.45">
      <c r="B5" s="42" t="s">
        <v>101</v>
      </c>
      <c r="C5" s="42" t="s">
        <v>1</v>
      </c>
      <c r="D5" s="42" t="s">
        <v>2</v>
      </c>
      <c r="E5" s="42" t="s">
        <v>3</v>
      </c>
      <c r="F5" s="42" t="s">
        <v>4</v>
      </c>
      <c r="G5" s="42" t="s">
        <v>5</v>
      </c>
    </row>
    <row r="6" spans="2:7" x14ac:dyDescent="0.45">
      <c r="B6" s="27" t="s">
        <v>6</v>
      </c>
      <c r="C6" s="51">
        <f>Sheet1!C11</f>
        <v>4718567.9800000004</v>
      </c>
      <c r="D6" s="51">
        <f>Sheet1!D11</f>
        <v>5123881.63</v>
      </c>
      <c r="E6" s="51">
        <f>Sheet1!E11</f>
        <v>11960576.130000001</v>
      </c>
      <c r="F6" s="51">
        <f>Sheet1!F11</f>
        <v>15510746.939999999</v>
      </c>
      <c r="G6" s="56">
        <f>Sheet1!G11</f>
        <v>37313772.68</v>
      </c>
    </row>
    <row r="7" spans="2:7" x14ac:dyDescent="0.45">
      <c r="B7" s="27" t="s">
        <v>102</v>
      </c>
      <c r="C7" s="52">
        <f>C6/$G$6</f>
        <v>0.1264564701207265</v>
      </c>
      <c r="D7" s="52">
        <f>D6/$G$6</f>
        <v>0.13731877700874712</v>
      </c>
      <c r="E7" s="52">
        <f>E6/$G$6</f>
        <v>0.32054052085735119</v>
      </c>
      <c r="F7" s="52">
        <f>F6/$G$6</f>
        <v>0.41568423201317523</v>
      </c>
      <c r="G7" s="57">
        <f>SUM(C7:F7)</f>
        <v>1</v>
      </c>
    </row>
    <row r="8" spans="2:7" x14ac:dyDescent="0.45">
      <c r="B8" s="27" t="s">
        <v>13</v>
      </c>
      <c r="C8" s="53">
        <f>Sheet1!C18</f>
        <v>463579500</v>
      </c>
      <c r="D8" s="53">
        <f>Sheet1!D18</f>
        <v>376115160</v>
      </c>
      <c r="E8" s="53">
        <f>Sheet1!E18</f>
        <v>2514458550</v>
      </c>
      <c r="F8" s="53">
        <f>Sheet1!F18</f>
        <v>1834458550</v>
      </c>
      <c r="G8" s="58">
        <f>Sheet1!G18</f>
        <v>5188611760</v>
      </c>
    </row>
    <row r="9" spans="2:7" x14ac:dyDescent="0.45">
      <c r="B9" s="27" t="s">
        <v>103</v>
      </c>
      <c r="C9" s="51">
        <f>Sheet1!C21</f>
        <v>313600</v>
      </c>
      <c r="D9" s="51">
        <f>Sheet1!D21</f>
        <v>250000</v>
      </c>
      <c r="E9" s="51">
        <f>Sheet1!E21</f>
        <v>600200</v>
      </c>
      <c r="F9" s="51">
        <f>Sheet1!F21</f>
        <v>500000</v>
      </c>
      <c r="G9" s="56">
        <f>Sheet1!G21</f>
        <v>415950</v>
      </c>
    </row>
    <row r="10" spans="2:7" x14ac:dyDescent="0.45">
      <c r="B10" s="27" t="s">
        <v>104</v>
      </c>
      <c r="C10" s="55">
        <f>Sheet1!C20</f>
        <v>1.0021893547924368</v>
      </c>
      <c r="D10" s="55">
        <f>Sheet1!D20</f>
        <v>1.2215385840868527</v>
      </c>
      <c r="E10" s="55">
        <f>Sheet1!E20</f>
        <v>0.27602194913891104</v>
      </c>
      <c r="F10" s="55">
        <f>Sheet1!F20</f>
        <v>0.71386407722322209</v>
      </c>
      <c r="G10" s="59">
        <f>Sheet1!G20</f>
        <v>0.56424214518605653</v>
      </c>
    </row>
    <row r="11" spans="2:7" x14ac:dyDescent="0.45">
      <c r="B11" s="27" t="s">
        <v>105</v>
      </c>
      <c r="C11" s="51">
        <f>Sheet1!C22</f>
        <v>314.28658166290819</v>
      </c>
      <c r="D11" s="51">
        <f>Sheet1!D22</f>
        <v>305.38464602171319</v>
      </c>
      <c r="E11" s="51">
        <f>Sheet1!E22</f>
        <v>165.66837387317443</v>
      </c>
      <c r="F11" s="51">
        <f>Sheet1!F22</f>
        <v>356.93203861161106</v>
      </c>
      <c r="G11" s="56">
        <f>Sheet1!G22</f>
        <v>234.6965202901402</v>
      </c>
    </row>
    <row r="12" spans="2:7" x14ac:dyDescent="0.45">
      <c r="B12" s="27"/>
    </row>
    <row r="13" spans="2:7" x14ac:dyDescent="0.45">
      <c r="B13" s="28" t="s">
        <v>106</v>
      </c>
      <c r="C13" s="42" t="s">
        <v>107</v>
      </c>
      <c r="D13" s="42" t="s">
        <v>108</v>
      </c>
    </row>
    <row r="14" spans="2:7" x14ac:dyDescent="0.45">
      <c r="B14" s="27" t="s">
        <v>109</v>
      </c>
      <c r="C14" s="60">
        <f>'10-Yr Prelim'!C27</f>
        <v>135000000</v>
      </c>
      <c r="D14" s="60">
        <f>'20-Yr Prelim'!C27</f>
        <v>135000000</v>
      </c>
    </row>
    <row r="15" spans="2:7" x14ac:dyDescent="0.45">
      <c r="B15" s="27" t="s">
        <v>33</v>
      </c>
      <c r="C15" s="61">
        <f>'10-Yr Prelim'!C20</f>
        <v>4.1355410000000002E-2</v>
      </c>
      <c r="D15" s="61">
        <f>'20-Yr Prelim'!C20</f>
        <v>4.7476369999999997E-2</v>
      </c>
    </row>
    <row r="16" spans="2:7" x14ac:dyDescent="0.45">
      <c r="B16" s="27" t="s">
        <v>74</v>
      </c>
      <c r="C16" s="62">
        <f>'10-Yr Prelim'!C18</f>
        <v>50345</v>
      </c>
      <c r="D16" s="62">
        <f>'20-Yr Prelim'!C18</f>
        <v>53997</v>
      </c>
    </row>
    <row r="17" spans="2:13" x14ac:dyDescent="0.45">
      <c r="B17" s="27" t="s">
        <v>123</v>
      </c>
      <c r="C17" s="60">
        <f>MAX('10-Yr Prelim'!F54:F63)</f>
        <v>18400647.379999999</v>
      </c>
      <c r="D17" s="60">
        <f>MAX('20-Yr Prelim'!F64:F83)</f>
        <v>12431880</v>
      </c>
    </row>
    <row r="18" spans="2:13" x14ac:dyDescent="0.45">
      <c r="B18" s="27" t="s">
        <v>110</v>
      </c>
      <c r="C18" s="60">
        <f>'10-Yr Prelim'!F63</f>
        <v>13797675</v>
      </c>
      <c r="D18" s="60">
        <f>'20-Yr Prelim'!F83</f>
        <v>6926175</v>
      </c>
    </row>
    <row r="19" spans="2:13" x14ac:dyDescent="0.45">
      <c r="B19" s="27" t="s">
        <v>42</v>
      </c>
      <c r="C19" s="60">
        <f>'10-Yr Prelim'!E64</f>
        <v>27713622.379999999</v>
      </c>
      <c r="D19" s="60">
        <f>'20-Yr Prelim'!E84</f>
        <v>64365450.189999998</v>
      </c>
    </row>
    <row r="20" spans="2:13" x14ac:dyDescent="0.45">
      <c r="B20" s="27" t="s">
        <v>46</v>
      </c>
      <c r="C20" s="60">
        <f>'10-Yr Prelim'!F64</f>
        <v>162713622.38</v>
      </c>
      <c r="D20" s="60">
        <f>'20-Yr Prelim'!F84</f>
        <v>199365450.19</v>
      </c>
    </row>
    <row r="21" spans="2:13" x14ac:dyDescent="0.45">
      <c r="B21" s="27" t="s">
        <v>111</v>
      </c>
      <c r="C21" s="63">
        <f>COUNT('10-Yr Prelim'!F54:F63)</f>
        <v>10</v>
      </c>
      <c r="D21" s="63">
        <f>COUNT('20-Yr Prelim'!F64:F83)</f>
        <v>20</v>
      </c>
    </row>
    <row r="22" spans="2:13" x14ac:dyDescent="0.45">
      <c r="B22" s="27" t="s">
        <v>48</v>
      </c>
      <c r="C22" s="64">
        <f>C20/C21</f>
        <v>16271362.238</v>
      </c>
      <c r="D22" s="64">
        <f>D20/D21</f>
        <v>9968272.5095000006</v>
      </c>
    </row>
    <row r="24" spans="2:13" x14ac:dyDescent="0.45">
      <c r="B24" s="46" t="s">
        <v>112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2:13" x14ac:dyDescent="0.45">
      <c r="C25" s="65" t="s">
        <v>70</v>
      </c>
      <c r="D25" s="65"/>
      <c r="E25" s="65"/>
      <c r="F25" s="65"/>
      <c r="G25" s="65"/>
      <c r="I25" s="65" t="s">
        <v>71</v>
      </c>
      <c r="J25" s="65"/>
      <c r="K25" s="65"/>
      <c r="L25" s="65"/>
      <c r="M25" s="65"/>
    </row>
    <row r="26" spans="2:13" ht="28.05" customHeight="1" x14ac:dyDescent="0.45">
      <c r="B26" s="66" t="s">
        <v>113</v>
      </c>
      <c r="C26" s="66" t="s">
        <v>124</v>
      </c>
      <c r="D26" s="66" t="s">
        <v>114</v>
      </c>
      <c r="E26" s="66" t="s">
        <v>115</v>
      </c>
      <c r="F26" s="66" t="s">
        <v>42</v>
      </c>
      <c r="G26" s="66" t="s">
        <v>46</v>
      </c>
      <c r="H26" s="66"/>
      <c r="I26" s="66" t="s">
        <v>124</v>
      </c>
      <c r="J26" s="66" t="s">
        <v>114</v>
      </c>
      <c r="K26" s="66" t="s">
        <v>115</v>
      </c>
      <c r="L26" s="66" t="s">
        <v>42</v>
      </c>
      <c r="M26" s="66" t="s">
        <v>46</v>
      </c>
    </row>
    <row r="27" spans="2:13" x14ac:dyDescent="0.45">
      <c r="B27" s="71">
        <v>20000000</v>
      </c>
      <c r="C27" s="43">
        <f>$B27*$C$17/$C$14</f>
        <v>2726021.8340740739</v>
      </c>
      <c r="D27" s="43">
        <f>$B27*$C$18/$C$14</f>
        <v>2044100</v>
      </c>
      <c r="E27" s="43">
        <f>$B27*$C$22/$C$14</f>
        <v>2410572.1834074073</v>
      </c>
      <c r="F27" s="43">
        <f>$B27*$C$19/$C$14</f>
        <v>4105721.8340740739</v>
      </c>
      <c r="G27" s="67">
        <f>$B27*$C$20/$C$14</f>
        <v>24105721.834074073</v>
      </c>
      <c r="I27" s="43">
        <f>$B27*$D$17/$D$14</f>
        <v>1841760</v>
      </c>
      <c r="J27" s="43">
        <f>$B27*$D$18/$D$14</f>
        <v>1026100</v>
      </c>
      <c r="K27" s="43">
        <f>$B27*$D$22/$D$14</f>
        <v>1476781.1125185185</v>
      </c>
      <c r="L27" s="43">
        <f>$B27*$D$19/$D$14</f>
        <v>9535622.2503703702</v>
      </c>
      <c r="M27" s="67">
        <f>$B27*$D$20/$D$14</f>
        <v>29535622.250370372</v>
      </c>
    </row>
    <row r="28" spans="2:13" x14ac:dyDescent="0.45">
      <c r="B28" s="71">
        <v>40000000</v>
      </c>
      <c r="C28" s="43">
        <f t="shared" ref="C28:C34" si="0">$B28*$C$17/$C$14</f>
        <v>5452043.6681481479</v>
      </c>
      <c r="D28" s="43">
        <f t="shared" ref="D28:D34" si="1">$B28*$C$18/$C$14</f>
        <v>4088200</v>
      </c>
      <c r="E28" s="43">
        <f t="shared" ref="E28:E34" si="2">$B28*$C$22/$C$14</f>
        <v>4821144.3668148145</v>
      </c>
      <c r="F28" s="43">
        <f t="shared" ref="F28:F34" si="3">$B28*$C$19/$C$14</f>
        <v>8211443.6681481479</v>
      </c>
      <c r="G28" s="67">
        <f t="shared" ref="G28:G34" si="4">$B28*$C$20/$C$14</f>
        <v>48211443.668148145</v>
      </c>
      <c r="I28" s="43">
        <f t="shared" ref="I28:I34" si="5">$B28*$D$17/$D$14</f>
        <v>3683520</v>
      </c>
      <c r="J28" s="43">
        <f t="shared" ref="J28:J34" si="6">$B28*$D$18/$D$14</f>
        <v>2052200</v>
      </c>
      <c r="K28" s="43">
        <f t="shared" ref="K28:K34" si="7">$B28*$D$22/$D$14</f>
        <v>2953562.2250370369</v>
      </c>
      <c r="L28" s="43">
        <f t="shared" ref="L28:L34" si="8">$B28*$D$19/$D$14</f>
        <v>19071244.50074074</v>
      </c>
      <c r="M28" s="67">
        <f t="shared" ref="M28:M34" si="9">$B28*$D$20/$D$14</f>
        <v>59071244.500740744</v>
      </c>
    </row>
    <row r="29" spans="2:13" x14ac:dyDescent="0.45">
      <c r="B29" s="71">
        <v>60000000</v>
      </c>
      <c r="C29" s="43">
        <f t="shared" si="0"/>
        <v>8178065.5022222213</v>
      </c>
      <c r="D29" s="43">
        <f t="shared" si="1"/>
        <v>6132300</v>
      </c>
      <c r="E29" s="43">
        <f t="shared" si="2"/>
        <v>7231716.5502222218</v>
      </c>
      <c r="F29" s="43">
        <f t="shared" si="3"/>
        <v>12317165.502222221</v>
      </c>
      <c r="G29" s="67">
        <f t="shared" si="4"/>
        <v>72317165.502222225</v>
      </c>
      <c r="I29" s="43">
        <f t="shared" si="5"/>
        <v>5525280</v>
      </c>
      <c r="J29" s="43">
        <f t="shared" si="6"/>
        <v>3078300</v>
      </c>
      <c r="K29" s="43">
        <f t="shared" si="7"/>
        <v>4430343.3375555556</v>
      </c>
      <c r="L29" s="43">
        <f t="shared" si="8"/>
        <v>28606866.751111113</v>
      </c>
      <c r="M29" s="67">
        <f t="shared" si="9"/>
        <v>88606866.751111105</v>
      </c>
    </row>
    <row r="30" spans="2:13" x14ac:dyDescent="0.45">
      <c r="B30" s="71">
        <v>80000000</v>
      </c>
      <c r="C30" s="43">
        <f t="shared" si="0"/>
        <v>10904087.336296296</v>
      </c>
      <c r="D30" s="43">
        <f t="shared" si="1"/>
        <v>8176400</v>
      </c>
      <c r="E30" s="43">
        <f t="shared" si="2"/>
        <v>9642288.733629629</v>
      </c>
      <c r="F30" s="43">
        <f t="shared" si="3"/>
        <v>16422887.336296296</v>
      </c>
      <c r="G30" s="67">
        <f t="shared" si="4"/>
        <v>96422887.33629629</v>
      </c>
      <c r="I30" s="43">
        <f t="shared" si="5"/>
        <v>7367040</v>
      </c>
      <c r="J30" s="43">
        <f t="shared" si="6"/>
        <v>4104400</v>
      </c>
      <c r="K30" s="43">
        <f t="shared" si="7"/>
        <v>5907124.4500740739</v>
      </c>
      <c r="L30" s="43">
        <f t="shared" si="8"/>
        <v>38142489.001481481</v>
      </c>
      <c r="M30" s="67">
        <f t="shared" si="9"/>
        <v>118142489.00148149</v>
      </c>
    </row>
    <row r="31" spans="2:13" x14ac:dyDescent="0.45">
      <c r="B31" s="71">
        <v>100000000</v>
      </c>
      <c r="C31" s="43">
        <f t="shared" si="0"/>
        <v>13630109.17037037</v>
      </c>
      <c r="D31" s="43">
        <f t="shared" si="1"/>
        <v>10220500</v>
      </c>
      <c r="E31" s="43">
        <f t="shared" si="2"/>
        <v>12052860.917037036</v>
      </c>
      <c r="F31" s="43">
        <f t="shared" si="3"/>
        <v>20528609.17037037</v>
      </c>
      <c r="G31" s="67">
        <f t="shared" si="4"/>
        <v>120528609.17037037</v>
      </c>
      <c r="I31" s="43">
        <f t="shared" si="5"/>
        <v>9208800</v>
      </c>
      <c r="J31" s="43">
        <f t="shared" si="6"/>
        <v>5130500</v>
      </c>
      <c r="K31" s="43">
        <f t="shared" si="7"/>
        <v>7383905.562592594</v>
      </c>
      <c r="L31" s="43">
        <f t="shared" si="8"/>
        <v>47678111.251851849</v>
      </c>
      <c r="M31" s="67">
        <f t="shared" si="9"/>
        <v>147678111.25185186</v>
      </c>
    </row>
    <row r="32" spans="2:13" x14ac:dyDescent="0.45">
      <c r="B32" s="71">
        <v>120000000</v>
      </c>
      <c r="C32" s="43">
        <f t="shared" si="0"/>
        <v>16356131.004444443</v>
      </c>
      <c r="D32" s="43">
        <f t="shared" si="1"/>
        <v>12264600</v>
      </c>
      <c r="E32" s="43">
        <f t="shared" si="2"/>
        <v>14463433.100444444</v>
      </c>
      <c r="F32" s="43">
        <f t="shared" si="3"/>
        <v>24634331.004444443</v>
      </c>
      <c r="G32" s="67">
        <f t="shared" si="4"/>
        <v>144634331.00444445</v>
      </c>
      <c r="I32" s="43">
        <f t="shared" si="5"/>
        <v>11050560</v>
      </c>
      <c r="J32" s="43">
        <f t="shared" si="6"/>
        <v>6156600</v>
      </c>
      <c r="K32" s="43">
        <f t="shared" si="7"/>
        <v>8860686.6751111113</v>
      </c>
      <c r="L32" s="43">
        <f t="shared" si="8"/>
        <v>57213733.502222225</v>
      </c>
      <c r="M32" s="67">
        <f t="shared" si="9"/>
        <v>177213733.50222221</v>
      </c>
    </row>
    <row r="33" spans="2:13" x14ac:dyDescent="0.45">
      <c r="B33" s="71">
        <v>140000000</v>
      </c>
      <c r="C33" s="43">
        <f t="shared" si="0"/>
        <v>19082152.838518519</v>
      </c>
      <c r="D33" s="43">
        <f t="shared" si="1"/>
        <v>14308700</v>
      </c>
      <c r="E33" s="43">
        <f t="shared" si="2"/>
        <v>16874005.283851851</v>
      </c>
      <c r="F33" s="43">
        <f t="shared" si="3"/>
        <v>28740052.838518519</v>
      </c>
      <c r="G33" s="67">
        <f t="shared" si="4"/>
        <v>168740052.83851853</v>
      </c>
      <c r="I33" s="43">
        <f t="shared" si="5"/>
        <v>12892320</v>
      </c>
      <c r="J33" s="43">
        <f t="shared" si="6"/>
        <v>7182700</v>
      </c>
      <c r="K33" s="43">
        <f t="shared" si="7"/>
        <v>10337467.78762963</v>
      </c>
      <c r="L33" s="43">
        <f t="shared" si="8"/>
        <v>66749355.752592593</v>
      </c>
      <c r="M33" s="67">
        <f t="shared" si="9"/>
        <v>206749355.75259259</v>
      </c>
    </row>
    <row r="34" spans="2:13" x14ac:dyDescent="0.45">
      <c r="B34" s="71">
        <v>160000000</v>
      </c>
      <c r="C34" s="43">
        <f t="shared" si="0"/>
        <v>21808174.672592591</v>
      </c>
      <c r="D34" s="43">
        <f t="shared" si="1"/>
        <v>16352800</v>
      </c>
      <c r="E34" s="43">
        <f t="shared" si="2"/>
        <v>19284577.467259258</v>
      </c>
      <c r="F34" s="43">
        <f t="shared" si="3"/>
        <v>32845774.672592591</v>
      </c>
      <c r="G34" s="67">
        <f t="shared" si="4"/>
        <v>192845774.67259258</v>
      </c>
      <c r="I34" s="43">
        <f t="shared" si="5"/>
        <v>14734080</v>
      </c>
      <c r="J34" s="43">
        <f t="shared" si="6"/>
        <v>8208800</v>
      </c>
      <c r="K34" s="43">
        <f t="shared" si="7"/>
        <v>11814248.900148148</v>
      </c>
      <c r="L34" s="43">
        <f t="shared" si="8"/>
        <v>76284978.002962962</v>
      </c>
      <c r="M34" s="67">
        <f t="shared" si="9"/>
        <v>236284978.00296298</v>
      </c>
    </row>
    <row r="35" spans="2:13" x14ac:dyDescent="0.45">
      <c r="B35" s="44"/>
    </row>
    <row r="36" spans="2:13" x14ac:dyDescent="0.45">
      <c r="B36" s="46" t="s">
        <v>125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2:13" x14ac:dyDescent="0.45">
      <c r="B37" s="44"/>
      <c r="C37" s="65" t="s">
        <v>70</v>
      </c>
      <c r="D37" s="65"/>
      <c r="E37" s="65"/>
      <c r="F37" s="65"/>
      <c r="G37" s="65"/>
      <c r="I37" s="65" t="s">
        <v>71</v>
      </c>
      <c r="J37" s="65"/>
      <c r="K37" s="65"/>
      <c r="L37" s="65"/>
      <c r="M37" s="65"/>
    </row>
    <row r="38" spans="2:13" ht="15" customHeight="1" x14ac:dyDescent="0.45">
      <c r="B38" s="66" t="s">
        <v>113</v>
      </c>
      <c r="C38" s="66" t="s">
        <v>1</v>
      </c>
      <c r="D38" s="66" t="s">
        <v>2</v>
      </c>
      <c r="E38" s="66" t="s">
        <v>3</v>
      </c>
      <c r="F38" s="66" t="s">
        <v>4</v>
      </c>
      <c r="G38" s="66" t="s">
        <v>5</v>
      </c>
      <c r="H38" s="66"/>
      <c r="I38" s="66" t="s">
        <v>1</v>
      </c>
      <c r="J38" s="66" t="s">
        <v>2</v>
      </c>
      <c r="K38" s="66" t="s">
        <v>3</v>
      </c>
      <c r="L38" s="66" t="s">
        <v>4</v>
      </c>
      <c r="M38" s="66" t="s">
        <v>5</v>
      </c>
    </row>
    <row r="39" spans="2:13" x14ac:dyDescent="0.45">
      <c r="B39" s="72">
        <f>B27</f>
        <v>20000000</v>
      </c>
      <c r="C39" s="43">
        <f>$C27*INDEX($C$7:$G$7,MATCH(C$38,$C$5:$G$5,0))</f>
        <v>344723.09860903618</v>
      </c>
      <c r="D39" s="43">
        <f t="shared" ref="D39:G39" si="10">$C27*INDEX($C$7:$G$7,MATCH(D$38,$C$5:$G$5,0))</f>
        <v>374333.98435419361</v>
      </c>
      <c r="E39" s="43">
        <f t="shared" si="10"/>
        <v>873800.45856261544</v>
      </c>
      <c r="F39" s="43">
        <f t="shared" si="10"/>
        <v>1133164.2925482288</v>
      </c>
      <c r="G39" s="67">
        <f t="shared" si="10"/>
        <v>2726021.8340740739</v>
      </c>
      <c r="I39" s="43">
        <f>$I27*INDEX($C$7:$G$7,MATCH(I$38,$C$5:$G$5,0))</f>
        <v>232902.46840954924</v>
      </c>
      <c r="J39" s="43">
        <f t="shared" ref="J39:M39" si="11">$I27*INDEX($C$7:$G$7,MATCH(J$38,$C$5:$G$5,0))</f>
        <v>252908.23074363009</v>
      </c>
      <c r="K39" s="43">
        <f t="shared" si="11"/>
        <v>590358.70969423512</v>
      </c>
      <c r="L39" s="43">
        <f t="shared" si="11"/>
        <v>765590.59115258558</v>
      </c>
      <c r="M39" s="67">
        <f t="shared" si="11"/>
        <v>1841760</v>
      </c>
    </row>
    <row r="40" spans="2:13" x14ac:dyDescent="0.45">
      <c r="B40" s="72">
        <f t="shared" ref="B40:B46" si="12">B28</f>
        <v>40000000</v>
      </c>
      <c r="C40" s="43">
        <f t="shared" ref="C40:G40" si="13">$C28*INDEX($C$7:$G$7,MATCH(C$38,$C$5:$G$5,0))</f>
        <v>689446.19721807237</v>
      </c>
      <c r="D40" s="43">
        <f t="shared" si="13"/>
        <v>748667.96870838723</v>
      </c>
      <c r="E40" s="43">
        <f t="shared" si="13"/>
        <v>1747600.9171252309</v>
      </c>
      <c r="F40" s="43">
        <f t="shared" si="13"/>
        <v>2266328.5850964575</v>
      </c>
      <c r="G40" s="67">
        <f t="shared" si="13"/>
        <v>5452043.6681481479</v>
      </c>
      <c r="I40" s="43">
        <f t="shared" ref="I40:M40" si="14">$I28*INDEX($C$7:$G$7,MATCH(I$38,$C$5:$G$5,0))</f>
        <v>465804.93681909848</v>
      </c>
      <c r="J40" s="43">
        <f t="shared" si="14"/>
        <v>505816.46148726018</v>
      </c>
      <c r="K40" s="43">
        <f t="shared" si="14"/>
        <v>1180717.4193884702</v>
      </c>
      <c r="L40" s="43">
        <f t="shared" si="14"/>
        <v>1531181.1823051712</v>
      </c>
      <c r="M40" s="67">
        <f t="shared" si="14"/>
        <v>3683520</v>
      </c>
    </row>
    <row r="41" spans="2:13" x14ac:dyDescent="0.45">
      <c r="B41" s="72">
        <f t="shared" si="12"/>
        <v>60000000</v>
      </c>
      <c r="C41" s="43">
        <f t="shared" ref="C41:G41" si="15">$C29*INDEX($C$7:$G$7,MATCH(C$38,$C$5:$G$5,0))</f>
        <v>1034169.2958271084</v>
      </c>
      <c r="D41" s="43">
        <f t="shared" si="15"/>
        <v>1123001.9530625807</v>
      </c>
      <c r="E41" s="43">
        <f t="shared" si="15"/>
        <v>2621401.375687846</v>
      </c>
      <c r="F41" s="43">
        <f t="shared" si="15"/>
        <v>3399492.877644686</v>
      </c>
      <c r="G41" s="67">
        <f t="shared" si="15"/>
        <v>8178065.5022222213</v>
      </c>
      <c r="I41" s="43">
        <f t="shared" ref="I41:M41" si="16">$I29*INDEX($C$7:$G$7,MATCH(I$38,$C$5:$G$5,0))</f>
        <v>698707.40522864775</v>
      </c>
      <c r="J41" s="43">
        <f t="shared" si="16"/>
        <v>758724.69223089027</v>
      </c>
      <c r="K41" s="43">
        <f t="shared" si="16"/>
        <v>1771076.1290827054</v>
      </c>
      <c r="L41" s="43">
        <f t="shared" si="16"/>
        <v>2296771.7734577567</v>
      </c>
      <c r="M41" s="67">
        <f t="shared" si="16"/>
        <v>5525280</v>
      </c>
    </row>
    <row r="42" spans="2:13" x14ac:dyDescent="0.45">
      <c r="B42" s="72">
        <f t="shared" si="12"/>
        <v>80000000</v>
      </c>
      <c r="C42" s="43">
        <f t="shared" ref="C42:G42" si="17">$C30*INDEX($C$7:$G$7,MATCH(C$38,$C$5:$G$5,0))</f>
        <v>1378892.3944361447</v>
      </c>
      <c r="D42" s="43">
        <f t="shared" si="17"/>
        <v>1497335.9374167745</v>
      </c>
      <c r="E42" s="43">
        <f t="shared" si="17"/>
        <v>3495201.8342504618</v>
      </c>
      <c r="F42" s="43">
        <f t="shared" si="17"/>
        <v>4532657.170192915</v>
      </c>
      <c r="G42" s="67">
        <f t="shared" si="17"/>
        <v>10904087.336296296</v>
      </c>
      <c r="I42" s="43">
        <f t="shared" ref="I42:M42" si="18">$I30*INDEX($C$7:$G$7,MATCH(I$38,$C$5:$G$5,0))</f>
        <v>931609.87363819696</v>
      </c>
      <c r="J42" s="43">
        <f t="shared" si="18"/>
        <v>1011632.9229745204</v>
      </c>
      <c r="K42" s="43">
        <f t="shared" si="18"/>
        <v>2361434.8387769405</v>
      </c>
      <c r="L42" s="43">
        <f t="shared" si="18"/>
        <v>3062362.3646103423</v>
      </c>
      <c r="M42" s="67">
        <f t="shared" si="18"/>
        <v>7367040</v>
      </c>
    </row>
    <row r="43" spans="2:13" x14ac:dyDescent="0.45">
      <c r="B43" s="72">
        <f t="shared" si="12"/>
        <v>100000000</v>
      </c>
      <c r="C43" s="43">
        <f t="shared" ref="C43:G43" si="19">$C31*INDEX($C$7:$G$7,MATCH(C$38,$C$5:$G$5,0))</f>
        <v>1723615.493045181</v>
      </c>
      <c r="D43" s="43">
        <f t="shared" si="19"/>
        <v>1871669.921770968</v>
      </c>
      <c r="E43" s="43">
        <f t="shared" si="19"/>
        <v>4369002.2928130776</v>
      </c>
      <c r="F43" s="43">
        <f t="shared" si="19"/>
        <v>5665821.462741144</v>
      </c>
      <c r="G43" s="67">
        <f t="shared" si="19"/>
        <v>13630109.17037037</v>
      </c>
      <c r="I43" s="43">
        <f t="shared" ref="I43:M43" si="20">$I31*INDEX($C$7:$G$7,MATCH(I$38,$C$5:$G$5,0))</f>
        <v>1164512.3420477463</v>
      </c>
      <c r="J43" s="43">
        <f t="shared" si="20"/>
        <v>1264541.1537181505</v>
      </c>
      <c r="K43" s="43">
        <f t="shared" si="20"/>
        <v>2951793.5484711756</v>
      </c>
      <c r="L43" s="43">
        <f t="shared" si="20"/>
        <v>3827952.9557629279</v>
      </c>
      <c r="M43" s="67">
        <f t="shared" si="20"/>
        <v>9208800</v>
      </c>
    </row>
    <row r="44" spans="2:13" x14ac:dyDescent="0.45">
      <c r="B44" s="72">
        <f t="shared" si="12"/>
        <v>120000000</v>
      </c>
      <c r="C44" s="43">
        <f t="shared" ref="C44:G44" si="21">$C32*INDEX($C$7:$G$7,MATCH(C$38,$C$5:$G$5,0))</f>
        <v>2068338.5916542169</v>
      </c>
      <c r="D44" s="43">
        <f t="shared" si="21"/>
        <v>2246003.9061251613</v>
      </c>
      <c r="E44" s="43">
        <f t="shared" si="21"/>
        <v>5242802.751375692</v>
      </c>
      <c r="F44" s="43">
        <f t="shared" si="21"/>
        <v>6798985.7552893721</v>
      </c>
      <c r="G44" s="67">
        <f t="shared" si="21"/>
        <v>16356131.004444443</v>
      </c>
      <c r="I44" s="43">
        <f t="shared" ref="I44:M44" si="22">$I32*INDEX($C$7:$G$7,MATCH(I$38,$C$5:$G$5,0))</f>
        <v>1397414.8104572955</v>
      </c>
      <c r="J44" s="43">
        <f t="shared" si="22"/>
        <v>1517449.3844617805</v>
      </c>
      <c r="K44" s="43">
        <f t="shared" si="22"/>
        <v>3542152.2581654107</v>
      </c>
      <c r="L44" s="43">
        <f t="shared" si="22"/>
        <v>4593543.5469155135</v>
      </c>
      <c r="M44" s="67">
        <f t="shared" si="22"/>
        <v>11050560</v>
      </c>
    </row>
    <row r="45" spans="2:13" x14ac:dyDescent="0.45">
      <c r="B45" s="72">
        <f t="shared" si="12"/>
        <v>140000000</v>
      </c>
      <c r="C45" s="43">
        <f t="shared" ref="C45:G45" si="23">$C33*INDEX($C$7:$G$7,MATCH(C$38,$C$5:$G$5,0))</f>
        <v>2413061.6902632536</v>
      </c>
      <c r="D45" s="43">
        <f t="shared" si="23"/>
        <v>2620337.8904793551</v>
      </c>
      <c r="E45" s="43">
        <f t="shared" si="23"/>
        <v>6116603.2099383082</v>
      </c>
      <c r="F45" s="43">
        <f t="shared" si="23"/>
        <v>7932150.047837602</v>
      </c>
      <c r="G45" s="67">
        <f t="shared" si="23"/>
        <v>19082152.838518519</v>
      </c>
      <c r="I45" s="43">
        <f t="shared" ref="I45:M45" si="24">$I33*INDEX($C$7:$G$7,MATCH(I$38,$C$5:$G$5,0))</f>
        <v>1630317.2788668447</v>
      </c>
      <c r="J45" s="43">
        <f t="shared" si="24"/>
        <v>1770357.6152054106</v>
      </c>
      <c r="K45" s="43">
        <f t="shared" si="24"/>
        <v>4132510.9678596458</v>
      </c>
      <c r="L45" s="43">
        <f t="shared" si="24"/>
        <v>5359134.1380680995</v>
      </c>
      <c r="M45" s="67">
        <f t="shared" si="24"/>
        <v>12892320</v>
      </c>
    </row>
    <row r="46" spans="2:13" x14ac:dyDescent="0.45">
      <c r="B46" s="72">
        <f t="shared" si="12"/>
        <v>160000000</v>
      </c>
      <c r="C46" s="43">
        <f t="shared" ref="C46:G46" si="25">$C34*INDEX($C$7:$G$7,MATCH(C$38,$C$5:$G$5,0))</f>
        <v>2757784.7888722895</v>
      </c>
      <c r="D46" s="43">
        <f t="shared" si="25"/>
        <v>2994671.8748335489</v>
      </c>
      <c r="E46" s="43">
        <f t="shared" si="25"/>
        <v>6990403.6685009236</v>
      </c>
      <c r="F46" s="43">
        <f t="shared" si="25"/>
        <v>9065314.34038583</v>
      </c>
      <c r="G46" s="67">
        <f t="shared" si="25"/>
        <v>21808174.672592591</v>
      </c>
      <c r="I46" s="43">
        <f t="shared" ref="I46:M46" si="26">$I34*INDEX($C$7:$G$7,MATCH(I$38,$C$5:$G$5,0))</f>
        <v>1863219.7472763939</v>
      </c>
      <c r="J46" s="43">
        <f t="shared" si="26"/>
        <v>2023265.8459490407</v>
      </c>
      <c r="K46" s="43">
        <f t="shared" si="26"/>
        <v>4722869.677553881</v>
      </c>
      <c r="L46" s="43">
        <f t="shared" si="26"/>
        <v>6124724.7292206846</v>
      </c>
      <c r="M46" s="67">
        <f t="shared" si="26"/>
        <v>14734080</v>
      </c>
    </row>
    <row r="47" spans="2:13" x14ac:dyDescent="0.45">
      <c r="B47" s="44"/>
    </row>
    <row r="48" spans="2:13" x14ac:dyDescent="0.45">
      <c r="B48" s="46" t="s">
        <v>126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2:13" x14ac:dyDescent="0.45">
      <c r="B49" s="44"/>
      <c r="C49" s="65" t="s">
        <v>70</v>
      </c>
      <c r="D49" s="65"/>
      <c r="E49" s="65"/>
      <c r="F49" s="65"/>
      <c r="G49" s="65"/>
      <c r="I49" s="65" t="s">
        <v>71</v>
      </c>
      <c r="J49" s="65"/>
      <c r="K49" s="65"/>
      <c r="L49" s="65"/>
      <c r="M49" s="65"/>
    </row>
    <row r="50" spans="2:13" ht="15" customHeight="1" x14ac:dyDescent="0.45">
      <c r="B50" s="66" t="s">
        <v>113</v>
      </c>
      <c r="C50" s="66" t="s">
        <v>1</v>
      </c>
      <c r="D50" s="66" t="s">
        <v>2</v>
      </c>
      <c r="E50" s="66" t="s">
        <v>3</v>
      </c>
      <c r="F50" s="66" t="s">
        <v>4</v>
      </c>
      <c r="G50" s="66" t="s">
        <v>5</v>
      </c>
      <c r="H50" s="66"/>
      <c r="I50" s="66" t="s">
        <v>1</v>
      </c>
      <c r="J50" s="66" t="s">
        <v>2</v>
      </c>
      <c r="K50" s="66" t="s">
        <v>3</v>
      </c>
      <c r="L50" s="66" t="s">
        <v>4</v>
      </c>
      <c r="M50" s="66" t="s">
        <v>5</v>
      </c>
    </row>
    <row r="51" spans="2:13" x14ac:dyDescent="0.45">
      <c r="B51" s="72">
        <f>B39</f>
        <v>20000000</v>
      </c>
      <c r="C51" s="54">
        <f>C39/(INDEX($C$8:$G$8,MATCH(C$50,$C$5:$G$5,0))/1000)</f>
        <v>0.7436116105415278</v>
      </c>
      <c r="D51" s="54">
        <f t="shared" ref="D51:G51" si="27">D39/(INDEX($C$8:$G$8,MATCH(D$50,$C$5:$G$5,0))/1000)</f>
        <v>0.99526428116908039</v>
      </c>
      <c r="E51" s="54">
        <f t="shared" si="27"/>
        <v>0.34751038491472269</v>
      </c>
      <c r="F51" s="54">
        <f t="shared" si="27"/>
        <v>0.61771049149528545</v>
      </c>
      <c r="G51" s="68">
        <f t="shared" si="27"/>
        <v>0.52538558677477043</v>
      </c>
      <c r="I51" s="54">
        <f t="shared" ref="I51:M51" si="28">I39/(INDEX($C$8:$G$8,MATCH(I$50,$C$5:$G$5,0))/1000)</f>
        <v>0.50240027527004372</v>
      </c>
      <c r="J51" s="54">
        <f t="shared" si="28"/>
        <v>0.67242232603341512</v>
      </c>
      <c r="K51" s="54">
        <f t="shared" si="28"/>
        <v>0.23478562002711684</v>
      </c>
      <c r="L51" s="54">
        <f t="shared" si="28"/>
        <v>0.41733872436233871</v>
      </c>
      <c r="M51" s="68">
        <f t="shared" si="28"/>
        <v>0.35496199854428884</v>
      </c>
    </row>
    <row r="52" spans="2:13" x14ac:dyDescent="0.45">
      <c r="B52" s="72">
        <f t="shared" ref="B52:B58" si="29">B40</f>
        <v>40000000</v>
      </c>
      <c r="C52" s="54">
        <f t="shared" ref="C52:G52" si="30">C40/(INDEX($C$8:$G$8,MATCH(C$50,$C$5:$G$5,0))/1000)</f>
        <v>1.4872232210830556</v>
      </c>
      <c r="D52" s="54">
        <f t="shared" si="30"/>
        <v>1.9905285623381608</v>
      </c>
      <c r="E52" s="54">
        <f t="shared" si="30"/>
        <v>0.69502076982944538</v>
      </c>
      <c r="F52" s="54">
        <f t="shared" si="30"/>
        <v>1.2354209829905709</v>
      </c>
      <c r="G52" s="68">
        <f t="shared" si="30"/>
        <v>1.0507711735495409</v>
      </c>
      <c r="I52" s="54">
        <f t="shared" ref="I52:M52" si="31">I40/(INDEX($C$8:$G$8,MATCH(I$50,$C$5:$G$5,0))/1000)</f>
        <v>1.0048005505400874</v>
      </c>
      <c r="J52" s="54">
        <f t="shared" si="31"/>
        <v>1.3448446520668302</v>
      </c>
      <c r="K52" s="54">
        <f t="shared" si="31"/>
        <v>0.46957124005423367</v>
      </c>
      <c r="L52" s="54">
        <f t="shared" si="31"/>
        <v>0.83467744872467742</v>
      </c>
      <c r="M52" s="68">
        <f t="shared" si="31"/>
        <v>0.70992399708857767</v>
      </c>
    </row>
    <row r="53" spans="2:13" x14ac:dyDescent="0.45">
      <c r="B53" s="72">
        <f t="shared" si="29"/>
        <v>60000000</v>
      </c>
      <c r="C53" s="54">
        <f t="shared" ref="C53:G53" si="32">C41/(INDEX($C$8:$G$8,MATCH(C$50,$C$5:$G$5,0))/1000)</f>
        <v>2.2308348316245832</v>
      </c>
      <c r="D53" s="54">
        <f t="shared" si="32"/>
        <v>2.9857928435072405</v>
      </c>
      <c r="E53" s="54">
        <f t="shared" si="32"/>
        <v>1.042531154744168</v>
      </c>
      <c r="F53" s="54">
        <f t="shared" si="32"/>
        <v>1.8531314744858562</v>
      </c>
      <c r="G53" s="68">
        <f t="shared" si="32"/>
        <v>1.576156760324311</v>
      </c>
      <c r="I53" s="54">
        <f t="shared" ref="I53:M53" si="33">I41/(INDEX($C$8:$G$8,MATCH(I$50,$C$5:$G$5,0))/1000)</f>
        <v>1.5072008258101313</v>
      </c>
      <c r="J53" s="54">
        <f t="shared" si="33"/>
        <v>2.0172669781002455</v>
      </c>
      <c r="K53" s="54">
        <f t="shared" si="33"/>
        <v>0.70435686008135057</v>
      </c>
      <c r="L53" s="54">
        <f t="shared" si="33"/>
        <v>1.2520161730870161</v>
      </c>
      <c r="M53" s="68">
        <f t="shared" si="33"/>
        <v>1.0648859956328667</v>
      </c>
    </row>
    <row r="54" spans="2:13" x14ac:dyDescent="0.45">
      <c r="B54" s="72">
        <f t="shared" si="29"/>
        <v>80000000</v>
      </c>
      <c r="C54" s="54">
        <f t="shared" ref="C54:G54" si="34">C42/(INDEX($C$8:$G$8,MATCH(C$50,$C$5:$G$5,0))/1000)</f>
        <v>2.9744464421661112</v>
      </c>
      <c r="D54" s="54">
        <f t="shared" si="34"/>
        <v>3.9810571246763216</v>
      </c>
      <c r="E54" s="54">
        <f t="shared" si="34"/>
        <v>1.3900415396588908</v>
      </c>
      <c r="F54" s="54">
        <f t="shared" si="34"/>
        <v>2.4708419659811418</v>
      </c>
      <c r="G54" s="68">
        <f t="shared" si="34"/>
        <v>2.1015423470990817</v>
      </c>
      <c r="I54" s="54">
        <f t="shared" ref="I54:M54" si="35">I42/(INDEX($C$8:$G$8,MATCH(I$50,$C$5:$G$5,0))/1000)</f>
        <v>2.0096011010801749</v>
      </c>
      <c r="J54" s="54">
        <f t="shared" si="35"/>
        <v>2.6896893041336605</v>
      </c>
      <c r="K54" s="54">
        <f t="shared" si="35"/>
        <v>0.93914248010846735</v>
      </c>
      <c r="L54" s="54">
        <f t="shared" si="35"/>
        <v>1.6693548974493548</v>
      </c>
      <c r="M54" s="68">
        <f t="shared" si="35"/>
        <v>1.4198479941771553</v>
      </c>
    </row>
    <row r="55" spans="2:13" x14ac:dyDescent="0.45">
      <c r="B55" s="72">
        <f t="shared" si="29"/>
        <v>100000000</v>
      </c>
      <c r="C55" s="54">
        <f t="shared" ref="C55:G55" si="36">C43/(INDEX($C$8:$G$8,MATCH(C$50,$C$5:$G$5,0))/1000)</f>
        <v>3.7180580527076392</v>
      </c>
      <c r="D55" s="54">
        <f t="shared" si="36"/>
        <v>4.9763214058454013</v>
      </c>
      <c r="E55" s="54">
        <f t="shared" si="36"/>
        <v>1.7375519245736137</v>
      </c>
      <c r="F55" s="54">
        <f t="shared" si="36"/>
        <v>3.0885524574764274</v>
      </c>
      <c r="G55" s="68">
        <f t="shared" si="36"/>
        <v>2.6269279338738518</v>
      </c>
      <c r="I55" s="54">
        <f t="shared" ref="I55:M55" si="37">I43/(INDEX($C$8:$G$8,MATCH(I$50,$C$5:$G$5,0))/1000)</f>
        <v>2.5120013763502187</v>
      </c>
      <c r="J55" s="54">
        <f t="shared" si="37"/>
        <v>3.3621116301670759</v>
      </c>
      <c r="K55" s="54">
        <f t="shared" si="37"/>
        <v>1.1739281001355841</v>
      </c>
      <c r="L55" s="54">
        <f t="shared" si="37"/>
        <v>2.0866936218116936</v>
      </c>
      <c r="M55" s="68">
        <f t="shared" si="37"/>
        <v>1.7748099927214442</v>
      </c>
    </row>
    <row r="56" spans="2:13" x14ac:dyDescent="0.45">
      <c r="B56" s="72">
        <f t="shared" si="29"/>
        <v>120000000</v>
      </c>
      <c r="C56" s="54">
        <f t="shared" ref="C56:G56" si="38">C44/(INDEX($C$8:$G$8,MATCH(C$50,$C$5:$G$5,0))/1000)</f>
        <v>4.4616696632491664</v>
      </c>
      <c r="D56" s="54">
        <f t="shared" si="38"/>
        <v>5.971585687014481</v>
      </c>
      <c r="E56" s="54">
        <f t="shared" si="38"/>
        <v>2.085062309488336</v>
      </c>
      <c r="F56" s="54">
        <f t="shared" si="38"/>
        <v>3.7062629489717125</v>
      </c>
      <c r="G56" s="68">
        <f t="shared" si="38"/>
        <v>3.1523135206486219</v>
      </c>
      <c r="I56" s="54">
        <f t="shared" ref="I56:M56" si="39">I44/(INDEX($C$8:$G$8,MATCH(I$50,$C$5:$G$5,0))/1000)</f>
        <v>3.0144016516202625</v>
      </c>
      <c r="J56" s="54">
        <f t="shared" si="39"/>
        <v>4.0345339562004909</v>
      </c>
      <c r="K56" s="54">
        <f t="shared" si="39"/>
        <v>1.4087137201627011</v>
      </c>
      <c r="L56" s="54">
        <f t="shared" si="39"/>
        <v>2.5040323461740321</v>
      </c>
      <c r="M56" s="68">
        <f t="shared" si="39"/>
        <v>2.1297719912657334</v>
      </c>
    </row>
    <row r="57" spans="2:13" x14ac:dyDescent="0.45">
      <c r="B57" s="72">
        <f t="shared" si="29"/>
        <v>140000000</v>
      </c>
      <c r="C57" s="54">
        <f t="shared" ref="C57:G57" si="40">C45/(INDEX($C$8:$G$8,MATCH(C$50,$C$5:$G$5,0))/1000)</f>
        <v>5.2052812737906953</v>
      </c>
      <c r="D57" s="54">
        <f t="shared" si="40"/>
        <v>6.9668499681835616</v>
      </c>
      <c r="E57" s="54">
        <f t="shared" si="40"/>
        <v>2.432572694403059</v>
      </c>
      <c r="F57" s="54">
        <f t="shared" si="40"/>
        <v>4.3239734404669985</v>
      </c>
      <c r="G57" s="68">
        <f t="shared" si="40"/>
        <v>3.6776991074233929</v>
      </c>
      <c r="I57" s="54">
        <f t="shared" ref="I57:M57" si="41">I45/(INDEX($C$8:$G$8,MATCH(I$50,$C$5:$G$5,0))/1000)</f>
        <v>3.5168019268903064</v>
      </c>
      <c r="J57" s="54">
        <f t="shared" si="41"/>
        <v>4.7069562822339064</v>
      </c>
      <c r="K57" s="54">
        <f t="shared" si="41"/>
        <v>1.6434993401898179</v>
      </c>
      <c r="L57" s="54">
        <f t="shared" si="41"/>
        <v>2.9213710705363711</v>
      </c>
      <c r="M57" s="68">
        <f t="shared" si="41"/>
        <v>2.4847339898100222</v>
      </c>
    </row>
    <row r="58" spans="2:13" x14ac:dyDescent="0.45">
      <c r="B58" s="72">
        <f t="shared" si="29"/>
        <v>160000000</v>
      </c>
      <c r="C58" s="54">
        <f t="shared" ref="C58:G58" si="42">C46/(INDEX($C$8:$G$8,MATCH(C$50,$C$5:$G$5,0))/1000)</f>
        <v>5.9488928843322224</v>
      </c>
      <c r="D58" s="54">
        <f t="shared" si="42"/>
        <v>7.9621142493526431</v>
      </c>
      <c r="E58" s="54">
        <f t="shared" si="42"/>
        <v>2.7800830793177815</v>
      </c>
      <c r="F58" s="54">
        <f t="shared" si="42"/>
        <v>4.9416839319622836</v>
      </c>
      <c r="G58" s="68">
        <f t="shared" si="42"/>
        <v>4.2030846941981634</v>
      </c>
      <c r="I58" s="54">
        <f t="shared" ref="I58:M58" si="43">I46/(INDEX($C$8:$G$8,MATCH(I$50,$C$5:$G$5,0))/1000)</f>
        <v>4.0192022021603497</v>
      </c>
      <c r="J58" s="54">
        <f t="shared" si="43"/>
        <v>5.3793786082673209</v>
      </c>
      <c r="K58" s="54">
        <f t="shared" si="43"/>
        <v>1.8782849602169347</v>
      </c>
      <c r="L58" s="54">
        <f t="shared" si="43"/>
        <v>3.3387097948987097</v>
      </c>
      <c r="M58" s="68">
        <f t="shared" si="43"/>
        <v>2.8396959883543107</v>
      </c>
    </row>
    <row r="59" spans="2:13" x14ac:dyDescent="0.45">
      <c r="B59" s="44"/>
    </row>
    <row r="60" spans="2:13" x14ac:dyDescent="0.45">
      <c r="B60" s="46" t="s">
        <v>127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</row>
    <row r="61" spans="2:13" x14ac:dyDescent="0.45">
      <c r="B61" s="44"/>
      <c r="C61" s="65" t="s">
        <v>70</v>
      </c>
      <c r="D61" s="65"/>
      <c r="E61" s="65"/>
      <c r="F61" s="65"/>
      <c r="G61" s="65"/>
      <c r="I61" s="65" t="s">
        <v>71</v>
      </c>
      <c r="J61" s="65"/>
      <c r="K61" s="65"/>
      <c r="L61" s="65"/>
      <c r="M61" s="65"/>
    </row>
    <row r="62" spans="2:13" ht="15" customHeight="1" x14ac:dyDescent="0.45">
      <c r="B62" s="66" t="s">
        <v>113</v>
      </c>
      <c r="C62" s="66" t="s">
        <v>1</v>
      </c>
      <c r="D62" s="66" t="s">
        <v>2</v>
      </c>
      <c r="E62" s="66" t="s">
        <v>3</v>
      </c>
      <c r="F62" s="66" t="s">
        <v>4</v>
      </c>
      <c r="G62" s="66" t="s">
        <v>5</v>
      </c>
      <c r="H62" s="66"/>
      <c r="I62" s="66" t="s">
        <v>1</v>
      </c>
      <c r="J62" s="66" t="s">
        <v>2</v>
      </c>
      <c r="K62" s="66" t="s">
        <v>3</v>
      </c>
      <c r="L62" s="66" t="s">
        <v>4</v>
      </c>
      <c r="M62" s="66" t="s">
        <v>5</v>
      </c>
    </row>
    <row r="63" spans="2:13" x14ac:dyDescent="0.45">
      <c r="B63" s="72">
        <f>B51</f>
        <v>20000000</v>
      </c>
      <c r="C63" s="69">
        <f>C51*INDEX($C$9:$G$9,MATCH(C$62,$C$5:$G$5,0))/1000</f>
        <v>233.1966010658231</v>
      </c>
      <c r="D63" s="69">
        <f t="shared" ref="D63:G63" si="44">D51*INDEX($C$9:$G$9,MATCH(D$62,$C$5:$G$5,0))/1000</f>
        <v>248.8160702922701</v>
      </c>
      <c r="E63" s="69">
        <f t="shared" si="44"/>
        <v>208.57573302581656</v>
      </c>
      <c r="F63" s="69">
        <f t="shared" si="44"/>
        <v>308.8552457476427</v>
      </c>
      <c r="G63" s="70">
        <f t="shared" si="44"/>
        <v>218.53413481896578</v>
      </c>
      <c r="I63" s="69">
        <f t="shared" ref="I63:M63" si="45">I51*INDEX($C$9:$G$9,MATCH(I$62,$C$5:$G$5,0))/1000</f>
        <v>157.55272632468569</v>
      </c>
      <c r="J63" s="69">
        <f t="shared" si="45"/>
        <v>168.10558150835379</v>
      </c>
      <c r="K63" s="69">
        <f t="shared" si="45"/>
        <v>140.91832914027552</v>
      </c>
      <c r="L63" s="69">
        <f t="shared" si="45"/>
        <v>208.66936218116936</v>
      </c>
      <c r="M63" s="70">
        <f t="shared" si="45"/>
        <v>147.64644329449695</v>
      </c>
    </row>
    <row r="64" spans="2:13" x14ac:dyDescent="0.45">
      <c r="B64" s="72">
        <f t="shared" ref="B64:B70" si="46">B52</f>
        <v>40000000</v>
      </c>
      <c r="C64" s="69">
        <f t="shared" ref="C64:G64" si="47">C52*INDEX($C$9:$G$9,MATCH(C$62,$C$5:$G$5,0))/1000</f>
        <v>466.39320213164621</v>
      </c>
      <c r="D64" s="69">
        <f t="shared" si="47"/>
        <v>497.6321405845402</v>
      </c>
      <c r="E64" s="69">
        <f t="shared" si="47"/>
        <v>417.15146605163312</v>
      </c>
      <c r="F64" s="69">
        <f t="shared" si="47"/>
        <v>617.7104914952854</v>
      </c>
      <c r="G64" s="70">
        <f t="shared" si="47"/>
        <v>437.06826963793156</v>
      </c>
      <c r="I64" s="69">
        <f t="shared" ref="I64:M64" si="48">I52*INDEX($C$9:$G$9,MATCH(I$62,$C$5:$G$5,0))/1000</f>
        <v>315.10545264937139</v>
      </c>
      <c r="J64" s="69">
        <f t="shared" si="48"/>
        <v>336.21116301670759</v>
      </c>
      <c r="K64" s="69">
        <f t="shared" si="48"/>
        <v>281.83665828055103</v>
      </c>
      <c r="L64" s="69">
        <f t="shared" si="48"/>
        <v>417.33872436233872</v>
      </c>
      <c r="M64" s="70">
        <f t="shared" si="48"/>
        <v>295.29288658899389</v>
      </c>
    </row>
    <row r="65" spans="2:13" x14ac:dyDescent="0.45">
      <c r="B65" s="72">
        <f t="shared" si="46"/>
        <v>60000000</v>
      </c>
      <c r="C65" s="69">
        <f t="shared" ref="C65:G65" si="49">C53*INDEX($C$9:$G$9,MATCH(C$62,$C$5:$G$5,0))/1000</f>
        <v>699.58980319746934</v>
      </c>
      <c r="D65" s="69">
        <f t="shared" si="49"/>
        <v>746.44821087681009</v>
      </c>
      <c r="E65" s="69">
        <f t="shared" si="49"/>
        <v>625.72719907744965</v>
      </c>
      <c r="F65" s="69">
        <f t="shared" si="49"/>
        <v>926.56573724292809</v>
      </c>
      <c r="G65" s="70">
        <f t="shared" si="49"/>
        <v>655.60240445689715</v>
      </c>
      <c r="I65" s="69">
        <f t="shared" ref="I65:M65" si="50">I53*INDEX($C$9:$G$9,MATCH(I$62,$C$5:$G$5,0))/1000</f>
        <v>472.65817897405714</v>
      </c>
      <c r="J65" s="69">
        <f t="shared" si="50"/>
        <v>504.31674452506132</v>
      </c>
      <c r="K65" s="69">
        <f t="shared" si="50"/>
        <v>422.75498742082664</v>
      </c>
      <c r="L65" s="69">
        <f t="shared" si="50"/>
        <v>626.00808654350794</v>
      </c>
      <c r="M65" s="70">
        <f t="shared" si="50"/>
        <v>442.93932988349093</v>
      </c>
    </row>
    <row r="66" spans="2:13" x14ac:dyDescent="0.45">
      <c r="B66" s="72">
        <f t="shared" si="46"/>
        <v>80000000</v>
      </c>
      <c r="C66" s="69">
        <f t="shared" ref="C66:G66" si="51">C54*INDEX($C$9:$G$9,MATCH(C$62,$C$5:$G$5,0))/1000</f>
        <v>932.78640426329241</v>
      </c>
      <c r="D66" s="69">
        <f t="shared" si="51"/>
        <v>995.26428116908039</v>
      </c>
      <c r="E66" s="69">
        <f t="shared" si="51"/>
        <v>834.30293210326624</v>
      </c>
      <c r="F66" s="69">
        <f t="shared" si="51"/>
        <v>1235.4209829905708</v>
      </c>
      <c r="G66" s="70">
        <f t="shared" si="51"/>
        <v>874.13653927586313</v>
      </c>
      <c r="I66" s="69">
        <f t="shared" ref="I66:M66" si="52">I54*INDEX($C$9:$G$9,MATCH(I$62,$C$5:$G$5,0))/1000</f>
        <v>630.21090529874277</v>
      </c>
      <c r="J66" s="69">
        <f t="shared" si="52"/>
        <v>672.42232603341517</v>
      </c>
      <c r="K66" s="69">
        <f t="shared" si="52"/>
        <v>563.67331656110207</v>
      </c>
      <c r="L66" s="69">
        <f t="shared" si="52"/>
        <v>834.67744872467745</v>
      </c>
      <c r="M66" s="70">
        <f t="shared" si="52"/>
        <v>590.58577317798779</v>
      </c>
    </row>
    <row r="67" spans="2:13" x14ac:dyDescent="0.45">
      <c r="B67" s="72">
        <f t="shared" si="46"/>
        <v>100000000</v>
      </c>
      <c r="C67" s="69">
        <f t="shared" ref="C67:G67" si="53">C55*INDEX($C$9:$G$9,MATCH(C$62,$C$5:$G$5,0))/1000</f>
        <v>1165.9830053291155</v>
      </c>
      <c r="D67" s="69">
        <f t="shared" si="53"/>
        <v>1244.0803514613501</v>
      </c>
      <c r="E67" s="69">
        <f t="shared" si="53"/>
        <v>1042.8786651290829</v>
      </c>
      <c r="F67" s="69">
        <f t="shared" si="53"/>
        <v>1544.2762287382136</v>
      </c>
      <c r="G67" s="70">
        <f t="shared" si="53"/>
        <v>1092.6706740948289</v>
      </c>
      <c r="I67" s="69">
        <f t="shared" ref="I67:M67" si="54">I55*INDEX($C$9:$G$9,MATCH(I$62,$C$5:$G$5,0))/1000</f>
        <v>787.76363162342852</v>
      </c>
      <c r="J67" s="69">
        <f t="shared" si="54"/>
        <v>840.52790754176897</v>
      </c>
      <c r="K67" s="69">
        <f t="shared" si="54"/>
        <v>704.59164570137762</v>
      </c>
      <c r="L67" s="69">
        <f t="shared" si="54"/>
        <v>1043.3468109058467</v>
      </c>
      <c r="M67" s="70">
        <f t="shared" si="54"/>
        <v>738.23221647248477</v>
      </c>
    </row>
    <row r="68" spans="2:13" x14ac:dyDescent="0.45">
      <c r="B68" s="72">
        <f t="shared" si="46"/>
        <v>120000000</v>
      </c>
      <c r="C68" s="69">
        <f t="shared" ref="C68:G68" si="55">C56*INDEX($C$9:$G$9,MATCH(C$62,$C$5:$G$5,0))/1000</f>
        <v>1399.1796063949387</v>
      </c>
      <c r="D68" s="69">
        <f t="shared" si="55"/>
        <v>1492.8964217536202</v>
      </c>
      <c r="E68" s="69">
        <f t="shared" si="55"/>
        <v>1251.4543981548993</v>
      </c>
      <c r="F68" s="69">
        <f t="shared" si="55"/>
        <v>1853.1314744858562</v>
      </c>
      <c r="G68" s="70">
        <f t="shared" si="55"/>
        <v>1311.2048089137943</v>
      </c>
      <c r="I68" s="69">
        <f t="shared" ref="I68:M68" si="56">I56*INDEX($C$9:$G$9,MATCH(I$62,$C$5:$G$5,0))/1000</f>
        <v>945.31635794811427</v>
      </c>
      <c r="J68" s="69">
        <f t="shared" si="56"/>
        <v>1008.6334890501226</v>
      </c>
      <c r="K68" s="69">
        <f t="shared" si="56"/>
        <v>845.50997484165327</v>
      </c>
      <c r="L68" s="69">
        <f t="shared" si="56"/>
        <v>1252.0161730870159</v>
      </c>
      <c r="M68" s="70">
        <f t="shared" si="56"/>
        <v>885.87865976698185</v>
      </c>
    </row>
    <row r="69" spans="2:13" x14ac:dyDescent="0.45">
      <c r="B69" s="72">
        <f t="shared" si="46"/>
        <v>140000000</v>
      </c>
      <c r="C69" s="69">
        <f t="shared" ref="C69:G69" si="57">C57*INDEX($C$9:$G$9,MATCH(C$62,$C$5:$G$5,0))/1000</f>
        <v>1632.3762074607621</v>
      </c>
      <c r="D69" s="69">
        <f t="shared" si="57"/>
        <v>1741.7124920458903</v>
      </c>
      <c r="E69" s="69">
        <f t="shared" si="57"/>
        <v>1460.0301311807159</v>
      </c>
      <c r="F69" s="69">
        <f t="shared" si="57"/>
        <v>2161.986720233499</v>
      </c>
      <c r="G69" s="70">
        <f t="shared" si="57"/>
        <v>1529.7389437327604</v>
      </c>
      <c r="I69" s="69">
        <f t="shared" ref="I69:M69" si="58">I57*INDEX($C$9:$G$9,MATCH(I$62,$C$5:$G$5,0))/1000</f>
        <v>1102.8690842727999</v>
      </c>
      <c r="J69" s="69">
        <f t="shared" si="58"/>
        <v>1176.7390705584764</v>
      </c>
      <c r="K69" s="69">
        <f t="shared" si="58"/>
        <v>986.42830398192871</v>
      </c>
      <c r="L69" s="69">
        <f t="shared" si="58"/>
        <v>1460.6855352681857</v>
      </c>
      <c r="M69" s="70">
        <f t="shared" si="58"/>
        <v>1033.5251030614786</v>
      </c>
    </row>
    <row r="70" spans="2:13" x14ac:dyDescent="0.45">
      <c r="B70" s="72">
        <f t="shared" si="46"/>
        <v>160000000</v>
      </c>
      <c r="C70" s="69">
        <f t="shared" ref="C70:G70" si="59">C58*INDEX($C$9:$G$9,MATCH(C$62,$C$5:$G$5,0))/1000</f>
        <v>1865.5728085265848</v>
      </c>
      <c r="D70" s="69">
        <f t="shared" si="59"/>
        <v>1990.5285623381608</v>
      </c>
      <c r="E70" s="69">
        <f t="shared" si="59"/>
        <v>1668.6058642065325</v>
      </c>
      <c r="F70" s="69">
        <f t="shared" si="59"/>
        <v>2470.8419659811416</v>
      </c>
      <c r="G70" s="70">
        <f t="shared" si="59"/>
        <v>1748.2730785517263</v>
      </c>
      <c r="I70" s="69">
        <f t="shared" ref="I70:M70" si="60">I58*INDEX($C$9:$G$9,MATCH(I$62,$C$5:$G$5,0))/1000</f>
        <v>1260.4218105974855</v>
      </c>
      <c r="J70" s="69">
        <f t="shared" si="60"/>
        <v>1344.8446520668303</v>
      </c>
      <c r="K70" s="69">
        <f t="shared" si="60"/>
        <v>1127.3466331222041</v>
      </c>
      <c r="L70" s="69">
        <f t="shared" si="60"/>
        <v>1669.3548974493549</v>
      </c>
      <c r="M70" s="70">
        <f t="shared" si="60"/>
        <v>1181.1715463559756</v>
      </c>
    </row>
    <row r="71" spans="2:13" x14ac:dyDescent="0.45">
      <c r="B71" s="44"/>
    </row>
    <row r="72" spans="2:13" x14ac:dyDescent="0.45">
      <c r="B72" s="46" t="s">
        <v>116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</row>
    <row r="73" spans="2:13" x14ac:dyDescent="0.45">
      <c r="B73" s="44"/>
      <c r="C73" s="65" t="s">
        <v>70</v>
      </c>
      <c r="D73" s="65"/>
      <c r="E73" s="65"/>
      <c r="F73" s="65"/>
      <c r="G73" s="65"/>
      <c r="I73" s="65" t="s">
        <v>71</v>
      </c>
      <c r="J73" s="65"/>
      <c r="K73" s="65"/>
      <c r="L73" s="65"/>
      <c r="M73" s="65"/>
    </row>
    <row r="74" spans="2:13" ht="15" customHeight="1" x14ac:dyDescent="0.45">
      <c r="B74" s="66" t="s">
        <v>113</v>
      </c>
      <c r="C74" s="66" t="s">
        <v>1</v>
      </c>
      <c r="D74" s="66" t="s">
        <v>2</v>
      </c>
      <c r="E74" s="66" t="s">
        <v>3</v>
      </c>
      <c r="F74" s="66" t="s">
        <v>4</v>
      </c>
      <c r="G74" s="66" t="s">
        <v>5</v>
      </c>
      <c r="H74" s="66"/>
      <c r="I74" s="66" t="s">
        <v>1</v>
      </c>
      <c r="J74" s="66" t="s">
        <v>2</v>
      </c>
      <c r="K74" s="66" t="s">
        <v>3</v>
      </c>
      <c r="L74" s="66" t="s">
        <v>4</v>
      </c>
      <c r="M74" s="66" t="s">
        <v>5</v>
      </c>
    </row>
    <row r="75" spans="2:13" x14ac:dyDescent="0.45">
      <c r="B75" s="72">
        <f>B63</f>
        <v>20000000</v>
      </c>
      <c r="C75" s="69">
        <f>C63+INDEX($C$11:$G$11,MATCH(C$74,$C$5:$G$5,0))</f>
        <v>547.48318272873132</v>
      </c>
      <c r="D75" s="69">
        <f t="shared" ref="D75:G75" si="61">D63+INDEX($C$11:$G$11,MATCH(D$74,$C$5:$G$5,0))</f>
        <v>554.20071631398332</v>
      </c>
      <c r="E75" s="69">
        <f t="shared" si="61"/>
        <v>374.24410689899099</v>
      </c>
      <c r="F75" s="69">
        <f t="shared" si="61"/>
        <v>665.78728435925382</v>
      </c>
      <c r="G75" s="70">
        <f t="shared" si="61"/>
        <v>453.23065510910601</v>
      </c>
      <c r="I75" s="69">
        <f t="shared" ref="I75:M75" si="62">I63+INDEX($C$11:$G$11,MATCH(I$74,$C$5:$G$5,0))</f>
        <v>471.83930798759388</v>
      </c>
      <c r="J75" s="69">
        <f t="shared" si="62"/>
        <v>473.49022753006699</v>
      </c>
      <c r="K75" s="69">
        <f t="shared" si="62"/>
        <v>306.58670301344995</v>
      </c>
      <c r="L75" s="69">
        <f t="shared" si="62"/>
        <v>565.6014007927804</v>
      </c>
      <c r="M75" s="70">
        <f t="shared" si="62"/>
        <v>382.34296358463712</v>
      </c>
    </row>
    <row r="76" spans="2:13" x14ac:dyDescent="0.45">
      <c r="B76" s="72">
        <f t="shared" ref="B76:B82" si="63">B64</f>
        <v>40000000</v>
      </c>
      <c r="C76" s="69">
        <f t="shared" ref="C76:G76" si="64">C64+INDEX($C$11:$G$11,MATCH(C$74,$C$5:$G$5,0))</f>
        <v>780.6797837945544</v>
      </c>
      <c r="D76" s="69">
        <f t="shared" si="64"/>
        <v>803.01678660625339</v>
      </c>
      <c r="E76" s="69">
        <f t="shared" si="64"/>
        <v>582.81983992480752</v>
      </c>
      <c r="F76" s="69">
        <f t="shared" si="64"/>
        <v>974.6425301068964</v>
      </c>
      <c r="G76" s="70">
        <f t="shared" si="64"/>
        <v>671.76478992807176</v>
      </c>
      <c r="I76" s="69">
        <f t="shared" ref="I76:M76" si="65">I64+INDEX($C$11:$G$11,MATCH(I$74,$C$5:$G$5,0))</f>
        <v>629.39203431227952</v>
      </c>
      <c r="J76" s="69">
        <f t="shared" si="65"/>
        <v>641.59580903842084</v>
      </c>
      <c r="K76" s="69">
        <f t="shared" si="65"/>
        <v>447.50503215372544</v>
      </c>
      <c r="L76" s="69">
        <f t="shared" si="65"/>
        <v>774.27076297394979</v>
      </c>
      <c r="M76" s="70">
        <f t="shared" si="65"/>
        <v>529.98940687913409</v>
      </c>
    </row>
    <row r="77" spans="2:13" x14ac:dyDescent="0.45">
      <c r="B77" s="72">
        <f t="shared" si="63"/>
        <v>60000000</v>
      </c>
      <c r="C77" s="69">
        <f t="shared" ref="C77:G77" si="66">C65+INDEX($C$11:$G$11,MATCH(C$74,$C$5:$G$5,0))</f>
        <v>1013.8763848603776</v>
      </c>
      <c r="D77" s="69">
        <f t="shared" si="66"/>
        <v>1051.8328568985232</v>
      </c>
      <c r="E77" s="69">
        <f t="shared" si="66"/>
        <v>791.39557295062411</v>
      </c>
      <c r="F77" s="69">
        <f t="shared" si="66"/>
        <v>1283.4977758545392</v>
      </c>
      <c r="G77" s="70">
        <f t="shared" si="66"/>
        <v>890.29892474703729</v>
      </c>
      <c r="I77" s="69">
        <f t="shared" ref="I77:M77" si="67">I65+INDEX($C$11:$G$11,MATCH(I$74,$C$5:$G$5,0))</f>
        <v>786.94476063696538</v>
      </c>
      <c r="J77" s="69">
        <f t="shared" si="67"/>
        <v>809.70139054677452</v>
      </c>
      <c r="K77" s="69">
        <f t="shared" si="67"/>
        <v>588.4233612940011</v>
      </c>
      <c r="L77" s="69">
        <f t="shared" si="67"/>
        <v>982.94012515511895</v>
      </c>
      <c r="M77" s="70">
        <f t="shared" si="67"/>
        <v>677.63585017363107</v>
      </c>
    </row>
    <row r="78" spans="2:13" x14ac:dyDescent="0.45">
      <c r="B78" s="72">
        <f t="shared" si="63"/>
        <v>80000000</v>
      </c>
      <c r="C78" s="69">
        <f t="shared" ref="C78:G78" si="68">C66+INDEX($C$11:$G$11,MATCH(C$74,$C$5:$G$5,0))</f>
        <v>1247.0729859262005</v>
      </c>
      <c r="D78" s="69">
        <f t="shared" si="68"/>
        <v>1300.6489271907935</v>
      </c>
      <c r="E78" s="69">
        <f t="shared" si="68"/>
        <v>999.9713059764407</v>
      </c>
      <c r="F78" s="69">
        <f t="shared" si="68"/>
        <v>1592.3530216021818</v>
      </c>
      <c r="G78" s="70">
        <f t="shared" si="68"/>
        <v>1108.8330595660034</v>
      </c>
      <c r="I78" s="69">
        <f t="shared" ref="I78:M78" si="69">I66+INDEX($C$11:$G$11,MATCH(I$74,$C$5:$G$5,0))</f>
        <v>944.49748696165102</v>
      </c>
      <c r="J78" s="69">
        <f t="shared" si="69"/>
        <v>977.80697205512843</v>
      </c>
      <c r="K78" s="69">
        <f t="shared" si="69"/>
        <v>729.34169043427653</v>
      </c>
      <c r="L78" s="69">
        <f t="shared" si="69"/>
        <v>1191.6094873362886</v>
      </c>
      <c r="M78" s="70">
        <f t="shared" si="69"/>
        <v>825.28229346812805</v>
      </c>
    </row>
    <row r="79" spans="2:13" x14ac:dyDescent="0.45">
      <c r="B79" s="72">
        <f t="shared" si="63"/>
        <v>100000000</v>
      </c>
      <c r="C79" s="69">
        <f t="shared" ref="C79:G79" si="70">C67+INDEX($C$11:$G$11,MATCH(C$74,$C$5:$G$5,0))</f>
        <v>1480.2695869920237</v>
      </c>
      <c r="D79" s="69">
        <f t="shared" si="70"/>
        <v>1549.4649974830634</v>
      </c>
      <c r="E79" s="69">
        <f t="shared" si="70"/>
        <v>1208.5470390022574</v>
      </c>
      <c r="F79" s="69">
        <f t="shared" si="70"/>
        <v>1901.2082673498246</v>
      </c>
      <c r="G79" s="70">
        <f t="shared" si="70"/>
        <v>1327.367194384969</v>
      </c>
      <c r="I79" s="69">
        <f t="shared" ref="I79:M79" si="71">I67+INDEX($C$11:$G$11,MATCH(I$74,$C$5:$G$5,0))</f>
        <v>1102.0502132863367</v>
      </c>
      <c r="J79" s="69">
        <f t="shared" si="71"/>
        <v>1145.9125535634821</v>
      </c>
      <c r="K79" s="69">
        <f t="shared" si="71"/>
        <v>870.26001957455208</v>
      </c>
      <c r="L79" s="69">
        <f t="shared" si="71"/>
        <v>1400.2788495174577</v>
      </c>
      <c r="M79" s="70">
        <f t="shared" si="71"/>
        <v>972.92873676262502</v>
      </c>
    </row>
    <row r="80" spans="2:13" x14ac:dyDescent="0.45">
      <c r="B80" s="72">
        <f t="shared" si="63"/>
        <v>120000000</v>
      </c>
      <c r="C80" s="69">
        <f t="shared" ref="C80:G80" si="72">C68+INDEX($C$11:$G$11,MATCH(C$74,$C$5:$G$5,0))</f>
        <v>1713.4661880578469</v>
      </c>
      <c r="D80" s="69">
        <f t="shared" si="72"/>
        <v>1798.2810677753334</v>
      </c>
      <c r="E80" s="69">
        <f t="shared" si="72"/>
        <v>1417.1227720280738</v>
      </c>
      <c r="F80" s="69">
        <f t="shared" si="72"/>
        <v>2210.0635130974674</v>
      </c>
      <c r="G80" s="70">
        <f t="shared" si="72"/>
        <v>1545.9013292039344</v>
      </c>
      <c r="I80" s="69">
        <f t="shared" ref="I80:M80" si="73">I68+INDEX($C$11:$G$11,MATCH(I$74,$C$5:$G$5,0))</f>
        <v>1259.6029396110225</v>
      </c>
      <c r="J80" s="69">
        <f t="shared" si="73"/>
        <v>1314.0181350718358</v>
      </c>
      <c r="K80" s="69">
        <f t="shared" si="73"/>
        <v>1011.1783487148277</v>
      </c>
      <c r="L80" s="69">
        <f t="shared" si="73"/>
        <v>1608.9482116986269</v>
      </c>
      <c r="M80" s="70">
        <f t="shared" si="73"/>
        <v>1120.575180057122</v>
      </c>
    </row>
    <row r="81" spans="2:13" x14ac:dyDescent="0.45">
      <c r="B81" s="72">
        <f t="shared" si="63"/>
        <v>140000000</v>
      </c>
      <c r="C81" s="69">
        <f t="shared" ref="C81:G81" si="74">C69+INDEX($C$11:$G$11,MATCH(C$74,$C$5:$G$5,0))</f>
        <v>1946.6627891236703</v>
      </c>
      <c r="D81" s="69">
        <f t="shared" si="74"/>
        <v>2047.0971380676035</v>
      </c>
      <c r="E81" s="69">
        <f t="shared" si="74"/>
        <v>1625.6985050538904</v>
      </c>
      <c r="F81" s="69">
        <f t="shared" si="74"/>
        <v>2518.91875884511</v>
      </c>
      <c r="G81" s="70">
        <f t="shared" si="74"/>
        <v>1764.4354640229005</v>
      </c>
      <c r="I81" s="69">
        <f t="shared" ref="I81:M81" si="75">I69+INDEX($C$11:$G$11,MATCH(I$74,$C$5:$G$5,0))</f>
        <v>1417.1556659357082</v>
      </c>
      <c r="J81" s="69">
        <f t="shared" si="75"/>
        <v>1482.1237165801897</v>
      </c>
      <c r="K81" s="69">
        <f t="shared" si="75"/>
        <v>1152.0966778551031</v>
      </c>
      <c r="L81" s="69">
        <f t="shared" si="75"/>
        <v>1817.6175738797967</v>
      </c>
      <c r="M81" s="70">
        <f t="shared" si="75"/>
        <v>1268.2216233516187</v>
      </c>
    </row>
    <row r="82" spans="2:13" x14ac:dyDescent="0.45">
      <c r="B82" s="72">
        <f t="shared" si="63"/>
        <v>160000000</v>
      </c>
      <c r="C82" s="69">
        <f t="shared" ref="C82:G82" si="76">C70+INDEX($C$11:$G$11,MATCH(C$74,$C$5:$G$5,0))</f>
        <v>2179.8593901894928</v>
      </c>
      <c r="D82" s="69">
        <f t="shared" si="76"/>
        <v>2295.9132083598738</v>
      </c>
      <c r="E82" s="69">
        <f t="shared" si="76"/>
        <v>1834.2742380797069</v>
      </c>
      <c r="F82" s="69">
        <f t="shared" si="76"/>
        <v>2827.7740045927526</v>
      </c>
      <c r="G82" s="70">
        <f t="shared" si="76"/>
        <v>1982.9695988418664</v>
      </c>
      <c r="I82" s="69">
        <f t="shared" ref="I82:M82" si="77">I70+INDEX($C$11:$G$11,MATCH(I$74,$C$5:$G$5,0))</f>
        <v>1574.7083922603938</v>
      </c>
      <c r="J82" s="69">
        <f t="shared" si="77"/>
        <v>1650.2292980885436</v>
      </c>
      <c r="K82" s="69">
        <f t="shared" si="77"/>
        <v>1293.0150069953786</v>
      </c>
      <c r="L82" s="69">
        <f t="shared" si="77"/>
        <v>2026.2869360609659</v>
      </c>
      <c r="M82" s="70">
        <f t="shared" si="77"/>
        <v>1415.8680666461157</v>
      </c>
    </row>
    <row r="84" spans="2:13" x14ac:dyDescent="0.45">
      <c r="B84" s="19" t="s">
        <v>117</v>
      </c>
    </row>
    <row r="85" spans="2:13" x14ac:dyDescent="0.45">
      <c r="B85" s="21" t="s">
        <v>118</v>
      </c>
    </row>
    <row r="86" spans="2:13" x14ac:dyDescent="0.45">
      <c r="B86" s="21" t="s">
        <v>119</v>
      </c>
    </row>
    <row r="87" spans="2:13" x14ac:dyDescent="0.45">
      <c r="B87" s="21" t="s">
        <v>128</v>
      </c>
    </row>
    <row r="88" spans="2:13" x14ac:dyDescent="0.45">
      <c r="B88" s="21" t="s">
        <v>120</v>
      </c>
    </row>
    <row r="89" spans="2:13" x14ac:dyDescent="0.45">
      <c r="B89" s="21" t="s">
        <v>121</v>
      </c>
    </row>
  </sheetData>
  <mergeCells count="10">
    <mergeCell ref="C61:G61"/>
    <mergeCell ref="I61:M61"/>
    <mergeCell ref="C73:G73"/>
    <mergeCell ref="I73:M73"/>
    <mergeCell ref="C25:G25"/>
    <mergeCell ref="I25:M25"/>
    <mergeCell ref="C37:G37"/>
    <mergeCell ref="I37:M37"/>
    <mergeCell ref="C49:G49"/>
    <mergeCell ref="I49:M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CAA1-B838-4C15-9ED5-F8671FDB15A6}">
  <dimension ref="A2:Z41"/>
  <sheetViews>
    <sheetView topLeftCell="A5" workbookViewId="0">
      <selection activeCell="D12" sqref="D12"/>
    </sheetView>
  </sheetViews>
  <sheetFormatPr defaultRowHeight="14.25" x14ac:dyDescent="0.45"/>
  <cols>
    <col min="1" max="1" width="2.6640625" style="8" customWidth="1"/>
    <col min="2" max="2" width="33.796875" style="8" customWidth="1"/>
    <col min="3" max="5" width="19.53125" style="8" customWidth="1"/>
    <col min="6" max="26" width="9.06640625" style="8"/>
  </cols>
  <sheetData>
    <row r="2" spans="2:5" ht="15.4" x14ac:dyDescent="0.45">
      <c r="B2" s="20" t="s">
        <v>66</v>
      </c>
    </row>
    <row r="3" spans="2:5" x14ac:dyDescent="0.45">
      <c r="B3" s="21" t="s">
        <v>67</v>
      </c>
    </row>
    <row r="4" spans="2:5" x14ac:dyDescent="0.45">
      <c r="B4" s="21" t="s">
        <v>68</v>
      </c>
    </row>
    <row r="5" spans="2:5" x14ac:dyDescent="0.45">
      <c r="B5" s="41">
        <v>46290</v>
      </c>
    </row>
    <row r="7" spans="2:5" x14ac:dyDescent="0.45">
      <c r="B7" s="42" t="s">
        <v>69</v>
      </c>
      <c r="C7" s="42" t="s">
        <v>70</v>
      </c>
      <c r="D7" s="42" t="s">
        <v>71</v>
      </c>
      <c r="E7" s="42" t="s">
        <v>72</v>
      </c>
    </row>
    <row r="8" spans="2:5" x14ac:dyDescent="0.45">
      <c r="B8" s="47" t="s">
        <v>40</v>
      </c>
      <c r="C8" s="49">
        <v>135000000</v>
      </c>
      <c r="D8" s="49">
        <v>135000000</v>
      </c>
      <c r="E8" s="49">
        <f>C8-D8</f>
        <v>0</v>
      </c>
    </row>
    <row r="9" spans="2:5" x14ac:dyDescent="0.45">
      <c r="B9" s="47" t="s">
        <v>23</v>
      </c>
      <c r="C9" s="29">
        <v>46891</v>
      </c>
      <c r="D9" s="29">
        <v>46891</v>
      </c>
      <c r="E9" s="27" t="s">
        <v>73</v>
      </c>
    </row>
    <row r="10" spans="2:5" x14ac:dyDescent="0.45">
      <c r="B10" s="47" t="s">
        <v>74</v>
      </c>
      <c r="C10" s="29">
        <v>50345</v>
      </c>
      <c r="D10" s="29">
        <v>53997</v>
      </c>
      <c r="E10" s="27" t="s">
        <v>73</v>
      </c>
    </row>
    <row r="11" spans="2:5" x14ac:dyDescent="0.45">
      <c r="B11" s="47" t="s">
        <v>75</v>
      </c>
      <c r="C11" s="36">
        <v>4.1360000000000001E-2</v>
      </c>
      <c r="D11" s="36">
        <v>4.7480000000000001E-2</v>
      </c>
      <c r="E11" s="36">
        <f>C11-D11</f>
        <v>-6.1200000000000004E-3</v>
      </c>
    </row>
    <row r="12" spans="2:5" x14ac:dyDescent="0.45">
      <c r="B12" s="47" t="s">
        <v>76</v>
      </c>
      <c r="C12" s="33">
        <v>4.9530000000000003</v>
      </c>
      <c r="D12" s="33">
        <v>9.9529999999999994</v>
      </c>
      <c r="E12" s="33">
        <f>D12-C12</f>
        <v>4.9999999999999991</v>
      </c>
    </row>
    <row r="13" spans="2:5" x14ac:dyDescent="0.45">
      <c r="B13" s="47" t="s">
        <v>42</v>
      </c>
      <c r="C13" s="49">
        <v>27713622</v>
      </c>
      <c r="D13" s="49">
        <v>64365450</v>
      </c>
      <c r="E13" s="49">
        <f>C13-D13</f>
        <v>-36651828</v>
      </c>
    </row>
    <row r="14" spans="2:5" x14ac:dyDescent="0.45">
      <c r="B14" s="47" t="s">
        <v>46</v>
      </c>
      <c r="C14" s="49">
        <v>162713622</v>
      </c>
      <c r="D14" s="49">
        <v>199365450</v>
      </c>
      <c r="E14" s="49">
        <f>C14-D14</f>
        <v>-36651828</v>
      </c>
    </row>
    <row r="15" spans="2:5" x14ac:dyDescent="0.45">
      <c r="B15" s="47" t="s">
        <v>48</v>
      </c>
      <c r="C15" s="49">
        <v>16271362</v>
      </c>
      <c r="D15" s="49">
        <v>9968273</v>
      </c>
      <c r="E15" s="49">
        <f>C15-D15</f>
        <v>6303089</v>
      </c>
    </row>
    <row r="16" spans="2:5" x14ac:dyDescent="0.45">
      <c r="B16" s="47"/>
      <c r="C16" s="27"/>
      <c r="D16" s="27"/>
      <c r="E16" s="27"/>
    </row>
    <row r="17" spans="2:5" x14ac:dyDescent="0.45">
      <c r="B17" s="46" t="s">
        <v>77</v>
      </c>
      <c r="C17" s="28" t="s">
        <v>70</v>
      </c>
      <c r="D17" s="28" t="s">
        <v>71</v>
      </c>
      <c r="E17" s="28" t="s">
        <v>72</v>
      </c>
    </row>
    <row r="18" spans="2:5" x14ac:dyDescent="0.45">
      <c r="B18" s="47" t="s">
        <v>78</v>
      </c>
      <c r="C18" s="49">
        <v>18400647</v>
      </c>
      <c r="D18" s="49">
        <v>12393825</v>
      </c>
      <c r="E18" s="49">
        <f>C18-D18</f>
        <v>6006822</v>
      </c>
    </row>
    <row r="19" spans="2:5" x14ac:dyDescent="0.45">
      <c r="B19" s="47" t="s">
        <v>79</v>
      </c>
      <c r="C19" s="49">
        <v>18160200</v>
      </c>
      <c r="D19" s="49">
        <v>12431880</v>
      </c>
      <c r="E19" s="49">
        <f>C19-D19</f>
        <v>5728320</v>
      </c>
    </row>
    <row r="20" spans="2:5" x14ac:dyDescent="0.45">
      <c r="B20" s="47" t="s">
        <v>80</v>
      </c>
      <c r="C20" s="49">
        <v>17655300</v>
      </c>
      <c r="D20" s="49">
        <v>12179430</v>
      </c>
      <c r="E20" s="49">
        <f>C20-D20</f>
        <v>5475870</v>
      </c>
    </row>
    <row r="21" spans="2:5" x14ac:dyDescent="0.45">
      <c r="B21" s="47" t="s">
        <v>81</v>
      </c>
      <c r="C21" s="49">
        <v>17140950</v>
      </c>
      <c r="D21" s="49">
        <v>11922255</v>
      </c>
      <c r="E21" s="49">
        <f>C21-D21</f>
        <v>5218695</v>
      </c>
    </row>
    <row r="22" spans="2:5" x14ac:dyDescent="0.45">
      <c r="B22" s="47" t="s">
        <v>82</v>
      </c>
      <c r="C22" s="49">
        <v>16615125</v>
      </c>
      <c r="D22" s="49">
        <v>11659343</v>
      </c>
      <c r="E22" s="49">
        <f>C22-D22</f>
        <v>4955782</v>
      </c>
    </row>
    <row r="23" spans="2:5" x14ac:dyDescent="0.45">
      <c r="B23" s="47" t="s">
        <v>83</v>
      </c>
      <c r="C23" s="49">
        <v>16075125</v>
      </c>
      <c r="D23" s="49">
        <v>11389343</v>
      </c>
      <c r="E23" s="49">
        <f>C23-D23</f>
        <v>4685782</v>
      </c>
    </row>
    <row r="24" spans="2:5" x14ac:dyDescent="0.45">
      <c r="B24" s="47" t="s">
        <v>84</v>
      </c>
      <c r="C24" s="49">
        <v>15522975</v>
      </c>
      <c r="D24" s="49">
        <v>11113268</v>
      </c>
      <c r="E24" s="49">
        <f>C24-D24</f>
        <v>4409707</v>
      </c>
    </row>
    <row r="25" spans="2:5" x14ac:dyDescent="0.45">
      <c r="B25" s="47" t="s">
        <v>85</v>
      </c>
      <c r="C25" s="49">
        <v>14960025</v>
      </c>
      <c r="D25" s="49">
        <v>10831793</v>
      </c>
      <c r="E25" s="49">
        <f>C25-D25</f>
        <v>4128232</v>
      </c>
    </row>
    <row r="26" spans="2:5" x14ac:dyDescent="0.45">
      <c r="B26" s="47" t="s">
        <v>86</v>
      </c>
      <c r="C26" s="49">
        <v>14385600</v>
      </c>
      <c r="D26" s="49">
        <v>10544580</v>
      </c>
      <c r="E26" s="49">
        <f>C26-D26</f>
        <v>3841020</v>
      </c>
    </row>
    <row r="27" spans="2:5" x14ac:dyDescent="0.45">
      <c r="B27" s="47" t="s">
        <v>87</v>
      </c>
      <c r="C27" s="49">
        <v>13797675</v>
      </c>
      <c r="D27" s="49">
        <v>10250618</v>
      </c>
      <c r="E27" s="49">
        <f>C27-D27</f>
        <v>3547057</v>
      </c>
    </row>
    <row r="28" spans="2:5" x14ac:dyDescent="0.45">
      <c r="B28" s="47" t="s">
        <v>88</v>
      </c>
      <c r="C28" s="49">
        <v>0</v>
      </c>
      <c r="D28" s="49">
        <v>9948893</v>
      </c>
      <c r="E28" s="49">
        <f>C28-D28</f>
        <v>-9948893</v>
      </c>
    </row>
    <row r="29" spans="2:5" x14ac:dyDescent="0.45">
      <c r="B29" s="47" t="s">
        <v>89</v>
      </c>
      <c r="C29" s="49">
        <v>0</v>
      </c>
      <c r="D29" s="49">
        <v>9637211</v>
      </c>
      <c r="E29" s="49">
        <f>C29-D29</f>
        <v>-9637211</v>
      </c>
    </row>
    <row r="30" spans="2:5" x14ac:dyDescent="0.45">
      <c r="B30" s="47" t="s">
        <v>90</v>
      </c>
      <c r="C30" s="49">
        <v>0</v>
      </c>
      <c r="D30" s="49">
        <v>9315405</v>
      </c>
      <c r="E30" s="49">
        <f>C30-D30</f>
        <v>-9315405</v>
      </c>
    </row>
    <row r="31" spans="2:5" x14ac:dyDescent="0.45">
      <c r="B31" s="47" t="s">
        <v>91</v>
      </c>
      <c r="C31" s="49">
        <v>0</v>
      </c>
      <c r="D31" s="49">
        <v>8986208</v>
      </c>
      <c r="E31" s="49">
        <f>C31-D31</f>
        <v>-8986208</v>
      </c>
    </row>
    <row r="32" spans="2:5" x14ac:dyDescent="0.45">
      <c r="B32" s="47" t="s">
        <v>92</v>
      </c>
      <c r="C32" s="49">
        <v>0</v>
      </c>
      <c r="D32" s="49">
        <v>8651509</v>
      </c>
      <c r="E32" s="49">
        <f>C32-D32</f>
        <v>-8651509</v>
      </c>
    </row>
    <row r="33" spans="2:5" x14ac:dyDescent="0.45">
      <c r="B33" s="47" t="s">
        <v>93</v>
      </c>
      <c r="C33" s="49">
        <v>0</v>
      </c>
      <c r="D33" s="49">
        <v>8312423</v>
      </c>
      <c r="E33" s="49">
        <f>C33-D33</f>
        <v>-8312423</v>
      </c>
    </row>
    <row r="34" spans="2:5" x14ac:dyDescent="0.45">
      <c r="B34" s="47" t="s">
        <v>94</v>
      </c>
      <c r="C34" s="49">
        <v>0</v>
      </c>
      <c r="D34" s="49">
        <v>7969860</v>
      </c>
      <c r="E34" s="49">
        <f>C34-D34</f>
        <v>-7969860</v>
      </c>
    </row>
    <row r="35" spans="2:5" x14ac:dyDescent="0.45">
      <c r="B35" s="47" t="s">
        <v>95</v>
      </c>
      <c r="C35" s="49">
        <v>0</v>
      </c>
      <c r="D35" s="49">
        <v>7624598</v>
      </c>
      <c r="E35" s="49">
        <f>C35-D35</f>
        <v>-7624598</v>
      </c>
    </row>
    <row r="36" spans="2:5" x14ac:dyDescent="0.45">
      <c r="B36" s="47" t="s">
        <v>96</v>
      </c>
      <c r="C36" s="49">
        <v>0</v>
      </c>
      <c r="D36" s="49">
        <v>7276838</v>
      </c>
      <c r="E36" s="49">
        <f>C36-D36</f>
        <v>-7276838</v>
      </c>
    </row>
    <row r="37" spans="2:5" x14ac:dyDescent="0.45">
      <c r="B37" s="47" t="s">
        <v>97</v>
      </c>
      <c r="C37" s="49">
        <v>0</v>
      </c>
      <c r="D37" s="49">
        <v>6926175</v>
      </c>
      <c r="E37" s="49">
        <f>C37-D37</f>
        <v>-6926175</v>
      </c>
    </row>
    <row r="38" spans="2:5" x14ac:dyDescent="0.45">
      <c r="B38" s="48" t="s">
        <v>56</v>
      </c>
      <c r="C38" s="50">
        <f>SUM(C18:C37)</f>
        <v>162713622</v>
      </c>
      <c r="D38" s="50">
        <f>SUM(D18:D37)</f>
        <v>199365455</v>
      </c>
      <c r="E38" s="50">
        <f>SUM(E18:E37)</f>
        <v>-36651833</v>
      </c>
    </row>
    <row r="40" spans="2:5" x14ac:dyDescent="0.45">
      <c r="B40" s="45" t="s">
        <v>98</v>
      </c>
    </row>
    <row r="41" spans="2:5" x14ac:dyDescent="0.45">
      <c r="B41" s="45" t="s">
        <v>99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91CC-13BB-4A5D-96E4-C49E370C1658}">
  <dimension ref="A2:Z87"/>
  <sheetViews>
    <sheetView workbookViewId="0"/>
  </sheetViews>
  <sheetFormatPr defaultRowHeight="14.25" x14ac:dyDescent="0.45"/>
  <cols>
    <col min="1" max="1" width="2.6640625" style="8" customWidth="1"/>
    <col min="2" max="2" width="40.86328125" style="8" customWidth="1"/>
    <col min="3" max="6" width="18.6640625" style="27" customWidth="1"/>
    <col min="7" max="26" width="9.06640625" style="8"/>
  </cols>
  <sheetData>
    <row r="2" spans="2:6" ht="15.4" x14ac:dyDescent="0.45">
      <c r="B2" s="20" t="s">
        <v>19</v>
      </c>
    </row>
    <row r="3" spans="2:6" x14ac:dyDescent="0.45">
      <c r="B3" s="21" t="s">
        <v>20</v>
      </c>
    </row>
    <row r="4" spans="2:6" x14ac:dyDescent="0.45">
      <c r="B4" s="21" t="s">
        <v>21</v>
      </c>
    </row>
    <row r="6" spans="2:6" x14ac:dyDescent="0.45">
      <c r="B6" s="22" t="s">
        <v>22</v>
      </c>
      <c r="C6" s="28"/>
      <c r="D6" s="28"/>
      <c r="E6" s="28"/>
      <c r="F6" s="28"/>
    </row>
    <row r="7" spans="2:6" x14ac:dyDescent="0.45">
      <c r="B7" s="8" t="s">
        <v>23</v>
      </c>
      <c r="C7" s="29">
        <v>46891</v>
      </c>
    </row>
    <row r="8" spans="2:6" x14ac:dyDescent="0.45">
      <c r="B8" s="8" t="s">
        <v>24</v>
      </c>
      <c r="C8" s="29">
        <v>46891</v>
      </c>
    </row>
    <row r="9" spans="2:6" x14ac:dyDescent="0.45">
      <c r="B9" s="8" t="s">
        <v>25</v>
      </c>
      <c r="C9" s="30">
        <v>135000000</v>
      </c>
    </row>
    <row r="10" spans="2:6" x14ac:dyDescent="0.45">
      <c r="B10" s="19" t="s">
        <v>26</v>
      </c>
      <c r="C10" s="31">
        <f>C9</f>
        <v>135000000</v>
      </c>
    </row>
    <row r="11" spans="2:6" x14ac:dyDescent="0.45">
      <c r="B11" s="8" t="s">
        <v>27</v>
      </c>
      <c r="C11" s="30">
        <v>135000000</v>
      </c>
    </row>
    <row r="12" spans="2:6" x14ac:dyDescent="0.45">
      <c r="B12" s="19" t="s">
        <v>28</v>
      </c>
      <c r="C12" s="31">
        <f>C11</f>
        <v>135000000</v>
      </c>
    </row>
    <row r="14" spans="2:6" x14ac:dyDescent="0.45">
      <c r="B14" s="22" t="s">
        <v>29</v>
      </c>
      <c r="C14" s="28"/>
      <c r="D14" s="28"/>
      <c r="E14" s="28"/>
      <c r="F14" s="28"/>
    </row>
    <row r="15" spans="2:6" x14ac:dyDescent="0.45">
      <c r="B15" s="8" t="s">
        <v>23</v>
      </c>
      <c r="C15" s="29">
        <v>46891</v>
      </c>
    </row>
    <row r="16" spans="2:6" x14ac:dyDescent="0.45">
      <c r="B16" s="8" t="s">
        <v>24</v>
      </c>
      <c r="C16" s="29">
        <v>46891</v>
      </c>
    </row>
    <row r="17" spans="2:3" x14ac:dyDescent="0.45">
      <c r="B17" s="8" t="s">
        <v>30</v>
      </c>
      <c r="C17" s="29">
        <v>47058</v>
      </c>
    </row>
    <row r="18" spans="2:3" x14ac:dyDescent="0.45">
      <c r="B18" s="8" t="s">
        <v>31</v>
      </c>
      <c r="C18" s="29">
        <v>50345</v>
      </c>
    </row>
    <row r="19" spans="2:3" x14ac:dyDescent="0.45">
      <c r="B19" s="8" t="s">
        <v>32</v>
      </c>
      <c r="C19" s="32">
        <v>4.1355410000000002E-2</v>
      </c>
    </row>
    <row r="20" spans="2:3" x14ac:dyDescent="0.45">
      <c r="B20" s="8" t="s">
        <v>33</v>
      </c>
      <c r="C20" s="32">
        <v>4.1355410000000002E-2</v>
      </c>
    </row>
    <row r="21" spans="2:3" x14ac:dyDescent="0.45">
      <c r="B21" s="8" t="s">
        <v>34</v>
      </c>
      <c r="C21" s="32">
        <v>4.1448680000000002E-2</v>
      </c>
    </row>
    <row r="22" spans="2:3" x14ac:dyDescent="0.45">
      <c r="B22" s="8" t="s">
        <v>35</v>
      </c>
      <c r="C22" s="32">
        <v>4.1355410000000002E-2</v>
      </c>
    </row>
    <row r="23" spans="2:3" x14ac:dyDescent="0.45">
      <c r="B23" s="8" t="s">
        <v>36</v>
      </c>
      <c r="C23" s="32">
        <v>4.1448680000000002E-2</v>
      </c>
    </row>
    <row r="24" spans="2:3" x14ac:dyDescent="0.45">
      <c r="B24" s="8" t="s">
        <v>37</v>
      </c>
      <c r="C24" s="33">
        <v>4.9530000000000003</v>
      </c>
    </row>
    <row r="25" spans="2:3" x14ac:dyDescent="0.45">
      <c r="B25" s="8" t="s">
        <v>38</v>
      </c>
      <c r="C25" s="33">
        <v>4.9530000000000003</v>
      </c>
    </row>
    <row r="26" spans="2:3" x14ac:dyDescent="0.45">
      <c r="B26" s="8" t="s">
        <v>39</v>
      </c>
      <c r="C26" s="33">
        <v>4.399</v>
      </c>
    </row>
    <row r="27" spans="2:3" x14ac:dyDescent="0.45">
      <c r="B27" s="8" t="s">
        <v>40</v>
      </c>
      <c r="C27" s="30">
        <v>135000000</v>
      </c>
    </row>
    <row r="28" spans="2:3" x14ac:dyDescent="0.45">
      <c r="B28" s="8" t="s">
        <v>41</v>
      </c>
      <c r="C28" s="30">
        <v>135000000</v>
      </c>
    </row>
    <row r="29" spans="2:3" x14ac:dyDescent="0.45">
      <c r="B29" s="8" t="s">
        <v>42</v>
      </c>
      <c r="C29" s="30">
        <v>27713622.379999999</v>
      </c>
    </row>
    <row r="30" spans="2:3" x14ac:dyDescent="0.45">
      <c r="B30" s="8" t="s">
        <v>43</v>
      </c>
      <c r="C30" s="30">
        <v>27713622.379999999</v>
      </c>
    </row>
    <row r="31" spans="2:3" x14ac:dyDescent="0.45">
      <c r="B31" s="8" t="s">
        <v>44</v>
      </c>
      <c r="C31" s="30">
        <v>668625000</v>
      </c>
    </row>
    <row r="32" spans="2:3" x14ac:dyDescent="0.45">
      <c r="B32" s="8" t="s">
        <v>45</v>
      </c>
      <c r="C32" s="30">
        <v>668625000</v>
      </c>
    </row>
    <row r="33" spans="2:6" x14ac:dyDescent="0.45">
      <c r="B33" s="8" t="s">
        <v>46</v>
      </c>
      <c r="C33" s="30">
        <v>162713622.38</v>
      </c>
    </row>
    <row r="34" spans="2:6" x14ac:dyDescent="0.45">
      <c r="B34" s="8" t="s">
        <v>47</v>
      </c>
      <c r="C34" s="30">
        <v>18400647.379999999</v>
      </c>
    </row>
    <row r="35" spans="2:6" x14ac:dyDescent="0.45">
      <c r="B35" s="8" t="s">
        <v>48</v>
      </c>
      <c r="C35" s="30">
        <v>17213312.98</v>
      </c>
    </row>
    <row r="36" spans="2:6" x14ac:dyDescent="0.45">
      <c r="B36" s="8" t="s">
        <v>49</v>
      </c>
      <c r="C36" s="34">
        <v>100</v>
      </c>
    </row>
    <row r="38" spans="2:6" x14ac:dyDescent="0.45">
      <c r="B38" s="22" t="s">
        <v>50</v>
      </c>
      <c r="C38" s="28"/>
      <c r="D38" s="28"/>
      <c r="E38" s="28"/>
      <c r="F38" s="28"/>
    </row>
    <row r="39" spans="2:6" x14ac:dyDescent="0.45">
      <c r="B39" s="24" t="s">
        <v>51</v>
      </c>
      <c r="C39" s="35" t="s">
        <v>52</v>
      </c>
      <c r="D39" s="35" t="s">
        <v>53</v>
      </c>
      <c r="E39" s="35" t="s">
        <v>54</v>
      </c>
      <c r="F39" s="35" t="s">
        <v>55</v>
      </c>
    </row>
    <row r="40" spans="2:6" x14ac:dyDescent="0.45">
      <c r="B40" s="23">
        <v>47058</v>
      </c>
      <c r="C40" s="30">
        <v>13500000</v>
      </c>
      <c r="D40" s="36">
        <v>3.6409999999999998E-2</v>
      </c>
      <c r="E40" s="36">
        <v>3.6409999999999998E-2</v>
      </c>
      <c r="F40" s="33">
        <v>100</v>
      </c>
    </row>
    <row r="41" spans="2:6" x14ac:dyDescent="0.45">
      <c r="B41" s="23">
        <v>47423</v>
      </c>
      <c r="C41" s="30">
        <v>13500000</v>
      </c>
      <c r="D41" s="36">
        <v>3.7000000000000005E-2</v>
      </c>
      <c r="E41" s="36">
        <v>3.7000000000000005E-2</v>
      </c>
      <c r="F41" s="33">
        <v>100</v>
      </c>
    </row>
    <row r="42" spans="2:6" x14ac:dyDescent="0.45">
      <c r="B42" s="23">
        <v>47788</v>
      </c>
      <c r="C42" s="30">
        <v>13500000</v>
      </c>
      <c r="D42" s="36">
        <v>3.78E-2</v>
      </c>
      <c r="E42" s="36">
        <v>3.78E-2</v>
      </c>
      <c r="F42" s="33">
        <v>100</v>
      </c>
    </row>
    <row r="43" spans="2:6" x14ac:dyDescent="0.45">
      <c r="B43" s="23">
        <v>48153</v>
      </c>
      <c r="C43" s="30">
        <v>13500000</v>
      </c>
      <c r="D43" s="36">
        <v>3.8399999999999997E-2</v>
      </c>
      <c r="E43" s="36">
        <v>3.8399999999999997E-2</v>
      </c>
      <c r="F43" s="33">
        <v>100</v>
      </c>
    </row>
    <row r="44" spans="2:6" x14ac:dyDescent="0.45">
      <c r="B44" s="23">
        <v>48519</v>
      </c>
      <c r="C44" s="30">
        <v>13500000</v>
      </c>
      <c r="D44" s="36">
        <v>3.95E-2</v>
      </c>
      <c r="E44" s="36">
        <v>3.95E-2</v>
      </c>
      <c r="F44" s="33">
        <v>100</v>
      </c>
    </row>
    <row r="45" spans="2:6" x14ac:dyDescent="0.45">
      <c r="B45" s="23">
        <v>48884</v>
      </c>
      <c r="C45" s="30">
        <v>13500000</v>
      </c>
      <c r="D45" s="36">
        <v>4.0500000000000001E-2</v>
      </c>
      <c r="E45" s="36">
        <v>4.0500000000000001E-2</v>
      </c>
      <c r="F45" s="33">
        <v>100</v>
      </c>
    </row>
    <row r="46" spans="2:6" x14ac:dyDescent="0.45">
      <c r="B46" s="23">
        <v>49249</v>
      </c>
      <c r="C46" s="30">
        <v>13500000</v>
      </c>
      <c r="D46" s="36">
        <v>4.1299999999999996E-2</v>
      </c>
      <c r="E46" s="36">
        <v>4.1299999999999996E-2</v>
      </c>
      <c r="F46" s="33">
        <v>100</v>
      </c>
    </row>
    <row r="47" spans="2:6" x14ac:dyDescent="0.45">
      <c r="B47" s="23">
        <v>49614</v>
      </c>
      <c r="C47" s="30">
        <v>13500000</v>
      </c>
      <c r="D47" s="36">
        <v>4.2099999999999999E-2</v>
      </c>
      <c r="E47" s="36">
        <v>4.2099999999999999E-2</v>
      </c>
      <c r="F47" s="33">
        <v>100</v>
      </c>
    </row>
    <row r="48" spans="2:6" x14ac:dyDescent="0.45">
      <c r="B48" s="23">
        <v>49980</v>
      </c>
      <c r="C48" s="30">
        <v>13500000</v>
      </c>
      <c r="D48" s="36">
        <v>4.2999999999999997E-2</v>
      </c>
      <c r="E48" s="36">
        <v>4.2999999999999997E-2</v>
      </c>
      <c r="F48" s="33">
        <v>100</v>
      </c>
    </row>
    <row r="49" spans="2:6" x14ac:dyDescent="0.45">
      <c r="B49" s="23">
        <v>50345</v>
      </c>
      <c r="C49" s="30">
        <v>13500000</v>
      </c>
      <c r="D49" s="36">
        <v>4.41E-2</v>
      </c>
      <c r="E49" s="36">
        <v>4.41E-2</v>
      </c>
      <c r="F49" s="33">
        <v>100</v>
      </c>
    </row>
    <row r="50" spans="2:6" x14ac:dyDescent="0.45">
      <c r="B50" s="25" t="s">
        <v>56</v>
      </c>
      <c r="C50" s="37">
        <f>SUM(C40:C49)</f>
        <v>135000000</v>
      </c>
      <c r="D50" s="38"/>
      <c r="E50" s="38"/>
      <c r="F50" s="38"/>
    </row>
    <row r="52" spans="2:6" x14ac:dyDescent="0.45">
      <c r="B52" s="22" t="s">
        <v>57</v>
      </c>
      <c r="C52" s="28"/>
      <c r="D52" s="28"/>
      <c r="E52" s="28"/>
      <c r="F52" s="28"/>
    </row>
    <row r="53" spans="2:6" x14ac:dyDescent="0.45">
      <c r="B53" s="24" t="s">
        <v>58</v>
      </c>
      <c r="C53" s="35" t="s">
        <v>59</v>
      </c>
      <c r="D53" s="35" t="s">
        <v>60</v>
      </c>
      <c r="E53" s="35" t="s">
        <v>61</v>
      </c>
      <c r="F53" s="35" t="s">
        <v>62</v>
      </c>
    </row>
    <row r="54" spans="2:6" x14ac:dyDescent="0.45">
      <c r="B54" s="23">
        <v>47299</v>
      </c>
      <c r="C54" s="30">
        <v>13500000</v>
      </c>
      <c r="D54" s="36">
        <v>3.6409999999999998E-2</v>
      </c>
      <c r="E54" s="30">
        <v>4900647.38</v>
      </c>
      <c r="F54" s="30">
        <f>C54+E54</f>
        <v>18400647.379999999</v>
      </c>
    </row>
    <row r="55" spans="2:6" x14ac:dyDescent="0.45">
      <c r="B55" s="23">
        <v>47664</v>
      </c>
      <c r="C55" s="30">
        <v>13500000</v>
      </c>
      <c r="D55" s="36">
        <v>3.7000000000000005E-2</v>
      </c>
      <c r="E55" s="30">
        <v>4660200</v>
      </c>
      <c r="F55" s="30">
        <f>C55+E55</f>
        <v>18160200</v>
      </c>
    </row>
    <row r="56" spans="2:6" x14ac:dyDescent="0.45">
      <c r="B56" s="23">
        <v>48029</v>
      </c>
      <c r="C56" s="30">
        <v>13500000</v>
      </c>
      <c r="D56" s="36">
        <v>3.78E-2</v>
      </c>
      <c r="E56" s="30">
        <v>4155300</v>
      </c>
      <c r="F56" s="30">
        <f>C56+E56</f>
        <v>17655300</v>
      </c>
    </row>
    <row r="57" spans="2:6" x14ac:dyDescent="0.45">
      <c r="B57" s="23">
        <v>48395</v>
      </c>
      <c r="C57" s="30">
        <v>13500000</v>
      </c>
      <c r="D57" s="36">
        <v>3.8399999999999997E-2</v>
      </c>
      <c r="E57" s="30">
        <v>3640950</v>
      </c>
      <c r="F57" s="30">
        <f>C57+E57</f>
        <v>17140950</v>
      </c>
    </row>
    <row r="58" spans="2:6" x14ac:dyDescent="0.45">
      <c r="B58" s="23">
        <v>48760</v>
      </c>
      <c r="C58" s="30">
        <v>13500000</v>
      </c>
      <c r="D58" s="36">
        <v>3.95E-2</v>
      </c>
      <c r="E58" s="30">
        <v>3115125</v>
      </c>
      <c r="F58" s="30">
        <f>C58+E58</f>
        <v>16615125</v>
      </c>
    </row>
    <row r="59" spans="2:6" x14ac:dyDescent="0.45">
      <c r="B59" s="23">
        <v>49125</v>
      </c>
      <c r="C59" s="30">
        <v>13500000</v>
      </c>
      <c r="D59" s="36">
        <v>4.0500000000000001E-2</v>
      </c>
      <c r="E59" s="30">
        <v>2575125</v>
      </c>
      <c r="F59" s="30">
        <f>C59+E59</f>
        <v>16075125</v>
      </c>
    </row>
    <row r="60" spans="2:6" x14ac:dyDescent="0.45">
      <c r="B60" s="23">
        <v>49490</v>
      </c>
      <c r="C60" s="30">
        <v>13500000</v>
      </c>
      <c r="D60" s="36">
        <v>4.1299999999999996E-2</v>
      </c>
      <c r="E60" s="30">
        <v>2022975</v>
      </c>
      <c r="F60" s="30">
        <f>C60+E60</f>
        <v>15522975</v>
      </c>
    </row>
    <row r="61" spans="2:6" x14ac:dyDescent="0.45">
      <c r="B61" s="23">
        <v>49856</v>
      </c>
      <c r="C61" s="30">
        <v>13500000</v>
      </c>
      <c r="D61" s="36">
        <v>4.2099999999999999E-2</v>
      </c>
      <c r="E61" s="30">
        <v>1460025</v>
      </c>
      <c r="F61" s="30">
        <f>C61+E61</f>
        <v>14960025</v>
      </c>
    </row>
    <row r="62" spans="2:6" x14ac:dyDescent="0.45">
      <c r="B62" s="23">
        <v>50221</v>
      </c>
      <c r="C62" s="30">
        <v>13500000</v>
      </c>
      <c r="D62" s="36">
        <v>4.2999999999999997E-2</v>
      </c>
      <c r="E62" s="30">
        <v>885600</v>
      </c>
      <c r="F62" s="30">
        <f>C62+E62</f>
        <v>14385600</v>
      </c>
    </row>
    <row r="63" spans="2:6" x14ac:dyDescent="0.45">
      <c r="B63" s="23">
        <v>50586</v>
      </c>
      <c r="C63" s="30">
        <v>13500000</v>
      </c>
      <c r="D63" s="36">
        <v>4.41E-2</v>
      </c>
      <c r="E63" s="30">
        <v>297675</v>
      </c>
      <c r="F63" s="30">
        <f>C63+E63</f>
        <v>13797675</v>
      </c>
    </row>
    <row r="64" spans="2:6" x14ac:dyDescent="0.45">
      <c r="B64" s="26" t="s">
        <v>56</v>
      </c>
      <c r="C64" s="39">
        <f>SUM(C54:C63)</f>
        <v>135000000</v>
      </c>
      <c r="D64" s="40"/>
      <c r="E64" s="39">
        <f>SUM(E54:E63)</f>
        <v>27713622.379999999</v>
      </c>
      <c r="F64" s="39">
        <f>SUM(F54:F63)</f>
        <v>162713622.38</v>
      </c>
    </row>
    <row r="66" spans="2:6" x14ac:dyDescent="0.45">
      <c r="B66" s="22" t="s">
        <v>63</v>
      </c>
      <c r="C66" s="28"/>
      <c r="D66" s="28"/>
      <c r="E66" s="28"/>
      <c r="F66" s="28"/>
    </row>
    <row r="67" spans="2:6" x14ac:dyDescent="0.45">
      <c r="B67" s="24" t="s">
        <v>64</v>
      </c>
      <c r="C67" s="35" t="s">
        <v>59</v>
      </c>
      <c r="D67" s="35" t="s">
        <v>60</v>
      </c>
      <c r="E67" s="35" t="s">
        <v>61</v>
      </c>
      <c r="F67" s="35" t="s">
        <v>62</v>
      </c>
    </row>
    <row r="68" spans="2:6" x14ac:dyDescent="0.45">
      <c r="B68" s="23">
        <v>47058</v>
      </c>
      <c r="C68" s="30">
        <v>13500000</v>
      </c>
      <c r="D68" s="36">
        <v>3.6409999999999998E-2</v>
      </c>
      <c r="E68" s="30">
        <v>2445672.38</v>
      </c>
      <c r="F68" s="30">
        <f>SUM(C68,E68)</f>
        <v>15945672.379999999</v>
      </c>
    </row>
    <row r="69" spans="2:6" x14ac:dyDescent="0.45">
      <c r="B69" s="23">
        <v>47239</v>
      </c>
      <c r="C69" s="30"/>
      <c r="D69" s="36"/>
      <c r="E69" s="30">
        <v>2454975</v>
      </c>
      <c r="F69" s="30">
        <f>SUM(C69,E69)</f>
        <v>2454975</v>
      </c>
    </row>
    <row r="70" spans="2:6" x14ac:dyDescent="0.45">
      <c r="B70" s="23">
        <v>47423</v>
      </c>
      <c r="C70" s="30">
        <v>13500000</v>
      </c>
      <c r="D70" s="36">
        <v>3.7000000000000005E-2</v>
      </c>
      <c r="E70" s="30">
        <v>2454975</v>
      </c>
      <c r="F70" s="30">
        <f>SUM(C70,E70)</f>
        <v>15954975</v>
      </c>
    </row>
    <row r="71" spans="2:6" x14ac:dyDescent="0.45">
      <c r="B71" s="23">
        <v>47604</v>
      </c>
      <c r="C71" s="30"/>
      <c r="D71" s="36"/>
      <c r="E71" s="30">
        <v>2205225</v>
      </c>
      <c r="F71" s="30">
        <f>SUM(C71,E71)</f>
        <v>2205225</v>
      </c>
    </row>
    <row r="72" spans="2:6" x14ac:dyDescent="0.45">
      <c r="B72" s="23">
        <v>47788</v>
      </c>
      <c r="C72" s="30">
        <v>13500000</v>
      </c>
      <c r="D72" s="36">
        <v>3.78E-2</v>
      </c>
      <c r="E72" s="30">
        <v>2205225</v>
      </c>
      <c r="F72" s="30">
        <f>SUM(C72,E72)</f>
        <v>15705225</v>
      </c>
    </row>
    <row r="73" spans="2:6" x14ac:dyDescent="0.45">
      <c r="B73" s="23">
        <v>47969</v>
      </c>
      <c r="C73" s="30"/>
      <c r="D73" s="36"/>
      <c r="E73" s="30">
        <v>1950075</v>
      </c>
      <c r="F73" s="30">
        <f>SUM(C73,E73)</f>
        <v>1950075</v>
      </c>
    </row>
    <row r="74" spans="2:6" x14ac:dyDescent="0.45">
      <c r="B74" s="23">
        <v>48153</v>
      </c>
      <c r="C74" s="30">
        <v>13500000</v>
      </c>
      <c r="D74" s="36">
        <v>3.8399999999999997E-2</v>
      </c>
      <c r="E74" s="30">
        <v>1950075</v>
      </c>
      <c r="F74" s="30">
        <f>SUM(C74,E74)</f>
        <v>15450075</v>
      </c>
    </row>
    <row r="75" spans="2:6" x14ac:dyDescent="0.45">
      <c r="B75" s="23">
        <v>48335</v>
      </c>
      <c r="C75" s="30"/>
      <c r="D75" s="36"/>
      <c r="E75" s="30">
        <v>1690875</v>
      </c>
      <c r="F75" s="30">
        <f>SUM(C75,E75)</f>
        <v>1690875</v>
      </c>
    </row>
    <row r="76" spans="2:6" x14ac:dyDescent="0.45">
      <c r="B76" s="23">
        <v>48519</v>
      </c>
      <c r="C76" s="30">
        <v>13500000</v>
      </c>
      <c r="D76" s="36">
        <v>3.95E-2</v>
      </c>
      <c r="E76" s="30">
        <v>1690875</v>
      </c>
      <c r="F76" s="30">
        <f>SUM(C76,E76)</f>
        <v>15190875</v>
      </c>
    </row>
    <row r="77" spans="2:6" x14ac:dyDescent="0.45">
      <c r="B77" s="23">
        <v>48700</v>
      </c>
      <c r="C77" s="30"/>
      <c r="D77" s="36"/>
      <c r="E77" s="30">
        <v>1424250</v>
      </c>
      <c r="F77" s="30">
        <f>SUM(C77,E77)</f>
        <v>1424250</v>
      </c>
    </row>
    <row r="78" spans="2:6" x14ac:dyDescent="0.45">
      <c r="B78" s="23">
        <v>48884</v>
      </c>
      <c r="C78" s="30">
        <v>13500000</v>
      </c>
      <c r="D78" s="36">
        <v>4.0500000000000001E-2</v>
      </c>
      <c r="E78" s="30">
        <v>1424250</v>
      </c>
      <c r="F78" s="30">
        <f>SUM(C78,E78)</f>
        <v>14924250</v>
      </c>
    </row>
    <row r="79" spans="2:6" x14ac:dyDescent="0.45">
      <c r="B79" s="23">
        <v>49065</v>
      </c>
      <c r="C79" s="30"/>
      <c r="D79" s="36"/>
      <c r="E79" s="30">
        <v>1150875</v>
      </c>
      <c r="F79" s="30">
        <f>SUM(C79,E79)</f>
        <v>1150875</v>
      </c>
    </row>
    <row r="80" spans="2:6" x14ac:dyDescent="0.45">
      <c r="B80" s="23">
        <v>49249</v>
      </c>
      <c r="C80" s="30">
        <v>13500000</v>
      </c>
      <c r="D80" s="36">
        <v>4.1299999999999996E-2</v>
      </c>
      <c r="E80" s="30">
        <v>1150875</v>
      </c>
      <c r="F80" s="30">
        <f>SUM(C80,E80)</f>
        <v>14650875</v>
      </c>
    </row>
    <row r="81" spans="2:6" x14ac:dyDescent="0.45">
      <c r="B81" s="23">
        <v>49430</v>
      </c>
      <c r="C81" s="30"/>
      <c r="D81" s="36"/>
      <c r="E81" s="30">
        <v>872100</v>
      </c>
      <c r="F81" s="30">
        <f>SUM(C81,E81)</f>
        <v>872100</v>
      </c>
    </row>
    <row r="82" spans="2:6" x14ac:dyDescent="0.45">
      <c r="B82" s="23">
        <v>49614</v>
      </c>
      <c r="C82" s="30">
        <v>13500000</v>
      </c>
      <c r="D82" s="36">
        <v>4.2099999999999999E-2</v>
      </c>
      <c r="E82" s="30">
        <v>872100</v>
      </c>
      <c r="F82" s="30">
        <f>SUM(C82,E82)</f>
        <v>14372100</v>
      </c>
    </row>
    <row r="83" spans="2:6" x14ac:dyDescent="0.45">
      <c r="B83" s="23">
        <v>49796</v>
      </c>
      <c r="C83" s="30"/>
      <c r="D83" s="36"/>
      <c r="E83" s="30">
        <v>587925</v>
      </c>
      <c r="F83" s="30">
        <f>SUM(C83,E83)</f>
        <v>587925</v>
      </c>
    </row>
    <row r="84" spans="2:6" x14ac:dyDescent="0.45">
      <c r="B84" s="23">
        <v>49980</v>
      </c>
      <c r="C84" s="30">
        <v>13500000</v>
      </c>
      <c r="D84" s="36">
        <v>4.2999999999999997E-2</v>
      </c>
      <c r="E84" s="30">
        <v>587925</v>
      </c>
      <c r="F84" s="30">
        <f>SUM(C84,E84)</f>
        <v>14087925</v>
      </c>
    </row>
    <row r="85" spans="2:6" x14ac:dyDescent="0.45">
      <c r="B85" s="23">
        <v>50161</v>
      </c>
      <c r="C85" s="30"/>
      <c r="D85" s="36"/>
      <c r="E85" s="30">
        <v>297675</v>
      </c>
      <c r="F85" s="30">
        <f>SUM(C85,E85)</f>
        <v>297675</v>
      </c>
    </row>
    <row r="86" spans="2:6" x14ac:dyDescent="0.45">
      <c r="B86" s="23">
        <v>50345</v>
      </c>
      <c r="C86" s="30">
        <v>13500000</v>
      </c>
      <c r="D86" s="36">
        <v>4.41E-2</v>
      </c>
      <c r="E86" s="30">
        <v>297675</v>
      </c>
      <c r="F86" s="30">
        <f>SUM(C86,E86)</f>
        <v>13797675</v>
      </c>
    </row>
    <row r="87" spans="2:6" x14ac:dyDescent="0.45">
      <c r="B87" s="26" t="s">
        <v>56</v>
      </c>
      <c r="C87" s="39">
        <f>SUM(C68:C86)</f>
        <v>135000000</v>
      </c>
      <c r="D87" s="40"/>
      <c r="E87" s="39">
        <f>SUM(E68:E86)</f>
        <v>27713622.379999999</v>
      </c>
      <c r="F87" s="39">
        <f>SUM(F68:F86)</f>
        <v>162713622.38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A5CA-AFF3-4922-8923-D0C8379BE8C6}">
  <dimension ref="A2:Z127"/>
  <sheetViews>
    <sheetView workbookViewId="0"/>
  </sheetViews>
  <sheetFormatPr defaultRowHeight="14.25" x14ac:dyDescent="0.45"/>
  <cols>
    <col min="1" max="1" width="2.6640625" style="8" customWidth="1"/>
    <col min="2" max="2" width="40.86328125" style="8" customWidth="1"/>
    <col min="3" max="6" width="18.6640625" style="27" customWidth="1"/>
    <col min="7" max="26" width="9.06640625" style="8"/>
  </cols>
  <sheetData>
    <row r="2" spans="2:6" ht="15.4" x14ac:dyDescent="0.45">
      <c r="B2" s="20" t="s">
        <v>65</v>
      </c>
    </row>
    <row r="3" spans="2:6" x14ac:dyDescent="0.45">
      <c r="B3" s="21" t="s">
        <v>20</v>
      </c>
    </row>
    <row r="4" spans="2:6" x14ac:dyDescent="0.45">
      <c r="B4" s="21" t="s">
        <v>21</v>
      </c>
    </row>
    <row r="6" spans="2:6" x14ac:dyDescent="0.45">
      <c r="B6" s="22" t="s">
        <v>22</v>
      </c>
      <c r="C6" s="28"/>
      <c r="D6" s="28"/>
      <c r="E6" s="28"/>
      <c r="F6" s="28"/>
    </row>
    <row r="7" spans="2:6" x14ac:dyDescent="0.45">
      <c r="B7" s="8" t="s">
        <v>23</v>
      </c>
      <c r="C7" s="29">
        <v>46891</v>
      </c>
    </row>
    <row r="8" spans="2:6" x14ac:dyDescent="0.45">
      <c r="B8" s="8" t="s">
        <v>24</v>
      </c>
      <c r="C8" s="29">
        <v>46891</v>
      </c>
    </row>
    <row r="9" spans="2:6" x14ac:dyDescent="0.45">
      <c r="B9" s="8" t="s">
        <v>25</v>
      </c>
      <c r="C9" s="30">
        <v>135000000</v>
      </c>
    </row>
    <row r="10" spans="2:6" x14ac:dyDescent="0.45">
      <c r="B10" s="19" t="s">
        <v>26</v>
      </c>
      <c r="C10" s="31">
        <f>C9</f>
        <v>135000000</v>
      </c>
    </row>
    <row r="11" spans="2:6" x14ac:dyDescent="0.45">
      <c r="B11" s="8" t="s">
        <v>27</v>
      </c>
      <c r="C11" s="30">
        <v>135000000</v>
      </c>
    </row>
    <row r="12" spans="2:6" x14ac:dyDescent="0.45">
      <c r="B12" s="19" t="s">
        <v>28</v>
      </c>
      <c r="C12" s="31">
        <f>C11</f>
        <v>135000000</v>
      </c>
    </row>
    <row r="14" spans="2:6" x14ac:dyDescent="0.45">
      <c r="B14" s="22" t="s">
        <v>29</v>
      </c>
      <c r="C14" s="28"/>
      <c r="D14" s="28"/>
      <c r="E14" s="28"/>
      <c r="F14" s="28"/>
    </row>
    <row r="15" spans="2:6" x14ac:dyDescent="0.45">
      <c r="B15" s="8" t="s">
        <v>23</v>
      </c>
      <c r="C15" s="29">
        <v>46891</v>
      </c>
    </row>
    <row r="16" spans="2:6" x14ac:dyDescent="0.45">
      <c r="B16" s="8" t="s">
        <v>24</v>
      </c>
      <c r="C16" s="29">
        <v>46891</v>
      </c>
    </row>
    <row r="17" spans="2:3" x14ac:dyDescent="0.45">
      <c r="B17" s="8" t="s">
        <v>30</v>
      </c>
      <c r="C17" s="29">
        <v>47058</v>
      </c>
    </row>
    <row r="18" spans="2:3" x14ac:dyDescent="0.45">
      <c r="B18" s="8" t="s">
        <v>31</v>
      </c>
      <c r="C18" s="29">
        <v>53997</v>
      </c>
    </row>
    <row r="19" spans="2:3" x14ac:dyDescent="0.45">
      <c r="B19" s="8" t="s">
        <v>32</v>
      </c>
      <c r="C19" s="32">
        <v>4.7476369999999997E-2</v>
      </c>
    </row>
    <row r="20" spans="2:3" x14ac:dyDescent="0.45">
      <c r="B20" s="8" t="s">
        <v>33</v>
      </c>
      <c r="C20" s="32">
        <v>4.7476369999999997E-2</v>
      </c>
    </row>
    <row r="21" spans="2:3" x14ac:dyDescent="0.45">
      <c r="B21" s="8" t="s">
        <v>34</v>
      </c>
      <c r="C21" s="32">
        <v>4.7904330000000002E-2</v>
      </c>
    </row>
    <row r="22" spans="2:3" x14ac:dyDescent="0.45">
      <c r="B22" s="8" t="s">
        <v>35</v>
      </c>
      <c r="C22" s="32">
        <v>4.7476369999999997E-2</v>
      </c>
    </row>
    <row r="23" spans="2:3" x14ac:dyDescent="0.45">
      <c r="B23" s="8" t="s">
        <v>36</v>
      </c>
      <c r="C23" s="32">
        <v>4.7904330000000002E-2</v>
      </c>
    </row>
    <row r="24" spans="2:3" x14ac:dyDescent="0.45">
      <c r="B24" s="8" t="s">
        <v>37</v>
      </c>
      <c r="C24" s="33">
        <v>9.9529999999999994</v>
      </c>
    </row>
    <row r="25" spans="2:3" x14ac:dyDescent="0.45">
      <c r="B25" s="8" t="s">
        <v>38</v>
      </c>
      <c r="C25" s="33">
        <v>9.9529999999999994</v>
      </c>
    </row>
    <row r="26" spans="2:3" x14ac:dyDescent="0.45">
      <c r="B26" s="8" t="s">
        <v>39</v>
      </c>
      <c r="C26" s="33">
        <v>7.6079999999999997</v>
      </c>
    </row>
    <row r="27" spans="2:3" x14ac:dyDescent="0.45">
      <c r="B27" s="8" t="s">
        <v>40</v>
      </c>
      <c r="C27" s="30">
        <v>135000000</v>
      </c>
    </row>
    <row r="28" spans="2:3" x14ac:dyDescent="0.45">
      <c r="B28" s="8" t="s">
        <v>41</v>
      </c>
      <c r="C28" s="30">
        <v>135000000</v>
      </c>
    </row>
    <row r="29" spans="2:3" x14ac:dyDescent="0.45">
      <c r="B29" s="8" t="s">
        <v>42</v>
      </c>
      <c r="C29" s="30">
        <v>64365450.189999998</v>
      </c>
    </row>
    <row r="30" spans="2:3" x14ac:dyDescent="0.45">
      <c r="B30" s="8" t="s">
        <v>43</v>
      </c>
      <c r="C30" s="30">
        <v>64365450.189999998</v>
      </c>
    </row>
    <row r="31" spans="2:3" x14ac:dyDescent="0.45">
      <c r="B31" s="8" t="s">
        <v>44</v>
      </c>
      <c r="C31" s="30">
        <v>1343625000</v>
      </c>
    </row>
    <row r="32" spans="2:3" x14ac:dyDescent="0.45">
      <c r="B32" s="8" t="s">
        <v>45</v>
      </c>
      <c r="C32" s="30">
        <v>1343625000</v>
      </c>
    </row>
    <row r="33" spans="2:6" x14ac:dyDescent="0.45">
      <c r="B33" s="8" t="s">
        <v>46</v>
      </c>
      <c r="C33" s="30">
        <v>199365450.19</v>
      </c>
    </row>
    <row r="34" spans="2:6" x14ac:dyDescent="0.45">
      <c r="B34" s="8" t="s">
        <v>47</v>
      </c>
      <c r="C34" s="30">
        <v>12431880</v>
      </c>
    </row>
    <row r="35" spans="2:6" x14ac:dyDescent="0.45">
      <c r="B35" s="8" t="s">
        <v>48</v>
      </c>
      <c r="C35" s="30">
        <v>10248688</v>
      </c>
    </row>
    <row r="36" spans="2:6" x14ac:dyDescent="0.45">
      <c r="B36" s="8" t="s">
        <v>49</v>
      </c>
      <c r="C36" s="34">
        <v>100</v>
      </c>
    </row>
    <row r="38" spans="2:6" x14ac:dyDescent="0.45">
      <c r="B38" s="22" t="s">
        <v>50</v>
      </c>
      <c r="C38" s="28"/>
      <c r="D38" s="28"/>
      <c r="E38" s="28"/>
      <c r="F38" s="28"/>
    </row>
    <row r="39" spans="2:6" x14ac:dyDescent="0.45">
      <c r="B39" s="24" t="s">
        <v>51</v>
      </c>
      <c r="C39" s="35" t="s">
        <v>52</v>
      </c>
      <c r="D39" s="35" t="s">
        <v>53</v>
      </c>
      <c r="E39" s="35" t="s">
        <v>54</v>
      </c>
      <c r="F39" s="35" t="s">
        <v>55</v>
      </c>
    </row>
    <row r="40" spans="2:6" x14ac:dyDescent="0.45">
      <c r="B40" s="23">
        <v>47058</v>
      </c>
      <c r="C40" s="30">
        <v>6750000</v>
      </c>
      <c r="D40" s="36">
        <v>3.6409999999999998E-2</v>
      </c>
      <c r="E40" s="36">
        <v>3.6409999999999998E-2</v>
      </c>
      <c r="F40" s="33">
        <v>100</v>
      </c>
    </row>
    <row r="41" spans="2:6" x14ac:dyDescent="0.45">
      <c r="B41" s="23">
        <v>47423</v>
      </c>
      <c r="C41" s="30">
        <v>6750000</v>
      </c>
      <c r="D41" s="36">
        <v>3.7000000000000005E-2</v>
      </c>
      <c r="E41" s="36">
        <v>3.7000000000000005E-2</v>
      </c>
      <c r="F41" s="33">
        <v>100</v>
      </c>
    </row>
    <row r="42" spans="2:6" x14ac:dyDescent="0.45">
      <c r="B42" s="23">
        <v>47788</v>
      </c>
      <c r="C42" s="30">
        <v>6750000</v>
      </c>
      <c r="D42" s="36">
        <v>3.78E-2</v>
      </c>
      <c r="E42" s="36">
        <v>3.78E-2</v>
      </c>
      <c r="F42" s="33">
        <v>100</v>
      </c>
    </row>
    <row r="43" spans="2:6" x14ac:dyDescent="0.45">
      <c r="B43" s="23">
        <v>48153</v>
      </c>
      <c r="C43" s="30">
        <v>6750000</v>
      </c>
      <c r="D43" s="36">
        <v>3.8399999999999997E-2</v>
      </c>
      <c r="E43" s="36">
        <v>3.8399999999999997E-2</v>
      </c>
      <c r="F43" s="33">
        <v>100</v>
      </c>
    </row>
    <row r="44" spans="2:6" x14ac:dyDescent="0.45">
      <c r="B44" s="23">
        <v>48519</v>
      </c>
      <c r="C44" s="30">
        <v>6750000</v>
      </c>
      <c r="D44" s="36">
        <v>3.95E-2</v>
      </c>
      <c r="E44" s="36">
        <v>3.95E-2</v>
      </c>
      <c r="F44" s="33">
        <v>100</v>
      </c>
    </row>
    <row r="45" spans="2:6" x14ac:dyDescent="0.45">
      <c r="B45" s="23">
        <v>48884</v>
      </c>
      <c r="C45" s="30">
        <v>6750000</v>
      </c>
      <c r="D45" s="36">
        <v>4.0500000000000001E-2</v>
      </c>
      <c r="E45" s="36">
        <v>4.0500000000000001E-2</v>
      </c>
      <c r="F45" s="33">
        <v>100</v>
      </c>
    </row>
    <row r="46" spans="2:6" x14ac:dyDescent="0.45">
      <c r="B46" s="23">
        <v>49249</v>
      </c>
      <c r="C46" s="30">
        <v>6750000</v>
      </c>
      <c r="D46" s="36">
        <v>4.1299999999999996E-2</v>
      </c>
      <c r="E46" s="36">
        <v>4.1299999999999996E-2</v>
      </c>
      <c r="F46" s="33">
        <v>100</v>
      </c>
    </row>
    <row r="47" spans="2:6" x14ac:dyDescent="0.45">
      <c r="B47" s="23">
        <v>49614</v>
      </c>
      <c r="C47" s="30">
        <v>6750000</v>
      </c>
      <c r="D47" s="36">
        <v>4.2099999999999999E-2</v>
      </c>
      <c r="E47" s="36">
        <v>4.2099999999999999E-2</v>
      </c>
      <c r="F47" s="33">
        <v>100</v>
      </c>
    </row>
    <row r="48" spans="2:6" x14ac:dyDescent="0.45">
      <c r="B48" s="23">
        <v>49980</v>
      </c>
      <c r="C48" s="30">
        <v>6750000</v>
      </c>
      <c r="D48" s="36">
        <v>4.2999999999999997E-2</v>
      </c>
      <c r="E48" s="36">
        <v>4.2999999999999997E-2</v>
      </c>
      <c r="F48" s="33">
        <v>100</v>
      </c>
    </row>
    <row r="49" spans="2:6" x14ac:dyDescent="0.45">
      <c r="B49" s="23">
        <v>50345</v>
      </c>
      <c r="C49" s="30">
        <v>6750000</v>
      </c>
      <c r="D49" s="36">
        <v>4.41E-2</v>
      </c>
      <c r="E49" s="36">
        <v>4.41E-2</v>
      </c>
      <c r="F49" s="33">
        <v>100</v>
      </c>
    </row>
    <row r="50" spans="2:6" x14ac:dyDescent="0.45">
      <c r="B50" s="23">
        <v>50710</v>
      </c>
      <c r="C50" s="30">
        <v>6750000</v>
      </c>
      <c r="D50" s="36">
        <v>4.53E-2</v>
      </c>
      <c r="E50" s="36">
        <v>4.53E-2</v>
      </c>
      <c r="F50" s="33">
        <v>100</v>
      </c>
    </row>
    <row r="51" spans="2:6" x14ac:dyDescent="0.45">
      <c r="B51" s="23">
        <v>51075</v>
      </c>
      <c r="C51" s="30">
        <v>6750000</v>
      </c>
      <c r="D51" s="36">
        <v>4.7050000000000002E-2</v>
      </c>
      <c r="E51" s="36">
        <v>4.7050000000000002E-2</v>
      </c>
      <c r="F51" s="33">
        <v>100</v>
      </c>
    </row>
    <row r="52" spans="2:6" x14ac:dyDescent="0.45">
      <c r="B52" s="23">
        <v>51441</v>
      </c>
      <c r="C52" s="30">
        <v>6750000</v>
      </c>
      <c r="D52" s="36">
        <v>4.8300000000000003E-2</v>
      </c>
      <c r="E52" s="36">
        <v>4.8300000000000003E-2</v>
      </c>
      <c r="F52" s="33">
        <v>100</v>
      </c>
    </row>
    <row r="53" spans="2:6" x14ac:dyDescent="0.45">
      <c r="B53" s="23">
        <v>51806</v>
      </c>
      <c r="C53" s="30">
        <v>6750000</v>
      </c>
      <c r="D53" s="36">
        <v>4.9240000000000006E-2</v>
      </c>
      <c r="E53" s="36">
        <v>4.9240000000000006E-2</v>
      </c>
      <c r="F53" s="33">
        <v>100</v>
      </c>
    </row>
    <row r="54" spans="2:6" x14ac:dyDescent="0.45">
      <c r="B54" s="23">
        <v>52171</v>
      </c>
      <c r="C54" s="30">
        <v>6750000</v>
      </c>
      <c r="D54" s="36">
        <v>4.9930000000000002E-2</v>
      </c>
      <c r="E54" s="36">
        <v>4.9930000000000002E-2</v>
      </c>
      <c r="F54" s="33">
        <v>100</v>
      </c>
    </row>
    <row r="55" spans="2:6" x14ac:dyDescent="0.45">
      <c r="B55" s="23">
        <v>52536</v>
      </c>
      <c r="C55" s="30">
        <v>6750000</v>
      </c>
      <c r="D55" s="36">
        <v>5.0540000000000002E-2</v>
      </c>
      <c r="E55" s="36">
        <v>5.0540000000000002E-2</v>
      </c>
      <c r="F55" s="33">
        <v>100</v>
      </c>
    </row>
    <row r="56" spans="2:6" x14ac:dyDescent="0.45">
      <c r="B56" s="23">
        <v>52902</v>
      </c>
      <c r="C56" s="30">
        <v>6750000</v>
      </c>
      <c r="D56" s="36">
        <v>5.0959999999999998E-2</v>
      </c>
      <c r="E56" s="36">
        <v>5.0959999999999998E-2</v>
      </c>
      <c r="F56" s="33">
        <v>100</v>
      </c>
    </row>
    <row r="57" spans="2:6" x14ac:dyDescent="0.45">
      <c r="B57" s="23">
        <v>53267</v>
      </c>
      <c r="C57" s="30">
        <v>6750000</v>
      </c>
      <c r="D57" s="36">
        <v>5.1340000000000004E-2</v>
      </c>
      <c r="E57" s="36">
        <v>5.1340000000000004E-2</v>
      </c>
      <c r="F57" s="33">
        <v>100</v>
      </c>
    </row>
    <row r="58" spans="2:6" x14ac:dyDescent="0.45">
      <c r="B58" s="23">
        <v>53632</v>
      </c>
      <c r="C58" s="30">
        <v>6750000</v>
      </c>
      <c r="D58" s="36">
        <v>5.1699999999999996E-2</v>
      </c>
      <c r="E58" s="36">
        <v>5.1699999999999996E-2</v>
      </c>
      <c r="F58" s="33">
        <v>100</v>
      </c>
    </row>
    <row r="59" spans="2:6" x14ac:dyDescent="0.45">
      <c r="B59" s="23">
        <v>53997</v>
      </c>
      <c r="C59" s="30">
        <v>6750000</v>
      </c>
      <c r="D59" s="36">
        <v>5.2199999999999996E-2</v>
      </c>
      <c r="E59" s="36">
        <v>5.2199999999999996E-2</v>
      </c>
      <c r="F59" s="33">
        <v>100</v>
      </c>
    </row>
    <row r="60" spans="2:6" x14ac:dyDescent="0.45">
      <c r="B60" s="25" t="s">
        <v>56</v>
      </c>
      <c r="C60" s="37">
        <f>SUM(C40:C59)</f>
        <v>135000000</v>
      </c>
      <c r="D60" s="38"/>
      <c r="E60" s="38"/>
      <c r="F60" s="38"/>
    </row>
    <row r="62" spans="2:6" x14ac:dyDescent="0.45">
      <c r="B62" s="22" t="s">
        <v>57</v>
      </c>
      <c r="C62" s="28"/>
      <c r="D62" s="28"/>
      <c r="E62" s="28"/>
      <c r="F62" s="28"/>
    </row>
    <row r="63" spans="2:6" x14ac:dyDescent="0.45">
      <c r="B63" s="24" t="s">
        <v>58</v>
      </c>
      <c r="C63" s="35" t="s">
        <v>59</v>
      </c>
      <c r="D63" s="35" t="s">
        <v>60</v>
      </c>
      <c r="E63" s="35" t="s">
        <v>61</v>
      </c>
      <c r="F63" s="35" t="s">
        <v>62</v>
      </c>
    </row>
    <row r="64" spans="2:6" x14ac:dyDescent="0.45">
      <c r="B64" s="23">
        <v>47299</v>
      </c>
      <c r="C64" s="30">
        <v>6750000</v>
      </c>
      <c r="D64" s="36">
        <v>3.6409999999999998E-2</v>
      </c>
      <c r="E64" s="30">
        <v>5643825.1900000004</v>
      </c>
      <c r="F64" s="30">
        <f>C64+E64</f>
        <v>12393825.190000001</v>
      </c>
    </row>
    <row r="65" spans="2:6" x14ac:dyDescent="0.45">
      <c r="B65" s="23">
        <v>47664</v>
      </c>
      <c r="C65" s="30">
        <v>6750000</v>
      </c>
      <c r="D65" s="36">
        <v>3.7000000000000005E-2</v>
      </c>
      <c r="E65" s="30">
        <v>5681880</v>
      </c>
      <c r="F65" s="30">
        <f>C65+E65</f>
        <v>12431880</v>
      </c>
    </row>
    <row r="66" spans="2:6" x14ac:dyDescent="0.45">
      <c r="B66" s="23">
        <v>48029</v>
      </c>
      <c r="C66" s="30">
        <v>6750000</v>
      </c>
      <c r="D66" s="36">
        <v>3.78E-2</v>
      </c>
      <c r="E66" s="30">
        <v>5429430</v>
      </c>
      <c r="F66" s="30">
        <f>C66+E66</f>
        <v>12179430</v>
      </c>
    </row>
    <row r="67" spans="2:6" x14ac:dyDescent="0.45">
      <c r="B67" s="23">
        <v>48395</v>
      </c>
      <c r="C67" s="30">
        <v>6750000</v>
      </c>
      <c r="D67" s="36">
        <v>3.8399999999999997E-2</v>
      </c>
      <c r="E67" s="30">
        <v>5172255</v>
      </c>
      <c r="F67" s="30">
        <f>C67+E67</f>
        <v>11922255</v>
      </c>
    </row>
    <row r="68" spans="2:6" x14ac:dyDescent="0.45">
      <c r="B68" s="23">
        <v>48760</v>
      </c>
      <c r="C68" s="30">
        <v>6750000</v>
      </c>
      <c r="D68" s="36">
        <v>3.95E-2</v>
      </c>
      <c r="E68" s="30">
        <v>4909342.5</v>
      </c>
      <c r="F68" s="30">
        <f>C68+E68</f>
        <v>11659342.5</v>
      </c>
    </row>
    <row r="69" spans="2:6" x14ac:dyDescent="0.45">
      <c r="B69" s="23">
        <v>49125</v>
      </c>
      <c r="C69" s="30">
        <v>6750000</v>
      </c>
      <c r="D69" s="36">
        <v>4.0500000000000001E-2</v>
      </c>
      <c r="E69" s="30">
        <v>4639342.5</v>
      </c>
      <c r="F69" s="30">
        <f>C69+E69</f>
        <v>11389342.5</v>
      </c>
    </row>
    <row r="70" spans="2:6" x14ac:dyDescent="0.45">
      <c r="B70" s="23">
        <v>49490</v>
      </c>
      <c r="C70" s="30">
        <v>6750000</v>
      </c>
      <c r="D70" s="36">
        <v>4.1299999999999996E-2</v>
      </c>
      <c r="E70" s="30">
        <v>4363267.5</v>
      </c>
      <c r="F70" s="30">
        <f>C70+E70</f>
        <v>11113267.5</v>
      </c>
    </row>
    <row r="71" spans="2:6" x14ac:dyDescent="0.45">
      <c r="B71" s="23">
        <v>49856</v>
      </c>
      <c r="C71" s="30">
        <v>6750000</v>
      </c>
      <c r="D71" s="36">
        <v>4.2099999999999999E-2</v>
      </c>
      <c r="E71" s="30">
        <v>4081792.5</v>
      </c>
      <c r="F71" s="30">
        <f>C71+E71</f>
        <v>10831792.5</v>
      </c>
    </row>
    <row r="72" spans="2:6" x14ac:dyDescent="0.45">
      <c r="B72" s="23">
        <v>50221</v>
      </c>
      <c r="C72" s="30">
        <v>6750000</v>
      </c>
      <c r="D72" s="36">
        <v>4.2999999999999997E-2</v>
      </c>
      <c r="E72" s="30">
        <v>3794580</v>
      </c>
      <c r="F72" s="30">
        <f>C72+E72</f>
        <v>10544580</v>
      </c>
    </row>
    <row r="73" spans="2:6" x14ac:dyDescent="0.45">
      <c r="B73" s="23">
        <v>50586</v>
      </c>
      <c r="C73" s="30">
        <v>6750000</v>
      </c>
      <c r="D73" s="36">
        <v>4.41E-2</v>
      </c>
      <c r="E73" s="30">
        <v>3500617.5</v>
      </c>
      <c r="F73" s="30">
        <f>C73+E73</f>
        <v>10250617.5</v>
      </c>
    </row>
    <row r="74" spans="2:6" x14ac:dyDescent="0.45">
      <c r="B74" s="23">
        <v>50951</v>
      </c>
      <c r="C74" s="30">
        <v>6750000</v>
      </c>
      <c r="D74" s="36">
        <v>4.53E-2</v>
      </c>
      <c r="E74" s="30">
        <v>3198892.5</v>
      </c>
      <c r="F74" s="30">
        <f>C74+E74</f>
        <v>9948892.5</v>
      </c>
    </row>
    <row r="75" spans="2:6" x14ac:dyDescent="0.45">
      <c r="B75" s="23">
        <v>51317</v>
      </c>
      <c r="C75" s="30">
        <v>6750000</v>
      </c>
      <c r="D75" s="36">
        <v>4.7050000000000002E-2</v>
      </c>
      <c r="E75" s="30">
        <v>2887211.25</v>
      </c>
      <c r="F75" s="30">
        <f>C75+E75</f>
        <v>9637211.25</v>
      </c>
    </row>
    <row r="76" spans="2:6" x14ac:dyDescent="0.45">
      <c r="B76" s="23">
        <v>51682</v>
      </c>
      <c r="C76" s="30">
        <v>6750000</v>
      </c>
      <c r="D76" s="36">
        <v>4.8300000000000003E-2</v>
      </c>
      <c r="E76" s="30">
        <v>2565405</v>
      </c>
      <c r="F76" s="30">
        <f>C76+E76</f>
        <v>9315405</v>
      </c>
    </row>
    <row r="77" spans="2:6" x14ac:dyDescent="0.45">
      <c r="B77" s="23">
        <v>52047</v>
      </c>
      <c r="C77" s="30">
        <v>6750000</v>
      </c>
      <c r="D77" s="36">
        <v>4.9240000000000006E-2</v>
      </c>
      <c r="E77" s="30">
        <v>2236207.5</v>
      </c>
      <c r="F77" s="30">
        <f>C77+E77</f>
        <v>8986207.5</v>
      </c>
    </row>
    <row r="78" spans="2:6" x14ac:dyDescent="0.45">
      <c r="B78" s="23">
        <v>52412</v>
      </c>
      <c r="C78" s="30">
        <v>6750000</v>
      </c>
      <c r="D78" s="36">
        <v>4.9930000000000002E-2</v>
      </c>
      <c r="E78" s="30">
        <v>1901508.75</v>
      </c>
      <c r="F78" s="30">
        <f>C78+E78</f>
        <v>8651508.75</v>
      </c>
    </row>
    <row r="79" spans="2:6" x14ac:dyDescent="0.45">
      <c r="B79" s="23">
        <v>52778</v>
      </c>
      <c r="C79" s="30">
        <v>6750000</v>
      </c>
      <c r="D79" s="36">
        <v>5.0540000000000002E-2</v>
      </c>
      <c r="E79" s="30">
        <v>1562422.5</v>
      </c>
      <c r="F79" s="30">
        <f>C79+E79</f>
        <v>8312422.5</v>
      </c>
    </row>
    <row r="80" spans="2:6" x14ac:dyDescent="0.45">
      <c r="B80" s="23">
        <v>53143</v>
      </c>
      <c r="C80" s="30">
        <v>6750000</v>
      </c>
      <c r="D80" s="36">
        <v>5.0959999999999998E-2</v>
      </c>
      <c r="E80" s="30">
        <v>1219860</v>
      </c>
      <c r="F80" s="30">
        <f>C80+E80</f>
        <v>7969860</v>
      </c>
    </row>
    <row r="81" spans="2:6" x14ac:dyDescent="0.45">
      <c r="B81" s="23">
        <v>53508</v>
      </c>
      <c r="C81" s="30">
        <v>6750000</v>
      </c>
      <c r="D81" s="36">
        <v>5.1340000000000004E-2</v>
      </c>
      <c r="E81" s="30">
        <v>874597.5</v>
      </c>
      <c r="F81" s="30">
        <f>C81+E81</f>
        <v>7624597.5</v>
      </c>
    </row>
    <row r="82" spans="2:6" x14ac:dyDescent="0.45">
      <c r="B82" s="23">
        <v>53873</v>
      </c>
      <c r="C82" s="30">
        <v>6750000</v>
      </c>
      <c r="D82" s="36">
        <v>5.1699999999999996E-2</v>
      </c>
      <c r="E82" s="30">
        <v>526837.5</v>
      </c>
      <c r="F82" s="30">
        <f>C82+E82</f>
        <v>7276837.5</v>
      </c>
    </row>
    <row r="83" spans="2:6" x14ac:dyDescent="0.45">
      <c r="B83" s="23">
        <v>54239</v>
      </c>
      <c r="C83" s="30">
        <v>6750000</v>
      </c>
      <c r="D83" s="36">
        <v>5.2199999999999996E-2</v>
      </c>
      <c r="E83" s="30">
        <v>176175</v>
      </c>
      <c r="F83" s="30">
        <f>C83+E83</f>
        <v>6926175</v>
      </c>
    </row>
    <row r="84" spans="2:6" x14ac:dyDescent="0.45">
      <c r="B84" s="26" t="s">
        <v>56</v>
      </c>
      <c r="C84" s="39">
        <f>SUM(C64:C83)</f>
        <v>135000000</v>
      </c>
      <c r="D84" s="40"/>
      <c r="E84" s="39">
        <f>SUM(E64:E83)</f>
        <v>64365450.189999998</v>
      </c>
      <c r="F84" s="39">
        <f>SUM(F64:F83)</f>
        <v>199365450.19</v>
      </c>
    </row>
    <row r="86" spans="2:6" x14ac:dyDescent="0.45">
      <c r="B86" s="22" t="s">
        <v>63</v>
      </c>
      <c r="C86" s="28"/>
      <c r="D86" s="28"/>
      <c r="E86" s="28"/>
      <c r="F86" s="28"/>
    </row>
    <row r="87" spans="2:6" x14ac:dyDescent="0.45">
      <c r="B87" s="24" t="s">
        <v>64</v>
      </c>
      <c r="C87" s="35" t="s">
        <v>59</v>
      </c>
      <c r="D87" s="35" t="s">
        <v>60</v>
      </c>
      <c r="E87" s="35" t="s">
        <v>61</v>
      </c>
      <c r="F87" s="35" t="s">
        <v>62</v>
      </c>
    </row>
    <row r="88" spans="2:6" x14ac:dyDescent="0.45">
      <c r="B88" s="23">
        <v>47058</v>
      </c>
      <c r="C88" s="30">
        <v>6750000</v>
      </c>
      <c r="D88" s="36">
        <v>3.6409999999999998E-2</v>
      </c>
      <c r="E88" s="30">
        <v>2740447.69</v>
      </c>
      <c r="F88" s="30">
        <f>SUM(C88,E88)</f>
        <v>9490447.6899999995</v>
      </c>
    </row>
    <row r="89" spans="2:6" x14ac:dyDescent="0.45">
      <c r="B89" s="23">
        <v>47239</v>
      </c>
      <c r="C89" s="30"/>
      <c r="D89" s="36"/>
      <c r="E89" s="30">
        <v>2903377.5</v>
      </c>
      <c r="F89" s="30">
        <f>SUM(C89,E89)</f>
        <v>2903377.5</v>
      </c>
    </row>
    <row r="90" spans="2:6" x14ac:dyDescent="0.45">
      <c r="B90" s="23">
        <v>47423</v>
      </c>
      <c r="C90" s="30">
        <v>6750000</v>
      </c>
      <c r="D90" s="36">
        <v>3.7000000000000005E-2</v>
      </c>
      <c r="E90" s="30">
        <v>2903377.5</v>
      </c>
      <c r="F90" s="30">
        <f>SUM(C90,E90)</f>
        <v>9653377.5</v>
      </c>
    </row>
    <row r="91" spans="2:6" x14ac:dyDescent="0.45">
      <c r="B91" s="23">
        <v>47604</v>
      </c>
      <c r="C91" s="30"/>
      <c r="D91" s="36"/>
      <c r="E91" s="30">
        <v>2778502.5</v>
      </c>
      <c r="F91" s="30">
        <f>SUM(C91,E91)</f>
        <v>2778502.5</v>
      </c>
    </row>
    <row r="92" spans="2:6" x14ac:dyDescent="0.45">
      <c r="B92" s="23">
        <v>47788</v>
      </c>
      <c r="C92" s="30">
        <v>6750000</v>
      </c>
      <c r="D92" s="36">
        <v>3.78E-2</v>
      </c>
      <c r="E92" s="30">
        <v>2778502.5</v>
      </c>
      <c r="F92" s="30">
        <f>SUM(C92,E92)</f>
        <v>9528502.5</v>
      </c>
    </row>
    <row r="93" spans="2:6" x14ac:dyDescent="0.45">
      <c r="B93" s="23">
        <v>47969</v>
      </c>
      <c r="C93" s="30"/>
      <c r="D93" s="36"/>
      <c r="E93" s="30">
        <v>2650927.5</v>
      </c>
      <c r="F93" s="30">
        <f>SUM(C93,E93)</f>
        <v>2650927.5</v>
      </c>
    </row>
    <row r="94" spans="2:6" x14ac:dyDescent="0.45">
      <c r="B94" s="23">
        <v>48153</v>
      </c>
      <c r="C94" s="30">
        <v>6750000</v>
      </c>
      <c r="D94" s="36">
        <v>3.8399999999999997E-2</v>
      </c>
      <c r="E94" s="30">
        <v>2650927.5</v>
      </c>
      <c r="F94" s="30">
        <f>SUM(C94,E94)</f>
        <v>9400927.5</v>
      </c>
    </row>
    <row r="95" spans="2:6" x14ac:dyDescent="0.45">
      <c r="B95" s="23">
        <v>48335</v>
      </c>
      <c r="C95" s="30"/>
      <c r="D95" s="36"/>
      <c r="E95" s="30">
        <v>2521327.5</v>
      </c>
      <c r="F95" s="30">
        <f>SUM(C95,E95)</f>
        <v>2521327.5</v>
      </c>
    </row>
    <row r="96" spans="2:6" x14ac:dyDescent="0.45">
      <c r="B96" s="23">
        <v>48519</v>
      </c>
      <c r="C96" s="30">
        <v>6750000</v>
      </c>
      <c r="D96" s="36">
        <v>3.95E-2</v>
      </c>
      <c r="E96" s="30">
        <v>2521327.5</v>
      </c>
      <c r="F96" s="30">
        <f>SUM(C96,E96)</f>
        <v>9271327.5</v>
      </c>
    </row>
    <row r="97" spans="2:6" x14ac:dyDescent="0.45">
      <c r="B97" s="23">
        <v>48700</v>
      </c>
      <c r="C97" s="30"/>
      <c r="D97" s="36"/>
      <c r="E97" s="30">
        <v>2388015</v>
      </c>
      <c r="F97" s="30">
        <f>SUM(C97,E97)</f>
        <v>2388015</v>
      </c>
    </row>
    <row r="98" spans="2:6" x14ac:dyDescent="0.45">
      <c r="B98" s="23">
        <v>48884</v>
      </c>
      <c r="C98" s="30">
        <v>6750000</v>
      </c>
      <c r="D98" s="36">
        <v>4.0500000000000001E-2</v>
      </c>
      <c r="E98" s="30">
        <v>2388015</v>
      </c>
      <c r="F98" s="30">
        <f>SUM(C98,E98)</f>
        <v>9138015</v>
      </c>
    </row>
    <row r="99" spans="2:6" x14ac:dyDescent="0.45">
      <c r="B99" s="23">
        <v>49065</v>
      </c>
      <c r="C99" s="30"/>
      <c r="D99" s="36"/>
      <c r="E99" s="30">
        <v>2251327.5</v>
      </c>
      <c r="F99" s="30">
        <f>SUM(C99,E99)</f>
        <v>2251327.5</v>
      </c>
    </row>
    <row r="100" spans="2:6" x14ac:dyDescent="0.45">
      <c r="B100" s="23">
        <v>49249</v>
      </c>
      <c r="C100" s="30">
        <v>6750000</v>
      </c>
      <c r="D100" s="36">
        <v>4.1299999999999996E-2</v>
      </c>
      <c r="E100" s="30">
        <v>2251327.5</v>
      </c>
      <c r="F100" s="30">
        <f>SUM(C100,E100)</f>
        <v>9001327.5</v>
      </c>
    </row>
    <row r="101" spans="2:6" x14ac:dyDescent="0.45">
      <c r="B101" s="23">
        <v>49430</v>
      </c>
      <c r="C101" s="30"/>
      <c r="D101" s="36"/>
      <c r="E101" s="30">
        <v>2111940</v>
      </c>
      <c r="F101" s="30">
        <f>SUM(C101,E101)</f>
        <v>2111940</v>
      </c>
    </row>
    <row r="102" spans="2:6" x14ac:dyDescent="0.45">
      <c r="B102" s="23">
        <v>49614</v>
      </c>
      <c r="C102" s="30">
        <v>6750000</v>
      </c>
      <c r="D102" s="36">
        <v>4.2099999999999999E-2</v>
      </c>
      <c r="E102" s="30">
        <v>2111940</v>
      </c>
      <c r="F102" s="30">
        <f>SUM(C102,E102)</f>
        <v>8861940</v>
      </c>
    </row>
    <row r="103" spans="2:6" x14ac:dyDescent="0.45">
      <c r="B103" s="23">
        <v>49796</v>
      </c>
      <c r="C103" s="30"/>
      <c r="D103" s="36"/>
      <c r="E103" s="30">
        <v>1969852.5</v>
      </c>
      <c r="F103" s="30">
        <f>SUM(C103,E103)</f>
        <v>1969852.5</v>
      </c>
    </row>
    <row r="104" spans="2:6" x14ac:dyDescent="0.45">
      <c r="B104" s="23">
        <v>49980</v>
      </c>
      <c r="C104" s="30">
        <v>6750000</v>
      </c>
      <c r="D104" s="36">
        <v>4.2999999999999997E-2</v>
      </c>
      <c r="E104" s="30">
        <v>1969852.5</v>
      </c>
      <c r="F104" s="30">
        <f>SUM(C104,E104)</f>
        <v>8719852.5</v>
      </c>
    </row>
    <row r="105" spans="2:6" x14ac:dyDescent="0.45">
      <c r="B105" s="23">
        <v>50161</v>
      </c>
      <c r="C105" s="30"/>
      <c r="D105" s="36"/>
      <c r="E105" s="30">
        <v>1824727.5</v>
      </c>
      <c r="F105" s="30">
        <f>SUM(C105,E105)</f>
        <v>1824727.5</v>
      </c>
    </row>
    <row r="106" spans="2:6" x14ac:dyDescent="0.45">
      <c r="B106" s="23">
        <v>50345</v>
      </c>
      <c r="C106" s="30">
        <v>6750000</v>
      </c>
      <c r="D106" s="36">
        <v>4.41E-2</v>
      </c>
      <c r="E106" s="30">
        <v>1824727.5</v>
      </c>
      <c r="F106" s="30">
        <f>SUM(C106,E106)</f>
        <v>8574727.5</v>
      </c>
    </row>
    <row r="107" spans="2:6" x14ac:dyDescent="0.45">
      <c r="B107" s="23">
        <v>50526</v>
      </c>
      <c r="C107" s="30"/>
      <c r="D107" s="36"/>
      <c r="E107" s="30">
        <v>1675890</v>
      </c>
      <c r="F107" s="30">
        <f>SUM(C107,E107)</f>
        <v>1675890</v>
      </c>
    </row>
    <row r="108" spans="2:6" x14ac:dyDescent="0.45">
      <c r="B108" s="23">
        <v>50710</v>
      </c>
      <c r="C108" s="30">
        <v>6750000</v>
      </c>
      <c r="D108" s="36">
        <v>4.53E-2</v>
      </c>
      <c r="E108" s="30">
        <v>1675890</v>
      </c>
      <c r="F108" s="30">
        <f>SUM(C108,E108)</f>
        <v>8425890</v>
      </c>
    </row>
    <row r="109" spans="2:6" x14ac:dyDescent="0.45">
      <c r="B109" s="23">
        <v>50891</v>
      </c>
      <c r="C109" s="30"/>
      <c r="D109" s="36"/>
      <c r="E109" s="30">
        <v>1523002.5</v>
      </c>
      <c r="F109" s="30">
        <f>SUM(C109,E109)</f>
        <v>1523002.5</v>
      </c>
    </row>
    <row r="110" spans="2:6" x14ac:dyDescent="0.45">
      <c r="B110" s="23">
        <v>51075</v>
      </c>
      <c r="C110" s="30">
        <v>6750000</v>
      </c>
      <c r="D110" s="36">
        <v>4.7050000000000002E-2</v>
      </c>
      <c r="E110" s="30">
        <v>1523002.5</v>
      </c>
      <c r="F110" s="30">
        <f>SUM(C110,E110)</f>
        <v>8273002.5</v>
      </c>
    </row>
    <row r="111" spans="2:6" x14ac:dyDescent="0.45">
      <c r="B111" s="23">
        <v>51257</v>
      </c>
      <c r="C111" s="30"/>
      <c r="D111" s="36"/>
      <c r="E111" s="30">
        <v>1364208.75</v>
      </c>
      <c r="F111" s="30">
        <f>SUM(C111,E111)</f>
        <v>1364208.75</v>
      </c>
    </row>
    <row r="112" spans="2:6" x14ac:dyDescent="0.45">
      <c r="B112" s="23">
        <v>51441</v>
      </c>
      <c r="C112" s="30">
        <v>6750000</v>
      </c>
      <c r="D112" s="36">
        <v>4.8300000000000003E-2</v>
      </c>
      <c r="E112" s="30">
        <v>1364208.75</v>
      </c>
      <c r="F112" s="30">
        <f>SUM(C112,E112)</f>
        <v>8114208.75</v>
      </c>
    </row>
    <row r="113" spans="2:6" x14ac:dyDescent="0.45">
      <c r="B113" s="23">
        <v>51622</v>
      </c>
      <c r="C113" s="30"/>
      <c r="D113" s="36"/>
      <c r="E113" s="30">
        <v>1201196.25</v>
      </c>
      <c r="F113" s="30">
        <f>SUM(C113,E113)</f>
        <v>1201196.25</v>
      </c>
    </row>
    <row r="114" spans="2:6" x14ac:dyDescent="0.45">
      <c r="B114" s="23">
        <v>51806</v>
      </c>
      <c r="C114" s="30">
        <v>6750000</v>
      </c>
      <c r="D114" s="36">
        <v>4.9240000000000006E-2</v>
      </c>
      <c r="E114" s="30">
        <v>1201196.25</v>
      </c>
      <c r="F114" s="30">
        <f>SUM(C114,E114)</f>
        <v>7951196.25</v>
      </c>
    </row>
    <row r="115" spans="2:6" x14ac:dyDescent="0.45">
      <c r="B115" s="23">
        <v>51987</v>
      </c>
      <c r="C115" s="30"/>
      <c r="D115" s="36"/>
      <c r="E115" s="30">
        <v>1035011.25</v>
      </c>
      <c r="F115" s="30">
        <f>SUM(C115,E115)</f>
        <v>1035011.25</v>
      </c>
    </row>
    <row r="116" spans="2:6" x14ac:dyDescent="0.45">
      <c r="B116" s="23">
        <v>52171</v>
      </c>
      <c r="C116" s="30">
        <v>6750000</v>
      </c>
      <c r="D116" s="36">
        <v>4.9930000000000002E-2</v>
      </c>
      <c r="E116" s="30">
        <v>1035011.25</v>
      </c>
      <c r="F116" s="30">
        <f>SUM(C116,E116)</f>
        <v>7785011.25</v>
      </c>
    </row>
    <row r="117" spans="2:6" x14ac:dyDescent="0.45">
      <c r="B117" s="23">
        <v>52352</v>
      </c>
      <c r="C117" s="30"/>
      <c r="D117" s="36"/>
      <c r="E117" s="30">
        <v>866497.5</v>
      </c>
      <c r="F117" s="30">
        <f>SUM(C117,E117)</f>
        <v>866497.5</v>
      </c>
    </row>
    <row r="118" spans="2:6" x14ac:dyDescent="0.45">
      <c r="B118" s="23">
        <v>52536</v>
      </c>
      <c r="C118" s="30">
        <v>6750000</v>
      </c>
      <c r="D118" s="36">
        <v>5.0540000000000002E-2</v>
      </c>
      <c r="E118" s="30">
        <v>866497.5</v>
      </c>
      <c r="F118" s="30">
        <f>SUM(C118,E118)</f>
        <v>7616497.5</v>
      </c>
    </row>
    <row r="119" spans="2:6" x14ac:dyDescent="0.45">
      <c r="B119" s="23">
        <v>52718</v>
      </c>
      <c r="C119" s="30"/>
      <c r="D119" s="36"/>
      <c r="E119" s="30">
        <v>695925</v>
      </c>
      <c r="F119" s="30">
        <f>SUM(C119,E119)</f>
        <v>695925</v>
      </c>
    </row>
    <row r="120" spans="2:6" x14ac:dyDescent="0.45">
      <c r="B120" s="23">
        <v>52902</v>
      </c>
      <c r="C120" s="30">
        <v>6750000</v>
      </c>
      <c r="D120" s="36">
        <v>5.0959999999999998E-2</v>
      </c>
      <c r="E120" s="30">
        <v>695925</v>
      </c>
      <c r="F120" s="30">
        <f>SUM(C120,E120)</f>
        <v>7445925</v>
      </c>
    </row>
    <row r="121" spans="2:6" x14ac:dyDescent="0.45">
      <c r="B121" s="23">
        <v>53083</v>
      </c>
      <c r="C121" s="30"/>
      <c r="D121" s="36"/>
      <c r="E121" s="30">
        <v>523935</v>
      </c>
      <c r="F121" s="30">
        <f>SUM(C121,E121)</f>
        <v>523935</v>
      </c>
    </row>
    <row r="122" spans="2:6" x14ac:dyDescent="0.45">
      <c r="B122" s="23">
        <v>53267</v>
      </c>
      <c r="C122" s="30">
        <v>6750000</v>
      </c>
      <c r="D122" s="36">
        <v>5.1340000000000004E-2</v>
      </c>
      <c r="E122" s="30">
        <v>523935</v>
      </c>
      <c r="F122" s="30">
        <f>SUM(C122,E122)</f>
        <v>7273935</v>
      </c>
    </row>
    <row r="123" spans="2:6" x14ac:dyDescent="0.45">
      <c r="B123" s="23">
        <v>53448</v>
      </c>
      <c r="C123" s="30"/>
      <c r="D123" s="36"/>
      <c r="E123" s="30">
        <v>350662.5</v>
      </c>
      <c r="F123" s="30">
        <f>SUM(C123,E123)</f>
        <v>350662.5</v>
      </c>
    </row>
    <row r="124" spans="2:6" x14ac:dyDescent="0.45">
      <c r="B124" s="23">
        <v>53632</v>
      </c>
      <c r="C124" s="30">
        <v>6750000</v>
      </c>
      <c r="D124" s="36">
        <v>5.1699999999999996E-2</v>
      </c>
      <c r="E124" s="30">
        <v>350662.5</v>
      </c>
      <c r="F124" s="30">
        <f>SUM(C124,E124)</f>
        <v>7100662.5</v>
      </c>
    </row>
    <row r="125" spans="2:6" x14ac:dyDescent="0.45">
      <c r="B125" s="23">
        <v>53813</v>
      </c>
      <c r="C125" s="30"/>
      <c r="D125" s="36"/>
      <c r="E125" s="30">
        <v>176175</v>
      </c>
      <c r="F125" s="30">
        <f>SUM(C125,E125)</f>
        <v>176175</v>
      </c>
    </row>
    <row r="126" spans="2:6" x14ac:dyDescent="0.45">
      <c r="B126" s="23">
        <v>53997</v>
      </c>
      <c r="C126" s="30">
        <v>6750000</v>
      </c>
      <c r="D126" s="36">
        <v>5.2199999999999996E-2</v>
      </c>
      <c r="E126" s="30">
        <v>176175</v>
      </c>
      <c r="F126" s="30">
        <f>SUM(C126,E126)</f>
        <v>6926175</v>
      </c>
    </row>
    <row r="127" spans="2:6" x14ac:dyDescent="0.45">
      <c r="B127" s="26" t="s">
        <v>56</v>
      </c>
      <c r="C127" s="39">
        <f>SUM(C88:C126)</f>
        <v>135000000</v>
      </c>
      <c r="D127" s="40"/>
      <c r="E127" s="39">
        <f>SUM(E88:E126)</f>
        <v>64365450.189999998</v>
      </c>
      <c r="F127" s="39">
        <f>SUM(F88:F126)</f>
        <v>199365450.19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Bond Tax Impact</vt:lpstr>
      <vt:lpstr>MMBB Summary</vt:lpstr>
      <vt:lpstr>10-Yr Prelim</vt:lpstr>
      <vt:lpstr>20-Yr Prelim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Howard</dc:creator>
  <cp:lastModifiedBy>Evan Howard</cp:lastModifiedBy>
  <dcterms:created xsi:type="dcterms:W3CDTF">2026-10-20T19:12:44Z</dcterms:created>
  <dcterms:modified xsi:type="dcterms:W3CDTF">2026-10-22T00:52:05Z</dcterms:modified>
</cp:coreProperties>
</file>