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mallory.hamilton\Box\FHM Board Share\Finance Committee\FY27 Committee Meetings\October Meeting\"/>
    </mc:Choice>
  </mc:AlternateContent>
  <xr:revisionPtr revIDLastSave="0" documentId="8_{E08B670A-774A-406A-8D6B-2A84EB38E0A6}" xr6:coauthVersionLast="47" xr6:coauthVersionMax="47" xr10:uidLastSave="{00000000-0000-0000-0000-000000000000}"/>
  <bookViews>
    <workbookView xWindow="-108" yWindow="-108" windowWidth="23256" windowHeight="13896" xr2:uid="{00000000-000D-0000-FFFF-FFFF00000000}"/>
  </bookViews>
  <sheets>
    <sheet name="Overview" sheetId="12" r:id="rId1"/>
    <sheet name="GF020" sheetId="25" r:id="rId2"/>
    <sheet name="Scale-Educator-187 FY24" sheetId="20" state="hidden" r:id="rId3"/>
    <sheet name="Scale-Educator-189" sheetId="22" state="hidden" r:id="rId4"/>
    <sheet name="Scale-Educator-187 FY25" sheetId="21" state="hidden" r:id="rId5"/>
    <sheet name="FHM Expenses" sheetId="37" r:id="rId6"/>
    <sheet name="FHM Revenue" sheetId="36" r:id="rId7"/>
    <sheet name="FFY26_GSC_Spend" sheetId="39" state="hidden" r:id="rId8"/>
    <sheet name="Revision Priorities" sheetId="34" state="hidden" r:id="rId9"/>
    <sheet name="Jeffco Benefits" sheetId="38" state="hidden" r:id="rId10"/>
    <sheet name="Market Study" sheetId="27" state="hidden" r:id="rId11"/>
    <sheet name="Tuition Proposed Rate Increases" sheetId="6" state="hidden" r:id="rId12"/>
    <sheet name="Tuition Per 6 RM Model" sheetId="31" state="hidden" r:id="rId13"/>
    <sheet name="Tuition Per Toddler Model" sheetId="29" r:id="rId14"/>
    <sheet name="Tuition Per 7 RM Model" sheetId="13" state="hidden" r:id="rId15"/>
    <sheet name="Enrollment" sheetId="11" r:id="rId16"/>
    <sheet name="Enrollment Toddler" sheetId="32" r:id="rId17"/>
    <sheet name="CA020" sheetId="2" state="hidden" r:id="rId18"/>
    <sheet name="FY27 Student Fee Sched 3.18.26" sheetId="19" state="hidden" r:id="rId19"/>
    <sheet name="FY26 Student Fee Sched_2.27.25" sheetId="26" state="hidden" r:id="rId20"/>
    <sheet name="Proposed BAC Rate Increases" sheetId="8" state="hidden" r:id="rId21"/>
    <sheet name="CC020" sheetId="3" r:id="rId22"/>
    <sheet name="Cost Per Student" sheetId="30" state="hidden" r:id="rId23"/>
    <sheet name="FY25 Student Fee Sched" sheetId="17" state="hidden" r:id="rId24"/>
    <sheet name="Tuition Per PK Model (2)" sheetId="18" state="hidden" r:id="rId25"/>
  </sheets>
  <externalReferences>
    <externalReference r:id="rId26"/>
    <externalReference r:id="rId27"/>
    <externalReference r:id="rId28"/>
  </externalReferences>
  <definedNames>
    <definedName name="BudDetailRange">#REF!</definedName>
    <definedName name="budget" localSheetId="8">'[1]Data Valid'!#REF!</definedName>
    <definedName name="budget">#REF!</definedName>
    <definedName name="Budget_Object">#REF!</definedName>
    <definedName name="NvsASD" localSheetId="5">"V2026-03-31"</definedName>
    <definedName name="NvsASD" localSheetId="6">"V2026-03-31"</definedName>
    <definedName name="NvsASD">"V2025-06-30"</definedName>
    <definedName name="NvsAutoDrillOk">"VN"</definedName>
    <definedName name="NvsDatetonumber">"Y"</definedName>
    <definedName name="NvsElapsedTime" localSheetId="5">0.0000462962925666943</definedName>
    <definedName name="NvsElapsedTime" localSheetId="6">0.0000462962925666943</definedName>
    <definedName name="NvsElapsedTime">0.0000231481462833472</definedName>
    <definedName name="NvsEndTime" localSheetId="5">46112.5591666667</definedName>
    <definedName name="NvsEndTime" localSheetId="6">46112.5591666667</definedName>
    <definedName name="NvsEndTime">45929.6122106481</definedName>
    <definedName name="NvsInstLang">"VENG"</definedName>
    <definedName name="NvsInstSpec">"%,FDEPTID,V54700"</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"%,X,RPT.BUDGET_PERIOD.,CZF.."</definedName>
    <definedName name="NvsPanelBusUnit">"V"</definedName>
    <definedName name="NvsPanelEffdt">"V1900-01-01"</definedName>
    <definedName name="NvsPanelSetid">"VGF010"</definedName>
    <definedName name="NvsReqBU">"VGF010"</definedName>
    <definedName name="NvsReqBUOnly">"VY"</definedName>
    <definedName name="NvsTransLed">"VN"</definedName>
    <definedName name="NvsTreeASD" localSheetId="5">"V2026-03-31"</definedName>
    <definedName name="NvsTreeASD" localSheetId="6">"V2026-03-31"</definedName>
    <definedName name="NvsTreeASD">"V2025-06-30"</definedName>
    <definedName name="NvsValTbl.DEPTID">"DEPARTMENT_TBL"</definedName>
    <definedName name="ObjectBudDetail">#REF!</definedName>
    <definedName name="ObjectEquip">#REF!</definedName>
    <definedName name="objects" localSheetId="8">'[1]Data Valid'!$D$1:$D$16</definedName>
    <definedName name="objects">#REF!</definedName>
    <definedName name="Projects" localSheetId="8">'[1]Data Valid'!$A$12:$A$21</definedName>
    <definedName name="Projec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36" l="1"/>
  <c r="J36" i="36"/>
  <c r="J35" i="36"/>
  <c r="J34" i="36"/>
  <c r="J33" i="36"/>
  <c r="J32" i="36"/>
  <c r="V36" i="37"/>
  <c r="V34" i="37"/>
  <c r="V35" i="37"/>
  <c r="P34" i="37"/>
  <c r="P33" i="37"/>
  <c r="D35" i="37"/>
  <c r="D34" i="37"/>
  <c r="E23" i="39"/>
  <c r="D23" i="39"/>
  <c r="E22" i="39"/>
  <c r="D22" i="39"/>
  <c r="E21" i="39"/>
  <c r="D21" i="39"/>
  <c r="E20" i="39"/>
  <c r="D20" i="39"/>
  <c r="E19" i="39"/>
  <c r="D19" i="39"/>
  <c r="E18" i="39"/>
  <c r="D18" i="39"/>
  <c r="E17" i="39"/>
  <c r="D17" i="39"/>
  <c r="E16" i="39"/>
  <c r="D16" i="39"/>
  <c r="E15" i="39"/>
  <c r="D15" i="39"/>
  <c r="E14" i="39"/>
  <c r="D14" i="39"/>
  <c r="E13" i="39"/>
  <c r="D13" i="39"/>
  <c r="E12" i="39"/>
  <c r="D12" i="39"/>
  <c r="E11" i="39"/>
  <c r="D11" i="39"/>
  <c r="E10" i="39"/>
  <c r="D10" i="39"/>
  <c r="E9" i="39"/>
  <c r="D9" i="39"/>
  <c r="E8" i="39"/>
  <c r="E7" i="39"/>
  <c r="E6" i="39"/>
  <c r="D6" i="39"/>
  <c r="E5" i="39"/>
  <c r="D5" i="39"/>
  <c r="E4" i="39"/>
  <c r="D4" i="39"/>
  <c r="C24" i="25"/>
  <c r="H69" i="25"/>
  <c r="H68" i="25"/>
  <c r="L37" i="12"/>
  <c r="K36" i="12"/>
  <c r="G5" i="3"/>
  <c r="G25" i="3"/>
  <c r="G10" i="3"/>
  <c r="C25" i="25"/>
  <c r="H22" i="25"/>
  <c r="C20" i="12"/>
  <c r="C74" i="25"/>
  <c r="E71" i="25"/>
  <c r="E70" i="25"/>
  <c r="E69" i="25"/>
  <c r="E68" i="25"/>
  <c r="E67" i="25"/>
  <c r="E28" i="25"/>
  <c r="E25" i="25"/>
  <c r="E24" i="25"/>
  <c r="K17" i="12"/>
  <c r="E10" i="25" s="1"/>
  <c r="K20" i="12"/>
  <c r="E11" i="25" s="1"/>
  <c r="K23" i="12"/>
  <c r="E12" i="25"/>
  <c r="E14" i="25"/>
  <c r="K21" i="12"/>
  <c r="E8" i="25"/>
  <c r="J23" i="29"/>
  <c r="J22" i="29"/>
  <c r="L13" i="29"/>
  <c r="L12" i="29"/>
  <c r="E13" i="25"/>
  <c r="C19" i="12"/>
  <c r="C18" i="12"/>
  <c r="E12" i="31"/>
  <c r="E23" i="31" s="1"/>
  <c r="E16" i="25" l="1"/>
  <c r="G12" i="2" l="1"/>
  <c r="G20" i="2"/>
  <c r="G34" i="2"/>
  <c r="G28" i="2"/>
  <c r="G24" i="2"/>
  <c r="G16" i="2"/>
  <c r="C10" i="3"/>
  <c r="V37" i="37" l="1"/>
  <c r="P35" i="37"/>
  <c r="P36" i="37"/>
  <c r="D32" i="36"/>
  <c r="D24" i="12"/>
  <c r="J39" i="36" l="1"/>
  <c r="F65" i="25"/>
  <c r="C53" i="25"/>
  <c r="C65" i="25"/>
  <c r="F53" i="25"/>
  <c r="D24" i="25" l="1"/>
  <c r="D53" i="25"/>
  <c r="D25" i="25"/>
  <c r="E26" i="25" l="1"/>
  <c r="C26" i="25"/>
  <c r="D26" i="25"/>
  <c r="H26" i="25" l="1"/>
  <c r="H25" i="12"/>
  <c r="C17" i="12" l="1"/>
  <c r="C10" i="25" s="1"/>
  <c r="C73" i="25"/>
  <c r="C42" i="12"/>
  <c r="D46" i="12"/>
  <c r="D45" i="12"/>
  <c r="D43" i="12"/>
  <c r="D44" i="12" l="1"/>
  <c r="C47" i="12"/>
  <c r="C21" i="12"/>
  <c r="C12" i="25" s="1"/>
  <c r="C11" i="25"/>
  <c r="G21" i="12"/>
  <c r="G23" i="12"/>
  <c r="D48" i="12" l="1"/>
  <c r="C49" i="12" s="1"/>
  <c r="D14" i="25"/>
  <c r="D11" i="25"/>
  <c r="H43" i="12" l="1"/>
  <c r="H44" i="12" s="1"/>
  <c r="G42" i="12"/>
  <c r="G47" i="12" s="1"/>
  <c r="H46" i="12"/>
  <c r="H45" i="12"/>
  <c r="L46" i="12"/>
  <c r="L45" i="12"/>
  <c r="G20" i="3"/>
  <c r="C20" i="3"/>
  <c r="L43" i="12"/>
  <c r="L44" i="12" s="1"/>
  <c r="G7" i="3"/>
  <c r="K42" i="12" s="1"/>
  <c r="G11" i="3"/>
  <c r="C5" i="3"/>
  <c r="C11" i="3"/>
  <c r="G23" i="3"/>
  <c r="Z18" i="8"/>
  <c r="D65" i="25"/>
  <c r="H28" i="12" s="1"/>
  <c r="L24" i="12"/>
  <c r="H24" i="12"/>
  <c r="G20" i="12"/>
  <c r="G17" i="12"/>
  <c r="G8" i="30"/>
  <c r="G4" i="30"/>
  <c r="G3" i="30"/>
  <c r="F18" i="30"/>
  <c r="E18" i="30"/>
  <c r="G14" i="30"/>
  <c r="G13" i="30"/>
  <c r="E13" i="29"/>
  <c r="E12" i="29"/>
  <c r="D67" i="25"/>
  <c r="C67" i="25" s="1"/>
  <c r="E53" i="25"/>
  <c r="H53" i="25" s="1"/>
  <c r="E72" i="25"/>
  <c r="I88" i="25"/>
  <c r="D72" i="25"/>
  <c r="C72" i="25" s="1"/>
  <c r="D71" i="25"/>
  <c r="C71" i="25" s="1"/>
  <c r="F12" i="29" l="1"/>
  <c r="H48" i="12"/>
  <c r="G49" i="12" s="1"/>
  <c r="L48" i="12"/>
  <c r="G29" i="3"/>
  <c r="G31" i="3" s="1"/>
  <c r="G18" i="30"/>
  <c r="D12" i="25"/>
  <c r="E9" i="25" l="1"/>
  <c r="K19" i="12" s="1"/>
  <c r="D70" i="25"/>
  <c r="C70" i="25" s="1"/>
  <c r="D69" i="25"/>
  <c r="C69" i="25" s="1"/>
  <c r="D68" i="25"/>
  <c r="C68" i="25" s="1"/>
  <c r="C75" i="25" s="1"/>
  <c r="C76" i="25" s="1"/>
  <c r="E74" i="25"/>
  <c r="L26" i="12" s="1"/>
  <c r="D26" i="12" l="1"/>
  <c r="D74" i="25"/>
  <c r="H26" i="12" s="1"/>
  <c r="E13" i="31"/>
  <c r="D9" i="25"/>
  <c r="G19" i="12" l="1"/>
  <c r="D10" i="25"/>
  <c r="I11" i="32"/>
  <c r="I24" i="32" s="1"/>
  <c r="I26" i="32"/>
  <c r="K26" i="32"/>
  <c r="H26" i="32"/>
  <c r="G26" i="32"/>
  <c r="F26" i="32"/>
  <c r="E26" i="32"/>
  <c r="D26" i="32"/>
  <c r="C26" i="32"/>
  <c r="B26" i="32"/>
  <c r="K11" i="32"/>
  <c r="K24" i="32" s="1"/>
  <c r="H11" i="32"/>
  <c r="H24" i="32" s="1"/>
  <c r="G11" i="32"/>
  <c r="G24" i="32" s="1"/>
  <c r="F11" i="32"/>
  <c r="F24" i="32" s="1"/>
  <c r="E11" i="32"/>
  <c r="E24" i="32" s="1"/>
  <c r="D11" i="32"/>
  <c r="D24" i="32" s="1"/>
  <c r="C11" i="32"/>
  <c r="C24" i="32" s="1"/>
  <c r="B11" i="32"/>
  <c r="B24" i="32" s="1"/>
  <c r="G52" i="31"/>
  <c r="G51" i="31"/>
  <c r="G50" i="31"/>
  <c r="G49" i="31"/>
  <c r="G48" i="31"/>
  <c r="F48" i="31"/>
  <c r="G47" i="31"/>
  <c r="F47" i="31"/>
  <c r="G46" i="31"/>
  <c r="F46" i="31"/>
  <c r="G45" i="31"/>
  <c r="F45" i="31"/>
  <c r="L44" i="31"/>
  <c r="L45" i="31" s="1"/>
  <c r="G44" i="31"/>
  <c r="F44" i="31"/>
  <c r="G43" i="31"/>
  <c r="F43" i="31"/>
  <c r="G42" i="31"/>
  <c r="F42" i="31"/>
  <c r="G41" i="31"/>
  <c r="F41" i="31"/>
  <c r="G40" i="31"/>
  <c r="F40" i="31"/>
  <c r="L39" i="31"/>
  <c r="L40" i="31" s="1"/>
  <c r="L47" i="31" s="1"/>
  <c r="G39" i="31"/>
  <c r="G38" i="31"/>
  <c r="F38" i="31"/>
  <c r="G37" i="31"/>
  <c r="G36" i="31"/>
  <c r="G35" i="31"/>
  <c r="F35" i="31"/>
  <c r="L34" i="31"/>
  <c r="G34" i="31"/>
  <c r="F34" i="31"/>
  <c r="L33" i="31"/>
  <c r="G33" i="31"/>
  <c r="F33" i="31"/>
  <c r="G32" i="31"/>
  <c r="F32" i="31"/>
  <c r="G31" i="31"/>
  <c r="G30" i="31"/>
  <c r="G29" i="31"/>
  <c r="F29" i="31"/>
  <c r="L28" i="31"/>
  <c r="G28" i="31"/>
  <c r="F28" i="31"/>
  <c r="L27" i="31"/>
  <c r="G27" i="31"/>
  <c r="F27" i="31"/>
  <c r="G26" i="31"/>
  <c r="F26" i="31"/>
  <c r="G25" i="31"/>
  <c r="F25" i="31"/>
  <c r="B18" i="31"/>
  <c r="J17" i="31"/>
  <c r="J19" i="31" s="1"/>
  <c r="E17" i="31"/>
  <c r="F17" i="31" s="1"/>
  <c r="G17" i="31" s="1"/>
  <c r="H17" i="31" s="1"/>
  <c r="J16" i="31"/>
  <c r="E16" i="31"/>
  <c r="F16" i="31" s="1"/>
  <c r="G16" i="31" s="1"/>
  <c r="H16" i="31" s="1"/>
  <c r="C10" i="31"/>
  <c r="B10" i="31"/>
  <c r="F9" i="31"/>
  <c r="K9" i="31" s="1"/>
  <c r="K8" i="31"/>
  <c r="F8" i="31"/>
  <c r="E8" i="31" s="1"/>
  <c r="F7" i="31"/>
  <c r="K7" i="31" s="1"/>
  <c r="E7" i="31"/>
  <c r="H7" i="31" s="1"/>
  <c r="I7" i="31" s="1"/>
  <c r="J7" i="31" s="1"/>
  <c r="L6" i="31"/>
  <c r="F6" i="31"/>
  <c r="K6" i="31" s="1"/>
  <c r="E6" i="31"/>
  <c r="H6" i="31" s="1"/>
  <c r="I6" i="31" s="1"/>
  <c r="J6" i="31" s="1"/>
  <c r="E11" i="13"/>
  <c r="E10" i="13"/>
  <c r="E8" i="13"/>
  <c r="E9" i="13"/>
  <c r="E6" i="13"/>
  <c r="J6" i="13"/>
  <c r="I10" i="13"/>
  <c r="K8" i="29"/>
  <c r="F9" i="29"/>
  <c r="F8" i="29"/>
  <c r="F7" i="29"/>
  <c r="F6" i="29"/>
  <c r="B12" i="31" l="1"/>
  <c r="B11" i="31" s="1"/>
  <c r="J18" i="31"/>
  <c r="J20" i="31" s="1"/>
  <c r="L25" i="31" s="1"/>
  <c r="L29" i="31" s="1"/>
  <c r="I8" i="31"/>
  <c r="J8" i="31" s="1"/>
  <c r="H8" i="31"/>
  <c r="L8" i="31"/>
  <c r="L31" i="31"/>
  <c r="L35" i="31" s="1"/>
  <c r="E9" i="31"/>
  <c r="L7" i="31"/>
  <c r="L9" i="31" l="1"/>
  <c r="L10" i="31" s="1"/>
  <c r="H9" i="31"/>
  <c r="I9" i="31"/>
  <c r="J9" i="31" s="1"/>
  <c r="L37" i="31"/>
  <c r="L41" i="31" s="1"/>
  <c r="B18" i="30" l="1"/>
  <c r="F7" i="30" s="1"/>
  <c r="E17" i="30"/>
  <c r="L11" i="31"/>
  <c r="L12" i="31" s="1"/>
  <c r="L13" i="31" s="1"/>
  <c r="L46" i="31"/>
  <c r="L48" i="31" s="1"/>
  <c r="J22" i="31" l="1"/>
  <c r="D8" i="25"/>
  <c r="G18" i="12" s="1"/>
  <c r="F25" i="26"/>
  <c r="G31" i="12" l="1"/>
  <c r="D16" i="25"/>
  <c r="D18" i="25" s="1"/>
  <c r="B10" i="29"/>
  <c r="C31" i="12" l="1"/>
  <c r="F44" i="6"/>
  <c r="F41" i="6"/>
  <c r="F28" i="6"/>
  <c r="F15" i="6"/>
  <c r="D45" i="6"/>
  <c r="E45" i="6" s="1"/>
  <c r="D42" i="6"/>
  <c r="E42" i="6" s="1"/>
  <c r="D39" i="6"/>
  <c r="E39" i="6" s="1"/>
  <c r="E26" i="6"/>
  <c r="D26" i="6"/>
  <c r="F8" i="6"/>
  <c r="F7" i="6"/>
  <c r="F6" i="6"/>
  <c r="F5" i="6" l="1"/>
  <c r="H10" i="27"/>
  <c r="G10" i="27"/>
  <c r="R20" i="27"/>
  <c r="R17" i="27"/>
  <c r="H33" i="27"/>
  <c r="G33" i="27"/>
  <c r="H32" i="27"/>
  <c r="G32" i="27"/>
  <c r="H31" i="27"/>
  <c r="G31" i="27"/>
  <c r="H30" i="27"/>
  <c r="G30" i="27"/>
  <c r="H29" i="27"/>
  <c r="G29" i="27"/>
  <c r="H28" i="27"/>
  <c r="G28" i="27"/>
  <c r="H27" i="27"/>
  <c r="G27" i="27"/>
  <c r="H26" i="27"/>
  <c r="G26" i="27"/>
  <c r="H25" i="27"/>
  <c r="G25" i="27"/>
  <c r="H24" i="27"/>
  <c r="G24" i="27"/>
  <c r="H23" i="27"/>
  <c r="G23" i="27"/>
  <c r="H22" i="27"/>
  <c r="G22" i="27"/>
  <c r="H21" i="27"/>
  <c r="G21" i="27"/>
  <c r="H20" i="27"/>
  <c r="G20" i="27"/>
  <c r="H19" i="27"/>
  <c r="G19" i="27"/>
  <c r="H18" i="27"/>
  <c r="G18" i="27"/>
  <c r="H17" i="27"/>
  <c r="G17" i="27"/>
  <c r="H16" i="27"/>
  <c r="G16" i="27"/>
  <c r="H15" i="27"/>
  <c r="G15" i="27"/>
  <c r="H14" i="27"/>
  <c r="G14" i="27"/>
  <c r="H13" i="27"/>
  <c r="G13" i="27"/>
  <c r="H12" i="27"/>
  <c r="G12" i="27"/>
  <c r="H11" i="27"/>
  <c r="G11" i="27"/>
  <c r="H9" i="27"/>
  <c r="G9" i="27"/>
  <c r="H8" i="27"/>
  <c r="G8" i="27"/>
  <c r="H7" i="27"/>
  <c r="G7" i="27"/>
  <c r="H6" i="27"/>
  <c r="G6" i="27"/>
  <c r="H5" i="27"/>
  <c r="G5" i="27"/>
  <c r="K6" i="29" l="1"/>
  <c r="K7" i="29"/>
  <c r="K9" i="29"/>
  <c r="H23" i="11"/>
  <c r="G23" i="11"/>
  <c r="F23" i="11"/>
  <c r="E23" i="11"/>
  <c r="D23" i="11"/>
  <c r="C23" i="11"/>
  <c r="B23" i="11"/>
  <c r="I10" i="11" l="1"/>
  <c r="I23" i="11" s="1"/>
  <c r="S19" i="8" l="1"/>
  <c r="M67" i="8"/>
  <c r="N67" i="8" s="1"/>
  <c r="F67" i="8"/>
  <c r="E67" i="8"/>
  <c r="L68" i="8"/>
  <c r="D68" i="8"/>
  <c r="M41" i="8"/>
  <c r="N41" i="8" s="1"/>
  <c r="E41" i="8"/>
  <c r="D42" i="8"/>
  <c r="E40" i="8"/>
  <c r="T15" i="8" l="1"/>
  <c r="V15" i="8" s="1"/>
  <c r="T18" i="8"/>
  <c r="D82" i="8" s="1"/>
  <c r="E81" i="8" s="1"/>
  <c r="F81" i="8" s="1"/>
  <c r="I25" i="11"/>
  <c r="B4" i="30"/>
  <c r="E7" i="30"/>
  <c r="G7" i="30" s="1"/>
  <c r="B8" i="30"/>
  <c r="B18" i="29"/>
  <c r="J17" i="29"/>
  <c r="J16" i="29"/>
  <c r="E17" i="29"/>
  <c r="E16" i="29"/>
  <c r="E9" i="29"/>
  <c r="I9" i="29" s="1"/>
  <c r="J9" i="29" s="1"/>
  <c r="E8" i="29"/>
  <c r="I8" i="29" s="1"/>
  <c r="J8" i="29" s="1"/>
  <c r="E7" i="29"/>
  <c r="E6" i="29"/>
  <c r="L44" i="29"/>
  <c r="L45" i="29" s="1"/>
  <c r="L39" i="29"/>
  <c r="L40" i="29" s="1"/>
  <c r="L33" i="29"/>
  <c r="L27" i="29"/>
  <c r="B10" i="30" l="1"/>
  <c r="E10" i="30" s="1"/>
  <c r="E6" i="30"/>
  <c r="G6" i="30" s="1"/>
  <c r="A10" i="30"/>
  <c r="E9" i="30" s="1"/>
  <c r="E5" i="30"/>
  <c r="G5" i="30" s="1"/>
  <c r="C10" i="30"/>
  <c r="J18" i="29"/>
  <c r="J19" i="29"/>
  <c r="J20" i="29" l="1"/>
  <c r="L34" i="29" l="1"/>
  <c r="L28" i="29"/>
  <c r="F17" i="29"/>
  <c r="F16" i="29"/>
  <c r="G16" i="29" s="1"/>
  <c r="H16" i="29" s="1"/>
  <c r="G52" i="29"/>
  <c r="G51" i="29"/>
  <c r="G50" i="29"/>
  <c r="G49" i="29"/>
  <c r="G48" i="29"/>
  <c r="F48" i="29"/>
  <c r="G47" i="29"/>
  <c r="F47" i="29"/>
  <c r="G46" i="29"/>
  <c r="F46" i="29"/>
  <c r="G45" i="29"/>
  <c r="F45" i="29"/>
  <c r="G44" i="29"/>
  <c r="F44" i="29"/>
  <c r="G43" i="29"/>
  <c r="F43" i="29"/>
  <c r="G42" i="29"/>
  <c r="F42" i="29"/>
  <c r="G41" i="29"/>
  <c r="F41" i="29"/>
  <c r="G40" i="29"/>
  <c r="F40" i="29"/>
  <c r="G39" i="29"/>
  <c r="G38" i="29"/>
  <c r="F38" i="29"/>
  <c r="G37" i="29"/>
  <c r="G36" i="29"/>
  <c r="G35" i="29"/>
  <c r="F35" i="29"/>
  <c r="G34" i="29"/>
  <c r="F34" i="29"/>
  <c r="G33" i="29"/>
  <c r="F33" i="29"/>
  <c r="G32" i="29"/>
  <c r="F32" i="29"/>
  <c r="G31" i="29"/>
  <c r="G30" i="29"/>
  <c r="G29" i="29"/>
  <c r="F29" i="29"/>
  <c r="G28" i="29"/>
  <c r="F28" i="29"/>
  <c r="G27" i="29"/>
  <c r="F27" i="29"/>
  <c r="G26" i="29"/>
  <c r="F26" i="29"/>
  <c r="G25" i="29"/>
  <c r="F25" i="29"/>
  <c r="C10" i="29"/>
  <c r="B12" i="29" s="1"/>
  <c r="B11" i="29" s="1"/>
  <c r="J56" i="13"/>
  <c r="E65" i="25"/>
  <c r="H65" i="25" s="1"/>
  <c r="Q18" i="8"/>
  <c r="L25" i="12"/>
  <c r="K47" i="12"/>
  <c r="L28" i="12" l="1"/>
  <c r="D36" i="37" s="1"/>
  <c r="G17" i="29"/>
  <c r="H17" i="29" s="1"/>
  <c r="E75" i="25"/>
  <c r="E76" i="25" s="1"/>
  <c r="H76" i="25" s="1"/>
  <c r="L47" i="29"/>
  <c r="L9" i="29"/>
  <c r="L8" i="29"/>
  <c r="E79" i="25" l="1"/>
  <c r="L25" i="29"/>
  <c r="H8" i="29"/>
  <c r="H9" i="29"/>
  <c r="L7" i="29"/>
  <c r="L37" i="29" s="1"/>
  <c r="L41" i="29" s="1"/>
  <c r="H7" i="29"/>
  <c r="I7" i="29" s="1"/>
  <c r="J7" i="29" s="1"/>
  <c r="H6" i="29"/>
  <c r="I6" i="29" s="1"/>
  <c r="J6" i="29" s="1"/>
  <c r="L6" i="29"/>
  <c r="L31" i="29" s="1"/>
  <c r="L35" i="29" s="1"/>
  <c r="J8" i="13"/>
  <c r="B14" i="13"/>
  <c r="E39" i="26"/>
  <c r="D39" i="26"/>
  <c r="E35" i="26"/>
  <c r="D35" i="26"/>
  <c r="M25" i="26"/>
  <c r="L25" i="26"/>
  <c r="K25" i="26"/>
  <c r="J25" i="26"/>
  <c r="I25" i="26"/>
  <c r="H25" i="26"/>
  <c r="G25" i="26"/>
  <c r="E25" i="26"/>
  <c r="D25" i="26"/>
  <c r="E82" i="25" l="1"/>
  <c r="B28" i="30" s="1"/>
  <c r="B32" i="30" s="1"/>
  <c r="L29" i="29"/>
  <c r="L46" i="29"/>
  <c r="L48" i="29" s="1"/>
  <c r="L10" i="29"/>
  <c r="B29" i="30" s="1"/>
  <c r="F17" i="30" s="1"/>
  <c r="G17" i="30" s="1"/>
  <c r="H32" i="12"/>
  <c r="G33" i="12" s="1"/>
  <c r="F28" i="25"/>
  <c r="D28" i="25"/>
  <c r="F16" i="25"/>
  <c r="F18" i="25" s="1"/>
  <c r="F81" i="25" s="1"/>
  <c r="C15" i="25"/>
  <c r="C16" i="25" s="1"/>
  <c r="F16" i="30" l="1"/>
  <c r="D28" i="12"/>
  <c r="D32" i="12" s="1"/>
  <c r="F20" i="30"/>
  <c r="D75" i="25"/>
  <c r="D79" i="25" s="1"/>
  <c r="L11" i="29"/>
  <c r="F79" i="25"/>
  <c r="F82" i="25" s="1"/>
  <c r="F83" i="25" s="1"/>
  <c r="L32" i="12"/>
  <c r="D33" i="37" s="1"/>
  <c r="C28" i="25"/>
  <c r="K18" i="12" l="1"/>
  <c r="C79" i="25"/>
  <c r="H79" i="25" s="1"/>
  <c r="H28" i="25"/>
  <c r="C33" i="12"/>
  <c r="D82" i="25"/>
  <c r="B17" i="30" s="1"/>
  <c r="C82" i="25" l="1"/>
  <c r="B21" i="30"/>
  <c r="E16" i="30"/>
  <c r="G16" i="30" s="1"/>
  <c r="C46" i="2"/>
  <c r="C36" i="12" l="1"/>
  <c r="C38" i="12" s="1"/>
  <c r="K38" i="12"/>
  <c r="G36" i="12"/>
  <c r="G38" i="12" s="1"/>
  <c r="F10" i="30"/>
  <c r="G10" i="30" s="1"/>
  <c r="E20" i="30"/>
  <c r="G20" i="30" s="1"/>
  <c r="E38" i="19"/>
  <c r="C51" i="12" l="1"/>
  <c r="D38" i="19"/>
  <c r="D5" i="6" l="1"/>
  <c r="G5" i="6" s="1"/>
  <c r="D24" i="19" l="1"/>
  <c r="T12" i="8" l="1"/>
  <c r="L29" i="8" s="1"/>
  <c r="M28" i="8" s="1"/>
  <c r="N28" i="8" s="1"/>
  <c r="D46" i="2"/>
  <c r="D37" i="12" l="1"/>
  <c r="D39" i="12" s="1"/>
  <c r="H37" i="12"/>
  <c r="H39" i="12" s="1"/>
  <c r="G40" i="12" s="1"/>
  <c r="L39" i="12"/>
  <c r="K40" i="12" s="1"/>
  <c r="V12" i="8"/>
  <c r="E80" i="8"/>
  <c r="E53" i="8"/>
  <c r="F53" i="8" s="1"/>
  <c r="F40" i="8"/>
  <c r="E66" i="8"/>
  <c r="F66" i="8" s="1"/>
  <c r="F41" i="8"/>
  <c r="E27" i="8"/>
  <c r="F27" i="8" s="1"/>
  <c r="M66" i="8"/>
  <c r="N66" i="8" s="1"/>
  <c r="M53" i="8"/>
  <c r="N53" i="8" s="1"/>
  <c r="M40" i="8"/>
  <c r="N40" i="8" s="1"/>
  <c r="M39" i="8"/>
  <c r="M14" i="8"/>
  <c r="N14" i="8" s="1"/>
  <c r="T11" i="8" s="1"/>
  <c r="M27" i="8"/>
  <c r="N27" i="8" s="1"/>
  <c r="M26" i="8"/>
  <c r="C9" i="6"/>
  <c r="F8" i="13"/>
  <c r="F6" i="13"/>
  <c r="H8" i="13"/>
  <c r="H6" i="13"/>
  <c r="F10" i="11"/>
  <c r="E10" i="11"/>
  <c r="D10" i="11"/>
  <c r="C10" i="11"/>
  <c r="B10" i="11"/>
  <c r="H10" i="11"/>
  <c r="D52" i="12" l="1"/>
  <c r="C53" i="12" s="1"/>
  <c r="C40" i="12"/>
  <c r="AA12" i="8"/>
  <c r="L16" i="8"/>
  <c r="M15" i="8" s="1"/>
  <c r="N15" i="8" s="1"/>
  <c r="E14" i="8"/>
  <c r="F14" i="8" s="1"/>
  <c r="T6" i="8"/>
  <c r="V6" i="8" s="1"/>
  <c r="E13" i="8"/>
  <c r="F13" i="8" s="1"/>
  <c r="F80" i="8" l="1"/>
  <c r="J21" i="13"/>
  <c r="B26" i="13"/>
  <c r="B24" i="13"/>
  <c r="F11" i="13"/>
  <c r="I11" i="13" s="1"/>
  <c r="F10" i="13"/>
  <c r="J10" i="13" s="1"/>
  <c r="B12" i="13"/>
  <c r="C12" i="13"/>
  <c r="J27" i="13" s="1"/>
  <c r="D38" i="6"/>
  <c r="E38" i="6" s="1"/>
  <c r="D25" i="6"/>
  <c r="E25" i="6" s="1"/>
  <c r="E44" i="6"/>
  <c r="E41" i="6"/>
  <c r="D8" i="6"/>
  <c r="D7" i="6"/>
  <c r="D6" i="6"/>
  <c r="G6" i="6" s="1"/>
  <c r="F28" i="13"/>
  <c r="G28" i="13"/>
  <c r="F29" i="13"/>
  <c r="G29" i="13"/>
  <c r="F30" i="13"/>
  <c r="G30" i="13"/>
  <c r="F31" i="13"/>
  <c r="G31" i="13"/>
  <c r="F32" i="13"/>
  <c r="G32" i="13"/>
  <c r="G33" i="13"/>
  <c r="G34" i="13"/>
  <c r="F35" i="13"/>
  <c r="G35" i="13"/>
  <c r="F36" i="13"/>
  <c r="G36" i="13"/>
  <c r="F37" i="13"/>
  <c r="G37" i="13"/>
  <c r="F38" i="13"/>
  <c r="G38" i="13"/>
  <c r="G39" i="13"/>
  <c r="G40" i="13"/>
  <c r="F41" i="13"/>
  <c r="G41" i="13"/>
  <c r="G42" i="13"/>
  <c r="F43" i="13"/>
  <c r="G43" i="13"/>
  <c r="F44" i="13"/>
  <c r="G44" i="13"/>
  <c r="F45" i="13"/>
  <c r="G45" i="13"/>
  <c r="F46" i="13"/>
  <c r="G46" i="13"/>
  <c r="F47" i="13"/>
  <c r="G47" i="13"/>
  <c r="F48" i="13"/>
  <c r="G48" i="13"/>
  <c r="F49" i="13"/>
  <c r="G49" i="13"/>
  <c r="F50" i="13"/>
  <c r="G50" i="13"/>
  <c r="F51" i="13"/>
  <c r="G51" i="13"/>
  <c r="G52" i="13"/>
  <c r="G53" i="13"/>
  <c r="G54" i="13"/>
  <c r="G55" i="13"/>
  <c r="C24" i="13"/>
  <c r="G23" i="13"/>
  <c r="I23" i="13" s="1"/>
  <c r="J23" i="13" s="1"/>
  <c r="G22" i="13"/>
  <c r="I22" i="13" s="1"/>
  <c r="J22" i="13" s="1"/>
  <c r="G21" i="13"/>
  <c r="G20" i="13"/>
  <c r="J20" i="13" s="1"/>
  <c r="G19" i="13"/>
  <c r="I19" i="13" s="1"/>
  <c r="I24" i="19"/>
  <c r="B25" i="13" l="1"/>
  <c r="B13" i="13"/>
  <c r="J24" i="13"/>
  <c r="K10" i="11"/>
  <c r="K23" i="11" s="1"/>
  <c r="H25" i="11"/>
  <c r="G25" i="11"/>
  <c r="G10" i="11"/>
  <c r="F25" i="11"/>
  <c r="D6" i="22"/>
  <c r="G6" i="22"/>
  <c r="J6" i="22"/>
  <c r="M6" i="22"/>
  <c r="P6" i="22"/>
  <c r="B7" i="22"/>
  <c r="D7" i="22"/>
  <c r="E7" i="22"/>
  <c r="E8" i="22" s="1"/>
  <c r="E9" i="22" s="1"/>
  <c r="E10" i="22" s="1"/>
  <c r="E11" i="22" s="1"/>
  <c r="E12" i="22" s="1"/>
  <c r="E13" i="22" s="1"/>
  <c r="E14" i="22" s="1"/>
  <c r="E15" i="22" s="1"/>
  <c r="E16" i="22" s="1"/>
  <c r="E17" i="22" s="1"/>
  <c r="E18" i="22" s="1"/>
  <c r="E19" i="22" s="1"/>
  <c r="E20" i="22" s="1"/>
  <c r="E21" i="22" s="1"/>
  <c r="E22" i="22" s="1"/>
  <c r="E23" i="22" s="1"/>
  <c r="E24" i="22" s="1"/>
  <c r="E25" i="22" s="1"/>
  <c r="G7" i="22"/>
  <c r="H7" i="22"/>
  <c r="J7" i="22"/>
  <c r="M7" i="22"/>
  <c r="P7" i="22"/>
  <c r="B8" i="22"/>
  <c r="B9" i="22" s="1"/>
  <c r="B10" i="22" s="1"/>
  <c r="B11" i="22" s="1"/>
  <c r="B12" i="22" s="1"/>
  <c r="B13" i="22" s="1"/>
  <c r="B14" i="22" s="1"/>
  <c r="B15" i="22" s="1"/>
  <c r="B16" i="22" s="1"/>
  <c r="B17" i="22" s="1"/>
  <c r="B18" i="22" s="1"/>
  <c r="B19" i="22" s="1"/>
  <c r="B20" i="22" s="1"/>
  <c r="B21" i="22" s="1"/>
  <c r="B22" i="22" s="1"/>
  <c r="B23" i="22" s="1"/>
  <c r="B24" i="22" s="1"/>
  <c r="B25" i="22" s="1"/>
  <c r="D8" i="22"/>
  <c r="G8" i="22"/>
  <c r="H8" i="22"/>
  <c r="H9" i="22" s="1"/>
  <c r="H10" i="22" s="1"/>
  <c r="H11" i="22" s="1"/>
  <c r="H12" i="22" s="1"/>
  <c r="H13" i="22" s="1"/>
  <c r="H14" i="22" s="1"/>
  <c r="H15" i="22" s="1"/>
  <c r="H16" i="22" s="1"/>
  <c r="H17" i="22" s="1"/>
  <c r="H18" i="22" s="1"/>
  <c r="H19" i="22" s="1"/>
  <c r="H20" i="22" s="1"/>
  <c r="H21" i="22" s="1"/>
  <c r="H22" i="22" s="1"/>
  <c r="H23" i="22" s="1"/>
  <c r="H24" i="22" s="1"/>
  <c r="H25" i="22" s="1"/>
  <c r="J8" i="22"/>
  <c r="M8" i="22"/>
  <c r="P8" i="22"/>
  <c r="D9" i="22"/>
  <c r="G9" i="22"/>
  <c r="J9" i="22"/>
  <c r="M9" i="22"/>
  <c r="P9" i="22"/>
  <c r="D10" i="22"/>
  <c r="G10" i="22"/>
  <c r="J10" i="22"/>
  <c r="M10" i="22"/>
  <c r="P10" i="22"/>
  <c r="D11" i="22"/>
  <c r="G11" i="22"/>
  <c r="J11" i="22"/>
  <c r="M11" i="22"/>
  <c r="P11" i="22"/>
  <c r="D12" i="22"/>
  <c r="G12" i="22"/>
  <c r="J12" i="22"/>
  <c r="M12" i="22"/>
  <c r="P12" i="22"/>
  <c r="D13" i="22"/>
  <c r="G13" i="22"/>
  <c r="J13" i="22"/>
  <c r="M13" i="22"/>
  <c r="P13" i="22"/>
  <c r="D14" i="22"/>
  <c r="G14" i="22"/>
  <c r="J14" i="22"/>
  <c r="M14" i="22"/>
  <c r="P14" i="22"/>
  <c r="D15" i="22"/>
  <c r="G15" i="22"/>
  <c r="J15" i="22"/>
  <c r="M15" i="22"/>
  <c r="P15" i="22"/>
  <c r="D16" i="22"/>
  <c r="G16" i="22"/>
  <c r="J16" i="22"/>
  <c r="M16" i="22"/>
  <c r="P16" i="22"/>
  <c r="D17" i="22"/>
  <c r="G17" i="22"/>
  <c r="J17" i="22"/>
  <c r="M17" i="22"/>
  <c r="P17" i="22"/>
  <c r="D18" i="22"/>
  <c r="G18" i="22"/>
  <c r="J18" i="22"/>
  <c r="M18" i="22"/>
  <c r="P18" i="22"/>
  <c r="D19" i="22"/>
  <c r="G19" i="22"/>
  <c r="J19" i="22"/>
  <c r="M19" i="22"/>
  <c r="P19" i="22"/>
  <c r="D20" i="22"/>
  <c r="G20" i="22"/>
  <c r="J20" i="22"/>
  <c r="M20" i="22"/>
  <c r="P20" i="22"/>
  <c r="D21" i="22"/>
  <c r="G21" i="22"/>
  <c r="J21" i="22"/>
  <c r="M21" i="22"/>
  <c r="P21" i="22"/>
  <c r="D22" i="22"/>
  <c r="G22" i="22"/>
  <c r="J22" i="22"/>
  <c r="M22" i="22"/>
  <c r="P22" i="22"/>
  <c r="D23" i="22"/>
  <c r="G23" i="22"/>
  <c r="J23" i="22"/>
  <c r="M23" i="22"/>
  <c r="P23" i="22"/>
  <c r="D24" i="22"/>
  <c r="G24" i="22"/>
  <c r="J24" i="22"/>
  <c r="M24" i="22"/>
  <c r="P24" i="22"/>
  <c r="D25" i="22"/>
  <c r="G25" i="22"/>
  <c r="J25" i="22"/>
  <c r="M25" i="22"/>
  <c r="P25" i="22"/>
  <c r="C5" i="21"/>
  <c r="E5" i="21"/>
  <c r="G5" i="21"/>
  <c r="I5" i="21"/>
  <c r="K5" i="21"/>
  <c r="B6" i="21"/>
  <c r="B7" i="21" s="1"/>
  <c r="C6" i="21"/>
  <c r="D6" i="21"/>
  <c r="D7" i="21" s="1"/>
  <c r="E6" i="21"/>
  <c r="F6" i="21"/>
  <c r="G6" i="21" s="1"/>
  <c r="I6" i="21"/>
  <c r="K6" i="21"/>
  <c r="I7" i="21"/>
  <c r="K7" i="21"/>
  <c r="I8" i="21"/>
  <c r="K8" i="21"/>
  <c r="I9" i="21"/>
  <c r="K9" i="21"/>
  <c r="I10" i="21"/>
  <c r="K10" i="21"/>
  <c r="I11" i="21"/>
  <c r="K11" i="21"/>
  <c r="I12" i="21"/>
  <c r="K12" i="21"/>
  <c r="I13" i="21"/>
  <c r="K13" i="21"/>
  <c r="I14" i="21"/>
  <c r="K14" i="21"/>
  <c r="I15" i="21"/>
  <c r="K15" i="21"/>
  <c r="I16" i="21"/>
  <c r="K16" i="21"/>
  <c r="I17" i="21"/>
  <c r="K17" i="21"/>
  <c r="I18" i="21"/>
  <c r="K18" i="21"/>
  <c r="I19" i="21"/>
  <c r="K19" i="21"/>
  <c r="I20" i="21"/>
  <c r="K20" i="21"/>
  <c r="I21" i="21"/>
  <c r="K21" i="21"/>
  <c r="I22" i="21"/>
  <c r="K22" i="21"/>
  <c r="I23" i="21"/>
  <c r="K23" i="21"/>
  <c r="I24" i="21"/>
  <c r="K24" i="21"/>
  <c r="C5" i="20"/>
  <c r="E5" i="20"/>
  <c r="G5" i="20"/>
  <c r="I5" i="20"/>
  <c r="K5" i="20"/>
  <c r="C6" i="20"/>
  <c r="E6" i="20"/>
  <c r="G6" i="20"/>
  <c r="I6" i="20"/>
  <c r="K6" i="20"/>
  <c r="C7" i="20"/>
  <c r="E7" i="20"/>
  <c r="G7" i="20"/>
  <c r="I7" i="20"/>
  <c r="K7" i="20"/>
  <c r="C8" i="20"/>
  <c r="E8" i="20"/>
  <c r="G8" i="20"/>
  <c r="I8" i="20"/>
  <c r="K8" i="20"/>
  <c r="C9" i="20"/>
  <c r="E9" i="20"/>
  <c r="G9" i="20"/>
  <c r="I9" i="20"/>
  <c r="K9" i="20"/>
  <c r="C10" i="20"/>
  <c r="E10" i="20"/>
  <c r="G10" i="20"/>
  <c r="I10" i="20"/>
  <c r="K10" i="20"/>
  <c r="C11" i="20"/>
  <c r="E11" i="20"/>
  <c r="G11" i="20"/>
  <c r="I11" i="20"/>
  <c r="K11" i="20"/>
  <c r="C12" i="20"/>
  <c r="E12" i="20"/>
  <c r="G12" i="20"/>
  <c r="I12" i="20"/>
  <c r="K12" i="20"/>
  <c r="C13" i="20"/>
  <c r="E13" i="20"/>
  <c r="G13" i="20"/>
  <c r="I13" i="20"/>
  <c r="K13" i="20"/>
  <c r="C14" i="20"/>
  <c r="E14" i="20"/>
  <c r="G14" i="20"/>
  <c r="I14" i="20"/>
  <c r="K14" i="20"/>
  <c r="C15" i="20"/>
  <c r="E15" i="20"/>
  <c r="G15" i="20"/>
  <c r="I15" i="20"/>
  <c r="K15" i="20"/>
  <c r="C16" i="20"/>
  <c r="E16" i="20"/>
  <c r="G16" i="20"/>
  <c r="I16" i="20"/>
  <c r="K16" i="20"/>
  <c r="C17" i="20"/>
  <c r="E17" i="20"/>
  <c r="G17" i="20"/>
  <c r="I17" i="20"/>
  <c r="K17" i="20"/>
  <c r="C18" i="20"/>
  <c r="E18" i="20"/>
  <c r="G18" i="20"/>
  <c r="I18" i="20"/>
  <c r="K18" i="20"/>
  <c r="C19" i="20"/>
  <c r="E19" i="20"/>
  <c r="G19" i="20"/>
  <c r="I19" i="20"/>
  <c r="K19" i="20"/>
  <c r="C20" i="20"/>
  <c r="E20" i="20"/>
  <c r="G20" i="20"/>
  <c r="I20" i="20"/>
  <c r="K20" i="20"/>
  <c r="C21" i="20"/>
  <c r="E21" i="20"/>
  <c r="G21" i="20"/>
  <c r="I21" i="20"/>
  <c r="K21" i="20"/>
  <c r="C22" i="20"/>
  <c r="E22" i="20"/>
  <c r="G22" i="20"/>
  <c r="I22" i="20"/>
  <c r="K22" i="20"/>
  <c r="C23" i="20"/>
  <c r="E23" i="20"/>
  <c r="G23" i="20"/>
  <c r="I23" i="20"/>
  <c r="K23" i="20"/>
  <c r="C24" i="20"/>
  <c r="E24" i="20"/>
  <c r="G24" i="20"/>
  <c r="I24" i="20"/>
  <c r="K24" i="20"/>
  <c r="C7" i="3"/>
  <c r="J25" i="13" l="1"/>
  <c r="J26" i="13" s="1"/>
  <c r="D8" i="21"/>
  <c r="E7" i="21"/>
  <c r="C7" i="21"/>
  <c r="B8" i="21"/>
  <c r="F7" i="21"/>
  <c r="E8" i="21" l="1"/>
  <c r="D9" i="21"/>
  <c r="B9" i="21"/>
  <c r="C8" i="21"/>
  <c r="G7" i="21"/>
  <c r="F8" i="21"/>
  <c r="C9" i="21" l="1"/>
  <c r="B10" i="21"/>
  <c r="D10" i="21"/>
  <c r="E9" i="21"/>
  <c r="G8" i="21"/>
  <c r="F9" i="21"/>
  <c r="D11" i="21" l="1"/>
  <c r="E10" i="21"/>
  <c r="B11" i="21"/>
  <c r="C10" i="21"/>
  <c r="G9" i="21"/>
  <c r="F10" i="21"/>
  <c r="C11" i="21" l="1"/>
  <c r="B12" i="21"/>
  <c r="E11" i="21"/>
  <c r="D12" i="21"/>
  <c r="G10" i="21"/>
  <c r="F11" i="21"/>
  <c r="D13" i="21" l="1"/>
  <c r="E12" i="21"/>
  <c r="B13" i="21"/>
  <c r="C12" i="21"/>
  <c r="G11" i="21"/>
  <c r="F12" i="21"/>
  <c r="C13" i="21" l="1"/>
  <c r="B14" i="21"/>
  <c r="D14" i="21"/>
  <c r="E13" i="21"/>
  <c r="G12" i="21"/>
  <c r="F13" i="21"/>
  <c r="D15" i="21" l="1"/>
  <c r="E14" i="21"/>
  <c r="B15" i="21"/>
  <c r="C14" i="21"/>
  <c r="G13" i="21"/>
  <c r="F14" i="21"/>
  <c r="C15" i="21" l="1"/>
  <c r="B16" i="21"/>
  <c r="D16" i="21"/>
  <c r="E15" i="21"/>
  <c r="G14" i="21"/>
  <c r="F15" i="21"/>
  <c r="D17" i="21" l="1"/>
  <c r="E16" i="21"/>
  <c r="B17" i="21"/>
  <c r="C16" i="21"/>
  <c r="G15" i="21"/>
  <c r="F16" i="21"/>
  <c r="C17" i="21" l="1"/>
  <c r="B18" i="21"/>
  <c r="D18" i="21"/>
  <c r="E17" i="21"/>
  <c r="G16" i="21"/>
  <c r="F17" i="21"/>
  <c r="D19" i="21" l="1"/>
  <c r="E18" i="21"/>
  <c r="B19" i="21"/>
  <c r="C18" i="21"/>
  <c r="G17" i="21"/>
  <c r="F18" i="21"/>
  <c r="C19" i="21" l="1"/>
  <c r="B20" i="21"/>
  <c r="D20" i="21"/>
  <c r="E19" i="21"/>
  <c r="G18" i="21"/>
  <c r="F19" i="21"/>
  <c r="D21" i="21" l="1"/>
  <c r="E20" i="21"/>
  <c r="B21" i="21"/>
  <c r="C20" i="21"/>
  <c r="G19" i="21"/>
  <c r="F20" i="21"/>
  <c r="C21" i="21" l="1"/>
  <c r="B22" i="21"/>
  <c r="E21" i="21"/>
  <c r="D22" i="21"/>
  <c r="G20" i="21"/>
  <c r="F21" i="21"/>
  <c r="D23" i="21" l="1"/>
  <c r="E22" i="21"/>
  <c r="B23" i="21"/>
  <c r="C22" i="21"/>
  <c r="G21" i="21"/>
  <c r="F22" i="21"/>
  <c r="D24" i="21" l="1"/>
  <c r="E24" i="21" s="1"/>
  <c r="E23" i="21"/>
  <c r="C23" i="21"/>
  <c r="B24" i="21"/>
  <c r="C24" i="21" s="1"/>
  <c r="G22" i="21"/>
  <c r="F23" i="21"/>
  <c r="G23" i="21" l="1"/>
  <c r="F24" i="21"/>
  <c r="G24" i="21" s="1"/>
  <c r="M24" i="19" l="1"/>
  <c r="L24" i="19"/>
  <c r="K24" i="19"/>
  <c r="J24" i="19"/>
  <c r="H24" i="19"/>
  <c r="G24" i="19"/>
  <c r="F24" i="19"/>
  <c r="E24" i="19" l="1"/>
  <c r="C23" i="3" l="1"/>
  <c r="H10" i="13" l="1"/>
  <c r="C34" i="17"/>
  <c r="C35" i="17" s="1"/>
  <c r="C56" i="18"/>
  <c r="C49" i="18"/>
  <c r="C42" i="18"/>
  <c r="T7" i="8"/>
  <c r="D55" i="8" s="1"/>
  <c r="E54" i="8" s="1"/>
  <c r="F54" i="8" s="1"/>
  <c r="E79" i="8"/>
  <c r="F79" i="8" s="1"/>
  <c r="M65" i="8"/>
  <c r="N65" i="8" s="1"/>
  <c r="E65" i="8"/>
  <c r="F65" i="8" s="1"/>
  <c r="M52" i="8"/>
  <c r="N52" i="8" s="1"/>
  <c r="E52" i="8"/>
  <c r="F52" i="8" s="1"/>
  <c r="N39" i="8"/>
  <c r="E39" i="8"/>
  <c r="F39" i="8" s="1"/>
  <c r="M13" i="8"/>
  <c r="N13" i="8" s="1"/>
  <c r="N26" i="8"/>
  <c r="E26" i="8"/>
  <c r="F26" i="8" s="1"/>
  <c r="U7" i="8" l="1"/>
  <c r="V7" i="8"/>
  <c r="T8" i="8"/>
  <c r="V8" i="8" s="1"/>
  <c r="Y18" i="8" s="1"/>
  <c r="V18" i="8"/>
  <c r="I8" i="13"/>
  <c r="C85" i="18" l="1"/>
  <c r="C80" i="18"/>
  <c r="C75" i="18"/>
  <c r="C70" i="18"/>
  <c r="C65" i="18"/>
  <c r="C59" i="18"/>
  <c r="C60" i="18" s="1"/>
  <c r="C52" i="18"/>
  <c r="C53" i="18" s="1"/>
  <c r="C45" i="18"/>
  <c r="C108" i="18"/>
  <c r="F128" i="18" s="1"/>
  <c r="B104" i="18"/>
  <c r="C104" i="18"/>
  <c r="C120" i="18"/>
  <c r="C128" i="18"/>
  <c r="C133" i="18"/>
  <c r="C136" i="18"/>
  <c r="C141" i="18"/>
  <c r="C144" i="18"/>
  <c r="C149" i="18"/>
  <c r="C152" i="18"/>
  <c r="C157" i="18"/>
  <c r="C160" i="18"/>
  <c r="F129" i="18"/>
  <c r="C197" i="18"/>
  <c r="C191" i="18"/>
  <c r="C185" i="18"/>
  <c r="C179" i="18"/>
  <c r="C173" i="18"/>
  <c r="C167" i="18"/>
  <c r="I120" i="18"/>
  <c r="G110" i="18"/>
  <c r="H110" i="18" s="1"/>
  <c r="I110" i="18" s="1"/>
  <c r="G109" i="18"/>
  <c r="H109" i="18" s="1"/>
  <c r="I109" i="18" s="1"/>
  <c r="G108" i="18"/>
  <c r="H107" i="18" s="1"/>
  <c r="I107" i="18" s="1"/>
  <c r="G107" i="18"/>
  <c r="G106" i="18"/>
  <c r="H106" i="18" s="1"/>
  <c r="I106" i="18" s="1"/>
  <c r="G105" i="18"/>
  <c r="H105" i="18" s="1"/>
  <c r="I105" i="18" s="1"/>
  <c r="G104" i="18"/>
  <c r="H104" i="18" s="1"/>
  <c r="C36" i="18"/>
  <c r="C28" i="18"/>
  <c r="C21" i="18"/>
  <c r="P12" i="18"/>
  <c r="O12" i="18"/>
  <c r="C12" i="18"/>
  <c r="B12" i="18"/>
  <c r="T11" i="18"/>
  <c r="U11" i="18" s="1"/>
  <c r="V11" i="18" s="1"/>
  <c r="G11" i="18"/>
  <c r="H11" i="18" s="1"/>
  <c r="I11" i="18" s="1"/>
  <c r="T10" i="18"/>
  <c r="U10" i="18" s="1"/>
  <c r="V10" i="18" s="1"/>
  <c r="G10" i="18"/>
  <c r="H10" i="18" s="1"/>
  <c r="I10" i="18" s="1"/>
  <c r="T9" i="18"/>
  <c r="U8" i="18" s="1"/>
  <c r="V8" i="18" s="1"/>
  <c r="G9" i="18"/>
  <c r="H9" i="18" s="1"/>
  <c r="I9" i="18" s="1"/>
  <c r="K9" i="18" s="1"/>
  <c r="T8" i="18"/>
  <c r="G8" i="18"/>
  <c r="T7" i="18"/>
  <c r="U7" i="18" s="1"/>
  <c r="V7" i="18" s="1"/>
  <c r="G7" i="18"/>
  <c r="H7" i="18" s="1"/>
  <c r="I7" i="18" s="1"/>
  <c r="T6" i="18"/>
  <c r="U6" i="18" s="1"/>
  <c r="V6" i="18" s="1"/>
  <c r="G6" i="18"/>
  <c r="H6" i="18" s="1"/>
  <c r="I6" i="18" s="1"/>
  <c r="T5" i="18"/>
  <c r="U5" i="18" s="1"/>
  <c r="G5" i="18"/>
  <c r="H5" i="18" s="1"/>
  <c r="C161" i="18" l="1"/>
  <c r="B105" i="18"/>
  <c r="F123" i="18"/>
  <c r="C137" i="18"/>
  <c r="C145" i="18"/>
  <c r="C153" i="18"/>
  <c r="F125" i="18"/>
  <c r="F130" i="18"/>
  <c r="B13" i="18"/>
  <c r="O13" i="18"/>
  <c r="I117" i="18"/>
  <c r="I121" i="18" s="1"/>
  <c r="H108" i="18"/>
  <c r="I108" i="18" s="1"/>
  <c r="I111" i="18" s="1"/>
  <c r="C25" i="18"/>
  <c r="C29" i="18" s="1"/>
  <c r="C37" i="18" s="1"/>
  <c r="H8" i="18"/>
  <c r="I8" i="18" s="1"/>
  <c r="C18" i="18" s="1"/>
  <c r="C22" i="18" s="1"/>
  <c r="U9" i="18"/>
  <c r="V9" i="18" s="1"/>
  <c r="V12" i="18" s="1"/>
  <c r="I112" i="18" l="1"/>
  <c r="I113" i="18" s="1"/>
  <c r="C117" i="18" s="1"/>
  <c r="C121" i="18" s="1"/>
  <c r="C129" i="18" s="1"/>
  <c r="V13" i="18"/>
  <c r="V14" i="18" s="1"/>
  <c r="I12" i="18"/>
  <c r="K25" i="11"/>
  <c r="E25" i="11"/>
  <c r="G8" i="6"/>
  <c r="G7" i="6"/>
  <c r="D24" i="6"/>
  <c r="E24" i="6" s="1"/>
  <c r="D37" i="6"/>
  <c r="E37" i="6" s="1"/>
  <c r="E38" i="26" l="1"/>
  <c r="D34" i="17"/>
  <c r="D35" i="17" s="1"/>
  <c r="F115" i="18"/>
  <c r="F124" i="18" s="1"/>
  <c r="F126" i="18" s="1"/>
  <c r="I13" i="18"/>
  <c r="I14" i="18" s="1"/>
  <c r="H6" i="6"/>
  <c r="I6" i="6" s="1"/>
  <c r="H7" i="6"/>
  <c r="I7" i="6" s="1"/>
  <c r="P12" i="13" l="1"/>
  <c r="O12" i="13"/>
  <c r="T11" i="13"/>
  <c r="U11" i="13" s="1"/>
  <c r="V11" i="13" s="1"/>
  <c r="T10" i="13"/>
  <c r="U10" i="13" s="1"/>
  <c r="V10" i="13" s="1"/>
  <c r="T9" i="13"/>
  <c r="U9" i="13" s="1"/>
  <c r="V9" i="13" s="1"/>
  <c r="T8" i="13"/>
  <c r="T7" i="13"/>
  <c r="U7" i="13" s="1"/>
  <c r="V7" i="13" s="1"/>
  <c r="T6" i="13"/>
  <c r="U6" i="13" s="1"/>
  <c r="V6" i="13" s="1"/>
  <c r="T5" i="13"/>
  <c r="U5" i="13" s="1"/>
  <c r="U8" i="13" l="1"/>
  <c r="V8" i="13" s="1"/>
  <c r="V12" i="13" s="1"/>
  <c r="P13" i="13"/>
  <c r="W13" i="13" l="1"/>
  <c r="W23" i="13" s="1"/>
  <c r="D31" i="17" l="1"/>
  <c r="C31" i="17"/>
  <c r="G21" i="17"/>
  <c r="F21" i="17"/>
  <c r="D21" i="17"/>
  <c r="M21" i="17"/>
  <c r="L21" i="17"/>
  <c r="K21" i="17"/>
  <c r="J21" i="17"/>
  <c r="I21" i="17"/>
  <c r="H21" i="17"/>
  <c r="E9" i="17"/>
  <c r="E21" i="17" s="1"/>
  <c r="J11" i="13" l="1"/>
  <c r="I9" i="13"/>
  <c r="J9" i="13" s="1"/>
  <c r="I7" i="13"/>
  <c r="E7" i="13" s="1"/>
  <c r="J7" i="13" s="1"/>
  <c r="I6" i="13"/>
  <c r="H11" i="13" l="1"/>
  <c r="D25" i="11"/>
  <c r="C25" i="11"/>
  <c r="B25" i="11"/>
  <c r="G51" i="12" l="1"/>
  <c r="H52" i="12"/>
  <c r="G53" i="12" l="1"/>
  <c r="T4" i="8" l="1"/>
  <c r="Q4" i="8"/>
  <c r="Q11" i="8"/>
  <c r="V4" i="8" l="1"/>
  <c r="D16" i="8"/>
  <c r="E15" i="8" s="1"/>
  <c r="F15" i="8" s="1"/>
  <c r="U11" i="8"/>
  <c r="V11" i="8"/>
  <c r="Y12" i="8" s="1"/>
  <c r="U4" i="8"/>
  <c r="U18" i="8"/>
  <c r="T14" i="8"/>
  <c r="L55" i="8" s="1"/>
  <c r="M54" i="8" s="1"/>
  <c r="N54" i="8" s="1"/>
  <c r="T13" i="8"/>
  <c r="Q15" i="8"/>
  <c r="Q14" i="8"/>
  <c r="Q13" i="8"/>
  <c r="Q12" i="8"/>
  <c r="U6" i="8"/>
  <c r="T5" i="8"/>
  <c r="D29" i="8" s="1"/>
  <c r="E28" i="8" s="1"/>
  <c r="F28" i="8" s="1"/>
  <c r="U8" i="8"/>
  <c r="Q8" i="8"/>
  <c r="Q7" i="8"/>
  <c r="Q6" i="8"/>
  <c r="Q5" i="8"/>
  <c r="H8" i="6"/>
  <c r="I8" i="6" s="1"/>
  <c r="H5" i="6"/>
  <c r="I5" i="6" s="1"/>
  <c r="V14" i="8" l="1"/>
  <c r="Y15" i="8" s="1"/>
  <c r="AA15" i="8"/>
  <c r="V13" i="8"/>
  <c r="AA14" i="8"/>
  <c r="AA13" i="8"/>
  <c r="U14" i="8"/>
  <c r="U13" i="8"/>
  <c r="U12" i="8"/>
  <c r="U5" i="8"/>
  <c r="V5" i="8"/>
  <c r="U15" i="8"/>
  <c r="E78" i="8"/>
  <c r="F78" i="8" s="1"/>
  <c r="E77" i="8"/>
  <c r="F77" i="8" s="1"/>
  <c r="E76" i="8"/>
  <c r="F76" i="8" s="1"/>
  <c r="E75" i="8"/>
  <c r="F75" i="8" s="1"/>
  <c r="E74" i="8"/>
  <c r="F74" i="8" s="1"/>
  <c r="E73" i="8"/>
  <c r="F73" i="8" s="1"/>
  <c r="E72" i="8"/>
  <c r="F72" i="8" s="1"/>
  <c r="E71" i="8"/>
  <c r="F71" i="8" s="1"/>
  <c r="M64" i="8"/>
  <c r="N64" i="8" s="1"/>
  <c r="E64" i="8"/>
  <c r="F64" i="8" s="1"/>
  <c r="M63" i="8"/>
  <c r="N63" i="8" s="1"/>
  <c r="E63" i="8"/>
  <c r="F63" i="8" s="1"/>
  <c r="M62" i="8"/>
  <c r="N62" i="8" s="1"/>
  <c r="E62" i="8"/>
  <c r="F62" i="8" s="1"/>
  <c r="M61" i="8"/>
  <c r="N61" i="8" s="1"/>
  <c r="E61" i="8"/>
  <c r="F61" i="8" s="1"/>
  <c r="M60" i="8"/>
  <c r="N60" i="8" s="1"/>
  <c r="E60" i="8"/>
  <c r="F60" i="8" s="1"/>
  <c r="M59" i="8"/>
  <c r="N59" i="8" s="1"/>
  <c r="E59" i="8"/>
  <c r="F59" i="8" s="1"/>
  <c r="M58" i="8"/>
  <c r="N58" i="8" s="1"/>
  <c r="E58" i="8"/>
  <c r="F58" i="8" s="1"/>
  <c r="M57" i="8"/>
  <c r="N57" i="8" s="1"/>
  <c r="E57" i="8"/>
  <c r="F57" i="8" s="1"/>
  <c r="M51" i="8"/>
  <c r="N51" i="8" s="1"/>
  <c r="E51" i="8"/>
  <c r="F51" i="8" s="1"/>
  <c r="M50" i="8"/>
  <c r="N50" i="8" s="1"/>
  <c r="E50" i="8"/>
  <c r="F50" i="8" s="1"/>
  <c r="M49" i="8"/>
  <c r="N49" i="8" s="1"/>
  <c r="E49" i="8"/>
  <c r="F49" i="8" s="1"/>
  <c r="M48" i="8"/>
  <c r="N48" i="8" s="1"/>
  <c r="E48" i="8"/>
  <c r="F48" i="8" s="1"/>
  <c r="M47" i="8"/>
  <c r="N47" i="8" s="1"/>
  <c r="E47" i="8"/>
  <c r="F47" i="8" s="1"/>
  <c r="M46" i="8"/>
  <c r="N46" i="8" s="1"/>
  <c r="E46" i="8"/>
  <c r="F46" i="8" s="1"/>
  <c r="M45" i="8"/>
  <c r="N45" i="8" s="1"/>
  <c r="E45" i="8"/>
  <c r="F45" i="8" s="1"/>
  <c r="M44" i="8"/>
  <c r="N44" i="8" s="1"/>
  <c r="E44" i="8"/>
  <c r="F44" i="8" s="1"/>
  <c r="M38" i="8"/>
  <c r="N38" i="8" s="1"/>
  <c r="E38" i="8"/>
  <c r="F38" i="8" s="1"/>
  <c r="M37" i="8"/>
  <c r="N37" i="8" s="1"/>
  <c r="E37" i="8"/>
  <c r="F37" i="8" s="1"/>
  <c r="M36" i="8"/>
  <c r="N36" i="8" s="1"/>
  <c r="E36" i="8"/>
  <c r="F36" i="8" s="1"/>
  <c r="M35" i="8"/>
  <c r="N35" i="8" s="1"/>
  <c r="E35" i="8"/>
  <c r="F35" i="8" s="1"/>
  <c r="M34" i="8"/>
  <c r="N34" i="8" s="1"/>
  <c r="E34" i="8"/>
  <c r="F34" i="8" s="1"/>
  <c r="M33" i="8"/>
  <c r="N33" i="8" s="1"/>
  <c r="E33" i="8"/>
  <c r="F33" i="8" s="1"/>
  <c r="M32" i="8"/>
  <c r="N32" i="8" s="1"/>
  <c r="E32" i="8"/>
  <c r="F32" i="8" s="1"/>
  <c r="M31" i="8"/>
  <c r="N31" i="8" s="1"/>
  <c r="E31" i="8"/>
  <c r="F31" i="8" s="1"/>
  <c r="M25" i="8"/>
  <c r="N25" i="8" s="1"/>
  <c r="E25" i="8"/>
  <c r="F25" i="8" s="1"/>
  <c r="M24" i="8"/>
  <c r="N24" i="8" s="1"/>
  <c r="E24" i="8"/>
  <c r="F24" i="8" s="1"/>
  <c r="M23" i="8"/>
  <c r="N23" i="8" s="1"/>
  <c r="E23" i="8"/>
  <c r="F23" i="8" s="1"/>
  <c r="M22" i="8"/>
  <c r="N22" i="8" s="1"/>
  <c r="E22" i="8"/>
  <c r="F22" i="8" s="1"/>
  <c r="M21" i="8"/>
  <c r="N21" i="8" s="1"/>
  <c r="E21" i="8"/>
  <c r="F21" i="8" s="1"/>
  <c r="M20" i="8"/>
  <c r="N20" i="8" s="1"/>
  <c r="E20" i="8"/>
  <c r="F20" i="8" s="1"/>
  <c r="M19" i="8"/>
  <c r="N19" i="8" s="1"/>
  <c r="E19" i="8"/>
  <c r="F19" i="8" s="1"/>
  <c r="M18" i="8"/>
  <c r="N18" i="8" s="1"/>
  <c r="E18" i="8"/>
  <c r="F18" i="8" s="1"/>
  <c r="M12" i="8"/>
  <c r="N12" i="8" s="1"/>
  <c r="E12" i="8"/>
  <c r="F12" i="8" s="1"/>
  <c r="M11" i="8"/>
  <c r="N11" i="8" s="1"/>
  <c r="E11" i="8"/>
  <c r="F11" i="8" s="1"/>
  <c r="M10" i="8"/>
  <c r="N10" i="8" s="1"/>
  <c r="E10" i="8"/>
  <c r="F10" i="8" s="1"/>
  <c r="M9" i="8"/>
  <c r="N9" i="8" s="1"/>
  <c r="E9" i="8"/>
  <c r="F9" i="8" s="1"/>
  <c r="M8" i="8"/>
  <c r="N8" i="8" s="1"/>
  <c r="E8" i="8"/>
  <c r="F8" i="8" s="1"/>
  <c r="M7" i="8"/>
  <c r="N7" i="8" s="1"/>
  <c r="M6" i="8"/>
  <c r="N6" i="8" s="1"/>
  <c r="Y14" i="8" l="1"/>
  <c r="Y13" i="8"/>
  <c r="K49" i="12"/>
  <c r="L52" i="12"/>
  <c r="M57" i="12" s="1"/>
  <c r="X15" i="8"/>
  <c r="X14" i="8"/>
  <c r="X13" i="8"/>
  <c r="X12" i="8"/>
  <c r="G56" i="8"/>
  <c r="G4" i="8"/>
  <c r="G17" i="8"/>
  <c r="G30" i="8"/>
  <c r="G70" i="8"/>
  <c r="O17" i="8"/>
  <c r="O43" i="8"/>
  <c r="G43" i="8"/>
  <c r="O30" i="8"/>
  <c r="O56" i="8"/>
  <c r="O4" i="8"/>
  <c r="C25" i="3" l="1"/>
  <c r="C29" i="3" s="1"/>
  <c r="C31" i="3" s="1"/>
  <c r="D36" i="6"/>
  <c r="E36" i="6" s="1"/>
  <c r="D35" i="6"/>
  <c r="E35" i="6" s="1"/>
  <c r="D34" i="6"/>
  <c r="E34" i="6" s="1"/>
  <c r="D33" i="6"/>
  <c r="E33" i="6" s="1"/>
  <c r="D32" i="6"/>
  <c r="E32" i="6" s="1"/>
  <c r="D31" i="6"/>
  <c r="E31" i="6" s="1"/>
  <c r="D30" i="6"/>
  <c r="E30" i="6" s="1"/>
  <c r="D29" i="6"/>
  <c r="E29" i="6" s="1"/>
  <c r="D56" i="6"/>
  <c r="E56" i="6" s="1"/>
  <c r="D55" i="6"/>
  <c r="E55" i="6" s="1"/>
  <c r="D54" i="6"/>
  <c r="E54" i="6" s="1"/>
  <c r="D53" i="6"/>
  <c r="E53" i="6" s="1"/>
  <c r="D52" i="6"/>
  <c r="E52" i="6" s="1"/>
  <c r="D51" i="6"/>
  <c r="E51" i="6" s="1"/>
  <c r="D50" i="6"/>
  <c r="E50" i="6" s="1"/>
  <c r="D23" i="6"/>
  <c r="E23" i="6" s="1"/>
  <c r="D22" i="6"/>
  <c r="E22" i="6" s="1"/>
  <c r="D21" i="6"/>
  <c r="E21" i="6" s="1"/>
  <c r="D20" i="6"/>
  <c r="E20" i="6" s="1"/>
  <c r="D19" i="6"/>
  <c r="E19" i="6" s="1"/>
  <c r="D18" i="6"/>
  <c r="E18" i="6" s="1"/>
  <c r="D17" i="6"/>
  <c r="E17" i="6" s="1"/>
  <c r="D16" i="6"/>
  <c r="E16" i="6" s="1"/>
  <c r="F49" i="6" l="1"/>
  <c r="J12" i="13" l="1"/>
  <c r="J13" i="13" l="1"/>
  <c r="J14" i="13" s="1"/>
  <c r="C46" i="18"/>
  <c r="K31" i="12" l="1"/>
  <c r="K33" i="12" s="1"/>
  <c r="E18" i="25"/>
  <c r="E81" i="25" l="1"/>
  <c r="K51" i="12"/>
  <c r="K53" i="12" s="1"/>
  <c r="M59" i="12" s="1"/>
  <c r="D81" i="25"/>
  <c r="C18" i="25"/>
  <c r="C81" i="25" s="1"/>
  <c r="C83" i="25" s="1"/>
  <c r="E83" i="25" l="1"/>
  <c r="B27" i="30"/>
  <c r="D83" i="25"/>
  <c r="B16" i="30"/>
  <c r="H18" i="25"/>
  <c r="F15" i="30" l="1"/>
  <c r="A32" i="30"/>
  <c r="A21" i="30"/>
  <c r="E15" i="30"/>
  <c r="G15" i="30" l="1"/>
  <c r="F19" i="30"/>
  <c r="C32" i="30"/>
  <c r="F9" i="30"/>
  <c r="G9" i="30" s="1"/>
  <c r="E19" i="30"/>
  <c r="C21" i="30"/>
  <c r="G19"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tc={A4F141F9-2E2A-4FD1-9294-376BCFF0E8B2}</author>
    <author>tc={798A1520-0EDD-4234-8C2B-593396BB37E4}</author>
    <author>tc={D7CCBC2F-18CF-464D-B0A0-B17524BAAEC9}</author>
    <author>tc={F839E474-C28A-4ADF-8189-51FCFFDC4817}</author>
    <author>tc={1CCE8EDC-1D63-4803-9545-A0B35FEC9C8D}</author>
    <author>tc={DD7FF4FB-7F9F-4098-954D-422C5515A691}</author>
    <author>tc={6186E30C-E450-4C67-AA32-B6970F5AE4FE}</author>
  </authors>
  <commentList>
    <comment ref="E22" authorId="0" shapeId="0" xr:uid="{A4F141F9-2E2A-4FD1-9294-376BCFF0E8B2}">
      <text>
        <t>[Threaded comment]
Your version of Excel allows you to read this threaded comment; however, any edits to it will get removed if the file is opened in a newer version of Excel. Learn more: https://go.microsoft.com/fwlink/?linkid=870924
Comment:
    Includes new toddler teacher and assistant</t>
      </text>
    </comment>
    <comment ref="E40" authorId="1" shapeId="0" xr:uid="{798A1520-0EDD-4234-8C2B-593396BB37E4}">
      <text>
        <t>[Threaded comment]
Your version of Excel allows you to read this threaded comment; however, any edits to it will get removed if the file is opened in a newer version of Excel. Learn more: https://go.microsoft.com/fwlink/?linkid=870924
Comment:
    Allocated $58,500 for tech support services</t>
      </text>
    </comment>
    <comment ref="E45" authorId="2" shapeId="0" xr:uid="{D7CCBC2F-18CF-464D-B0A0-B17524BAAEC9}">
      <text>
        <t>[Threaded comment]
Your version of Excel allows you to read this threaded comment; however, any edits to it will get removed if the file is opened in a newer version of Excel. Learn more: https://go.microsoft.com/fwlink/?linkid=870924
Comment:
    Covers purchase of operating and security software for all school devices</t>
      </text>
    </comment>
    <comment ref="E46" authorId="3" shapeId="0" xr:uid="{F839E474-C28A-4ADF-8189-51FCFFDC4817}">
      <text>
        <t>[Threaded comment]
Your version of Excel allows you to read this threaded comment; however, any edits to it will get removed if the file is opened in a newer version of Excel. Learn more: https://go.microsoft.com/fwlink/?linkid=870924
Comment:
    Moved % to GSC Grant</t>
      </text>
    </comment>
    <comment ref="E51" authorId="4" shapeId="0" xr:uid="{1CCE8EDC-1D63-4803-9545-A0B35FEC9C8D}">
      <text>
        <t>[Threaded comment]
Your version of Excel allows you to read this threaded comment; however, any edits to it will get removed if the file is opened in a newer version of Excel. Learn more: https://go.microsoft.com/fwlink/?linkid=870924
Comment:
    Came in $60,000 lower than expected</t>
      </text>
    </comment>
    <comment ref="E56" authorId="5" shapeId="0" xr:uid="{DD7FF4FB-7F9F-4098-954D-422C5515A691}">
      <text>
        <t>[Threaded comment]
Your version of Excel allows you to read this threaded comment; however, any edits to it will get removed if the file is opened in a newer version of Excel. Learn more: https://go.microsoft.com/fwlink/?linkid=870924
Comment:
    Reallocate to the GSC Grant</t>
      </text>
    </comment>
    <comment ref="E59" authorId="6" shapeId="0" xr:uid="{6186E30C-E450-4C67-AA32-B6970F5AE4FE}">
      <text>
        <t>[Threaded comment]
Your version of Excel allows you to read this threaded comment; however, any edits to it will get removed if the file is opened in a newer version of Excel. Learn more: https://go.microsoft.com/fwlink/?linkid=870924
Comment:
    Reallocate to the GSC Grant</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tc={E45A0FD1-8660-4929-92FD-F5CEBC20A9EF}</author>
  </authors>
  <commentList>
    <comment ref="G8" authorId="0" shapeId="0" xr:uid="{E45A0FD1-8660-4929-92FD-F5CEBC20A9EF}">
      <text>
        <t>[Threaded comment]
Your version of Excel allows you to read this threaded comment; however, any edits to it will get removed if the file is opened in a newer version of Excel. Learn more: https://go.microsoft.com/fwlink/?linkid=870924
Comment:
    Approved FY26 rate:  $6110.43</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tc={722E19B6-75CE-4E8D-BAF8-9D488BC40042}</author>
  </authors>
  <commentList>
    <comment ref="G8" authorId="0" shapeId="0" xr:uid="{722E19B6-75CE-4E8D-BAF8-9D488BC40042}">
      <text>
        <t>[Threaded comment]
Your version of Excel allows you to read this threaded comment; however, any edits to it will get removed if the file is opened in a newer version of Excel. Learn more: https://go.microsoft.com/fwlink/?linkid=870924
Comment:
    Approved FY26 rate:  $6110.43</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tc={4301DA82-1B45-4BF4-B9CE-7C12BC7F9D7E}</author>
  </authors>
  <commentList>
    <comment ref="G10" authorId="0" shapeId="0" xr:uid="{4301DA82-1B45-4BF4-B9CE-7C12BC7F9D7E}">
      <text>
        <t>[Threaded comment]
Your version of Excel allows you to read this threaded comment; however, any edits to it will get removed if the file is opened in a newer version of Excel. Learn more: https://go.microsoft.com/fwlink/?linkid=870924
Comment:
    Approved FY26 rate:  $6110.43</t>
      </text>
    </comment>
  </commentList>
</comments>
</file>

<file path=xl/sharedStrings.xml><?xml version="1.0" encoding="utf-8"?>
<sst xmlns="http://schemas.openxmlformats.org/spreadsheetml/2006/main" count="2385" uniqueCount="861">
  <si>
    <t>Account</t>
  </si>
  <si>
    <t>Description</t>
  </si>
  <si>
    <t>451000</t>
  </si>
  <si>
    <t>5A</t>
  </si>
  <si>
    <t>451500</t>
  </si>
  <si>
    <t>Student Fees-Registration</t>
  </si>
  <si>
    <t>Revenues:</t>
  </si>
  <si>
    <t>Total Revenues</t>
  </si>
  <si>
    <t>Expenditures</t>
  </si>
  <si>
    <t>Total Salaries</t>
  </si>
  <si>
    <t>699000</t>
  </si>
  <si>
    <t>Employee Benefits</t>
  </si>
  <si>
    <t>Total Benefits</t>
  </si>
  <si>
    <t>702000</t>
  </si>
  <si>
    <t>Employee Training &amp; Conf</t>
  </si>
  <si>
    <t>703000</t>
  </si>
  <si>
    <t>Awards And Banquets</t>
  </si>
  <si>
    <t>705000</t>
  </si>
  <si>
    <t>Recruiting Costs</t>
  </si>
  <si>
    <t>710000</t>
  </si>
  <si>
    <t>Meals/Refreshments</t>
  </si>
  <si>
    <t>713000</t>
  </si>
  <si>
    <t>Student Transportation</t>
  </si>
  <si>
    <t>715000</t>
  </si>
  <si>
    <t>Student Admission/Entry Fees</t>
  </si>
  <si>
    <t>721000</t>
  </si>
  <si>
    <t>Legal Fees</t>
  </si>
  <si>
    <t>723000</t>
  </si>
  <si>
    <t>Printing</t>
  </si>
  <si>
    <t>726000</t>
  </si>
  <si>
    <t>Consultants</t>
  </si>
  <si>
    <t>731000</t>
  </si>
  <si>
    <t>745000</t>
  </si>
  <si>
    <t>Contract Maint/Eq Repair</t>
  </si>
  <si>
    <t>746000</t>
  </si>
  <si>
    <t>Const Maint/Repair-Bldg</t>
  </si>
  <si>
    <t>747000</t>
  </si>
  <si>
    <t>Software Purch/Lease</t>
  </si>
  <si>
    <t>752000</t>
  </si>
  <si>
    <t>Marketing - Advertising</t>
  </si>
  <si>
    <t>760000</t>
  </si>
  <si>
    <t>Telephone/Pagers/Modems</t>
  </si>
  <si>
    <t>768000</t>
  </si>
  <si>
    <t>Postage</t>
  </si>
  <si>
    <t>769000</t>
  </si>
  <si>
    <t>Permits/Licenses/Fees</t>
  </si>
  <si>
    <t>Total Purchased Services</t>
  </si>
  <si>
    <t>810000</t>
  </si>
  <si>
    <t>Office Material/Supplies</t>
  </si>
  <si>
    <t>810001</t>
  </si>
  <si>
    <t>Office Equipment - Under $5K</t>
  </si>
  <si>
    <t>812000</t>
  </si>
  <si>
    <t>Clinic Supplies/Materials</t>
  </si>
  <si>
    <t>820000</t>
  </si>
  <si>
    <t>Instructional Material/Supply</t>
  </si>
  <si>
    <t>820001</t>
  </si>
  <si>
    <t>Instructional Equip-Under $5K</t>
  </si>
  <si>
    <t>822000</t>
  </si>
  <si>
    <t>Textbooks</t>
  </si>
  <si>
    <t>823000</t>
  </si>
  <si>
    <t>Copier Usage</t>
  </si>
  <si>
    <t>824000</t>
  </si>
  <si>
    <t>Testing Materials</t>
  </si>
  <si>
    <t>840000</t>
  </si>
  <si>
    <t>Maint Materials/Supplies</t>
  </si>
  <si>
    <t>870000</t>
  </si>
  <si>
    <t>Library Materials</t>
  </si>
  <si>
    <t xml:space="preserve">Total Materials &amp; Supplies  </t>
  </si>
  <si>
    <t>Total Purchased Services, Materials &amp; Supplies</t>
  </si>
  <si>
    <t>Total Capital and Equipment</t>
  </si>
  <si>
    <t>Total Expenditures</t>
  </si>
  <si>
    <t>Total Expenses</t>
  </si>
  <si>
    <t>Total Salaries + Benefits</t>
  </si>
  <si>
    <t>Fees/Dues</t>
  </si>
  <si>
    <t>Salaries</t>
  </si>
  <si>
    <t>Student Admission / Entry Fee</t>
  </si>
  <si>
    <t>Purchased Services</t>
  </si>
  <si>
    <t>Supplies</t>
  </si>
  <si>
    <t>Expenses Before Indirect Costs</t>
  </si>
  <si>
    <t>Indirect Costs</t>
  </si>
  <si>
    <t xml:space="preserve">PPR </t>
  </si>
  <si>
    <t>Revenue less Expenses</t>
  </si>
  <si>
    <t>Program</t>
  </si>
  <si>
    <t>Number</t>
  </si>
  <si>
    <t>Revenues</t>
  </si>
  <si>
    <t>0016</t>
  </si>
  <si>
    <t>All Sch Activities 1</t>
  </si>
  <si>
    <t>0019</t>
  </si>
  <si>
    <t>0025</t>
  </si>
  <si>
    <t>0032</t>
  </si>
  <si>
    <t>0034</t>
  </si>
  <si>
    <t>0035</t>
  </si>
  <si>
    <t>0036</t>
  </si>
  <si>
    <t>0043</t>
  </si>
  <si>
    <t>0044</t>
  </si>
  <si>
    <t>0062</t>
  </si>
  <si>
    <t>0102</t>
  </si>
  <si>
    <t>0132</t>
  </si>
  <si>
    <t>0152</t>
  </si>
  <si>
    <t>0153</t>
  </si>
  <si>
    <t>0163</t>
  </si>
  <si>
    <t>0182</t>
  </si>
  <si>
    <t>0183</t>
  </si>
  <si>
    <t>0402</t>
  </si>
  <si>
    <t>1002</t>
  </si>
  <si>
    <t>1033</t>
  </si>
  <si>
    <t>1039</t>
  </si>
  <si>
    <t>1042</t>
  </si>
  <si>
    <t>1052</t>
  </si>
  <si>
    <t>1053</t>
  </si>
  <si>
    <t>1062</t>
  </si>
  <si>
    <t>1072</t>
  </si>
  <si>
    <t>1092</t>
  </si>
  <si>
    <t>1102</t>
  </si>
  <si>
    <t>1291</t>
  </si>
  <si>
    <t>1512</t>
  </si>
  <si>
    <t>9102</t>
  </si>
  <si>
    <t>9153</t>
  </si>
  <si>
    <t>9213</t>
  </si>
  <si>
    <t>9232</t>
  </si>
  <si>
    <t>9252</t>
  </si>
  <si>
    <t>9994</t>
  </si>
  <si>
    <t>Notes</t>
  </si>
  <si>
    <t>Grade</t>
  </si>
  <si>
    <t>1st</t>
  </si>
  <si>
    <t>2nd</t>
  </si>
  <si>
    <t>3rd</t>
  </si>
  <si>
    <t>4th</t>
  </si>
  <si>
    <t>5th</t>
  </si>
  <si>
    <t>6th</t>
  </si>
  <si>
    <t>7th</t>
  </si>
  <si>
    <t>8th</t>
  </si>
  <si>
    <t>FREE HORIZON Montessori - FY24 Budget Proposal</t>
  </si>
  <si>
    <t>FY24 Budget</t>
  </si>
  <si>
    <t xml:space="preserve"> </t>
  </si>
  <si>
    <t>Historical Tuition Rates</t>
  </si>
  <si>
    <t>School Year</t>
  </si>
  <si>
    <t xml:space="preserve">Tuition Rate </t>
  </si>
  <si>
    <t>$ increase per year</t>
  </si>
  <si>
    <t>% Increase Year over Year</t>
  </si>
  <si>
    <t>Average</t>
  </si>
  <si>
    <t>2014_15</t>
  </si>
  <si>
    <t>2015_16</t>
  </si>
  <si>
    <t>2016_17</t>
  </si>
  <si>
    <t>2017_18</t>
  </si>
  <si>
    <t>2018_19</t>
  </si>
  <si>
    <t>2019_20</t>
  </si>
  <si>
    <t>2020_21</t>
  </si>
  <si>
    <t>2021_22</t>
  </si>
  <si>
    <t>2022_23</t>
  </si>
  <si>
    <t>PK5HD</t>
  </si>
  <si>
    <t>NA</t>
  </si>
  <si>
    <t xml:space="preserve">Contracted Services </t>
  </si>
  <si>
    <t>UPK Program</t>
  </si>
  <si>
    <t># of full paying students</t>
  </si>
  <si>
    <t>#of UPK Slots</t>
  </si>
  <si>
    <t>Program Name</t>
  </si>
  <si>
    <t>KG</t>
  </si>
  <si>
    <t>Full Day Slot</t>
  </si>
  <si>
    <t xml:space="preserve"> 3yr old PK 5FD</t>
  </si>
  <si>
    <t>Part time Slot</t>
  </si>
  <si>
    <t>3 year old PK3FD</t>
  </si>
  <si>
    <t>4 year old PK5FD</t>
  </si>
  <si>
    <t>4 year old PK3FD</t>
  </si>
  <si>
    <t>TOTAL</t>
  </si>
  <si>
    <t>MORNING CARE</t>
  </si>
  <si>
    <t>AFTERCARE</t>
  </si>
  <si>
    <t xml:space="preserve">Annual Morning Rates </t>
  </si>
  <si>
    <t xml:space="preserve">Annual Afternoon Rates </t>
  </si>
  <si>
    <t>AC 1 day/wk</t>
  </si>
  <si>
    <t>AC 2 days/wk</t>
  </si>
  <si>
    <t>AC 3 days/wk</t>
  </si>
  <si>
    <t>AC 4 days/wk</t>
  </si>
  <si>
    <t>AC 5 days/wk</t>
  </si>
  <si>
    <t>MORNING &amp; AFTERCARE 5 Days a week</t>
  </si>
  <si>
    <t>Current Rate</t>
  </si>
  <si>
    <t>Increase</t>
  </si>
  <si>
    <t>Annual</t>
  </si>
  <si>
    <t>Monthly Increase</t>
  </si>
  <si>
    <t>Current Monthly Rate</t>
  </si>
  <si>
    <t>Increased Monthly Rate</t>
  </si>
  <si>
    <t>After Care Program</t>
  </si>
  <si>
    <t>Morning and Aftercare</t>
  </si>
  <si>
    <t>KG HD</t>
  </si>
  <si>
    <t>KG FD</t>
  </si>
  <si>
    <t>5A:</t>
  </si>
  <si>
    <t>PPR:</t>
  </si>
  <si>
    <t>est FTE:</t>
  </si>
  <si>
    <t>General Fund</t>
  </si>
  <si>
    <t xml:space="preserve">Purchased Services </t>
  </si>
  <si>
    <t>Materials and Supplies</t>
  </si>
  <si>
    <t>Total Revenues:</t>
  </si>
  <si>
    <t>Total Expenditures:</t>
  </si>
  <si>
    <t xml:space="preserve"> Fund Total:</t>
  </si>
  <si>
    <t>Campus Activity</t>
  </si>
  <si>
    <t>$ in = $ out</t>
  </si>
  <si>
    <t xml:space="preserve">Fund Total: </t>
  </si>
  <si>
    <t>EN040</t>
  </si>
  <si>
    <t>Fund Total:</t>
  </si>
  <si>
    <t>Overall Revenues:</t>
  </si>
  <si>
    <t>Overall Expenditures:</t>
  </si>
  <si>
    <t>Difference:</t>
  </si>
  <si>
    <t>Historical Enrollment Based off of End of Year Final Numbers</t>
  </si>
  <si>
    <t>19_20</t>
  </si>
  <si>
    <t>20_21</t>
  </si>
  <si>
    <t>21_22</t>
  </si>
  <si>
    <t>PS3 3FD</t>
  </si>
  <si>
    <t>PS4 3FD</t>
  </si>
  <si>
    <t>PS3 5HD</t>
  </si>
  <si>
    <t>PS3 5FD</t>
  </si>
  <si>
    <t>PS4 5HD</t>
  </si>
  <si>
    <t>PS4 5FD</t>
  </si>
  <si>
    <t>FTE:</t>
  </si>
  <si>
    <t>22_23 Current Rate Tuition</t>
  </si>
  <si>
    <t>% Change</t>
  </si>
  <si>
    <t>Change in $ per student annually per program</t>
  </si>
  <si>
    <t>23_24 Purposed Rate Tuition</t>
  </si>
  <si>
    <t># of students * new rate</t>
  </si>
  <si>
    <t xml:space="preserve">PIF Discounts </t>
  </si>
  <si>
    <t>Olther Schools Tuition Cost current year</t>
  </si>
  <si>
    <t>Compass Montessori</t>
  </si>
  <si>
    <t xml:space="preserve">3yr old </t>
  </si>
  <si>
    <t>5 Full days</t>
  </si>
  <si>
    <t>4 yr old</t>
  </si>
  <si>
    <t>Great Work Montessori</t>
  </si>
  <si>
    <t>4  Full days</t>
  </si>
  <si>
    <t>4 Full days</t>
  </si>
  <si>
    <t>Montessori Peaks</t>
  </si>
  <si>
    <t>3yr old</t>
  </si>
  <si>
    <t>Full Day M-Thurs</t>
  </si>
  <si>
    <t>Half Day M-Thurs</t>
  </si>
  <si>
    <t>4yr old</t>
  </si>
  <si>
    <t>4 Full Days</t>
  </si>
  <si>
    <t>4 Half Days</t>
  </si>
  <si>
    <t>Montessori Of Evergreen</t>
  </si>
  <si>
    <t>3&amp;4yr olds</t>
  </si>
  <si>
    <t>5 Full Days</t>
  </si>
  <si>
    <t>5 half Days</t>
  </si>
  <si>
    <t>Tuition</t>
  </si>
  <si>
    <t>parent monthly payment</t>
  </si>
  <si>
    <t>Salary</t>
  </si>
  <si>
    <t>Read Act:</t>
  </si>
  <si>
    <t>Staff Vending Machine</t>
  </si>
  <si>
    <t>Garden Grant</t>
  </si>
  <si>
    <t>All School Consumables</t>
  </si>
  <si>
    <t>Late Pick Up Fees</t>
  </si>
  <si>
    <t>Principal Discretionary</t>
  </si>
  <si>
    <t>Talent Show</t>
  </si>
  <si>
    <t>CSN Donation</t>
  </si>
  <si>
    <t>Background Checks</t>
  </si>
  <si>
    <t>All School Technology</t>
  </si>
  <si>
    <t>Primary Classrooms and Department</t>
  </si>
  <si>
    <t xml:space="preserve"> Lower Elementary Classroom and Department</t>
  </si>
  <si>
    <t>Upper Elementary Classroom and Department</t>
  </si>
  <si>
    <t>MS Outdoor Lab</t>
  </si>
  <si>
    <t>MS Classroom and Department</t>
  </si>
  <si>
    <t>LifeTouch Commissions</t>
  </si>
  <si>
    <t xml:space="preserve"> Art Specials and Electives</t>
  </si>
  <si>
    <t>Literacy Support</t>
  </si>
  <si>
    <t>Wonders Workbooks - Literacy</t>
  </si>
  <si>
    <t>Math Elementary</t>
  </si>
  <si>
    <t>Math Middle School</t>
  </si>
  <si>
    <t>Music Specials</t>
  </si>
  <si>
    <t>Music Instrumental Middle School</t>
  </si>
  <si>
    <t>Physical Education - All Grades</t>
  </si>
  <si>
    <t>Science - All Grades</t>
  </si>
  <si>
    <t>Consumer Family Studies</t>
  </si>
  <si>
    <t>Tech Ed Electives</t>
  </si>
  <si>
    <t>Band Club</t>
  </si>
  <si>
    <t>FHM Staff Education Loan/Grant Program</t>
  </si>
  <si>
    <t>Building Use Fees</t>
  </si>
  <si>
    <t>Free Horizon Montessori Fee Schedule</t>
  </si>
  <si>
    <t>Mandatory Fees</t>
  </si>
  <si>
    <t>Fee Name</t>
  </si>
  <si>
    <t>Fee Detail</t>
  </si>
  <si>
    <t>Preschool (PK)</t>
  </si>
  <si>
    <t>NOTES</t>
  </si>
  <si>
    <t>Online Montessori Records</t>
  </si>
  <si>
    <t xml:space="preserve"> Montessori memberships, Transparent Classroom</t>
  </si>
  <si>
    <t xml:space="preserve">Technology </t>
  </si>
  <si>
    <t>FHM Instructional Licenses, Raptor, Digital Security, Handouts,  Jeffco Technology Use Fee, FHM Technology Fee</t>
  </si>
  <si>
    <t>Classroom supplies for student</t>
  </si>
  <si>
    <t>Expendable classroom, project materials, required in addition to school supply list</t>
  </si>
  <si>
    <t>Student Planner</t>
  </si>
  <si>
    <t>Student workplan management</t>
  </si>
  <si>
    <t>Math Support Program</t>
  </si>
  <si>
    <t>Complement to Montessori materials</t>
  </si>
  <si>
    <t>Spelling/Literacy/Language Arts Support Program</t>
  </si>
  <si>
    <t>Library</t>
  </si>
  <si>
    <t>Shared media support and handouts</t>
  </si>
  <si>
    <t>Art</t>
  </si>
  <si>
    <t>Material cost for student projects</t>
  </si>
  <si>
    <t>elective</t>
  </si>
  <si>
    <t>Music</t>
  </si>
  <si>
    <t>Supplies, sheet music (includes digital), recorder</t>
  </si>
  <si>
    <t>PE</t>
  </si>
  <si>
    <t>Program Activity Fee</t>
  </si>
  <si>
    <t xml:space="preserve">Student assemblies, student council, enrichment activities </t>
  </si>
  <si>
    <t>Science Support Program</t>
  </si>
  <si>
    <t>Workbooks, handouts, consumable lab supplies</t>
  </si>
  <si>
    <t>Consumer Science</t>
  </si>
  <si>
    <t>Workbooks, handouts, consumable supplies</t>
  </si>
  <si>
    <t>Mandatory Fees Total</t>
  </si>
  <si>
    <t>ADDITIONAL MANDATORY FEES (payable throughout school year at time of participation)</t>
  </si>
  <si>
    <t>Instructional/  co-curricular experiential learning participation &amp; transportation costs</t>
  </si>
  <si>
    <t>VOLUNTARY FEES (payable throughout school year at time of participation)</t>
  </si>
  <si>
    <t>Student use fees/materials for electives; see course catalog for details</t>
  </si>
  <si>
    <t xml:space="preserve">varies 
($5 - $100) </t>
  </si>
  <si>
    <t>Monthly (10 Installments)</t>
  </si>
  <si>
    <t>Morning and After Care Program</t>
  </si>
  <si>
    <t>Monthly Cost</t>
  </si>
  <si>
    <t>Morning and After Care Program Additional Options</t>
  </si>
  <si>
    <t>1 day per week</t>
  </si>
  <si>
    <t>2 days per week</t>
  </si>
  <si>
    <t>3 days per week</t>
  </si>
  <si>
    <t>4 days per week</t>
  </si>
  <si>
    <t>5 days per week</t>
  </si>
  <si>
    <t>BC Drop In</t>
  </si>
  <si>
    <t>AC Drop In</t>
  </si>
  <si>
    <t>Before and After Care</t>
  </si>
  <si>
    <t>7:30 - start of school</t>
  </si>
  <si>
    <t>Dismissal - 5:30 pm</t>
  </si>
  <si>
    <t>5 Days per week</t>
  </si>
  <si>
    <t>Daily</t>
  </si>
  <si>
    <t>Monthly</t>
  </si>
  <si>
    <t>IEP Annual Discount</t>
  </si>
  <si>
    <t>IEP Monthly Discount</t>
  </si>
  <si>
    <r>
      <t>6</t>
    </r>
    <r>
      <rPr>
        <b/>
        <vertAlign val="superscript"/>
        <sz val="9"/>
        <color theme="1"/>
        <rFont val="Arial"/>
        <family val="2"/>
      </rPr>
      <t>**</t>
    </r>
  </si>
  <si>
    <r>
      <t>7</t>
    </r>
    <r>
      <rPr>
        <b/>
        <vertAlign val="superscript"/>
        <sz val="9"/>
        <color theme="1"/>
        <rFont val="Arial"/>
        <family val="2"/>
      </rPr>
      <t>**</t>
    </r>
  </si>
  <si>
    <r>
      <t>8</t>
    </r>
    <r>
      <rPr>
        <b/>
        <vertAlign val="superscript"/>
        <sz val="9"/>
        <color theme="1"/>
        <rFont val="Arial"/>
        <family val="2"/>
      </rPr>
      <t>**</t>
    </r>
    <r>
      <rPr>
        <b/>
        <sz val="9"/>
        <color theme="1"/>
        <rFont val="Arial"/>
        <family val="2"/>
      </rPr>
      <t xml:space="preserve"> </t>
    </r>
  </si>
  <si>
    <r>
      <t xml:space="preserve">Co-curricular Off-Site Trip Costs </t>
    </r>
    <r>
      <rPr>
        <sz val="9"/>
        <color theme="1"/>
        <rFont val="Calibri"/>
        <family val="2"/>
        <scheme val="minor"/>
      </rPr>
      <t>(estimated total only)</t>
    </r>
  </si>
  <si>
    <r>
      <t>Middle School Electives</t>
    </r>
    <r>
      <rPr>
        <sz val="9"/>
        <color theme="1"/>
        <rFont val="Calibri"/>
        <family val="2"/>
        <scheme val="minor"/>
      </rPr>
      <t xml:space="preserve"> 
(estimate; see full course menu)</t>
    </r>
    <r>
      <rPr>
        <b/>
        <sz val="9"/>
        <color theme="1"/>
        <rFont val="Calibri"/>
        <family val="2"/>
        <scheme val="minor"/>
      </rPr>
      <t xml:space="preserve"> </t>
    </r>
  </si>
  <si>
    <r>
      <t xml:space="preserve">Preschool (PK) IEP Discount </t>
    </r>
    <r>
      <rPr>
        <sz val="9"/>
        <color theme="1"/>
        <rFont val="Calibri"/>
        <family val="2"/>
        <scheme val="minor"/>
      </rPr>
      <t>(10 hours per week):</t>
    </r>
  </si>
  <si>
    <t>Current Enrollment</t>
  </si>
  <si>
    <t>TOTAL (Not including PK)</t>
  </si>
  <si>
    <t>Proposed Rate Increase</t>
  </si>
  <si>
    <t>Anticipated Revenue</t>
  </si>
  <si>
    <t>Anticipated Expenditures</t>
  </si>
  <si>
    <t>$200-$1,000</t>
  </si>
  <si>
    <t>$200-$,1000</t>
  </si>
  <si>
    <r>
      <t xml:space="preserve">6th Grade Excursion </t>
    </r>
    <r>
      <rPr>
        <sz val="9"/>
        <color theme="1"/>
        <rFont val="Calibri"/>
        <family val="2"/>
        <scheme val="minor"/>
      </rPr>
      <t>estimated total only</t>
    </r>
  </si>
  <si>
    <t>*Excludes 9213 and 0043</t>
  </si>
  <si>
    <t>Totals*</t>
  </si>
  <si>
    <t>Drama Club (Musical)</t>
  </si>
  <si>
    <t xml:space="preserve">Other Clubs </t>
  </si>
  <si>
    <t>Carry Forward</t>
  </si>
  <si>
    <t>Only used by Upper Elementary</t>
  </si>
  <si>
    <t>Lowered MS by $5 per student</t>
  </si>
  <si>
    <t>3 Full Day Slot</t>
  </si>
  <si>
    <t>Increased from 32 to 40 students</t>
  </si>
  <si>
    <t>decreased from 19 to 16 students</t>
  </si>
  <si>
    <t>Still Same overall student count of 140</t>
  </si>
  <si>
    <t>Increase from 48 to 60 students</t>
  </si>
  <si>
    <t>Health and Wellness Student Materials/ Playground Equipment Replacement</t>
  </si>
  <si>
    <t>Total Salaries and Benefits</t>
  </si>
  <si>
    <t>PK Revenue</t>
  </si>
  <si>
    <t>Proposed First Read - For Reference</t>
  </si>
  <si>
    <t>SECOND READ - UPDATE removing 5HD program</t>
  </si>
  <si>
    <t>* Figures in Update Rounded to nearest $1,000</t>
  </si>
  <si>
    <t>added fee to KG</t>
  </si>
  <si>
    <t xml:space="preserve">Moby Max will no longer be used. Looking into alterantive solution. Quote not yet available. </t>
  </si>
  <si>
    <t>Lexia No longer needed for school wide use.Only needed for READ plan students. $40 fee removed.</t>
  </si>
  <si>
    <t>FY 2023_2024 Fees</t>
  </si>
  <si>
    <t>MS and Elementary Not using this Program. Need alternative.</t>
  </si>
  <si>
    <t>PK5FD 3yo</t>
  </si>
  <si>
    <t>PK3FD 4yo</t>
  </si>
  <si>
    <t>PK3FD 3yo</t>
  </si>
  <si>
    <t>PK5FD 4yo</t>
  </si>
  <si>
    <t>2023_24</t>
  </si>
  <si>
    <t>22- 23</t>
  </si>
  <si>
    <t>23_24 Current Rate Tuition</t>
  </si>
  <si>
    <t>24_25 Purposed Rate Tuition</t>
  </si>
  <si>
    <t>3 year old PK5FD</t>
  </si>
  <si>
    <t>Freeze 3yo tuition</t>
  </si>
  <si>
    <t>3 Day</t>
  </si>
  <si>
    <t>Revenue</t>
  </si>
  <si>
    <t>5 Day</t>
  </si>
  <si>
    <t>Benefits (30%)</t>
  </si>
  <si>
    <t>Difference</t>
  </si>
  <si>
    <t xml:space="preserve">Total Expns </t>
  </si>
  <si>
    <t>Additional Staff</t>
  </si>
  <si>
    <t>Childcare Director</t>
  </si>
  <si>
    <t>Assistant Director</t>
  </si>
  <si>
    <t>2 PT Floats</t>
  </si>
  <si>
    <t>50/50 GF010/EN040</t>
  </si>
  <si>
    <t>Total Difference</t>
  </si>
  <si>
    <t>12.5 Student Deficit</t>
  </si>
  <si>
    <t>2 Lvl Classroom Split</t>
  </si>
  <si>
    <t>1 PT Float</t>
  </si>
  <si>
    <t>LRT &amp; SPED</t>
  </si>
  <si>
    <t>Student Services (Mental Health, Health Clinic, OTC)</t>
  </si>
  <si>
    <t>Specials</t>
  </si>
  <si>
    <t>Academic Support (Student Success, Instsructional Coach, Dean)</t>
  </si>
  <si>
    <t>School Site Operations (Principal, HR, Ops, Enrollment, Finance)</t>
  </si>
  <si>
    <t>Other Expenses (Printing Costs, Software, Supplies)</t>
  </si>
  <si>
    <t>Substitutes</t>
  </si>
  <si>
    <t>Total Revenue</t>
  </si>
  <si>
    <t>Total Enrollment</t>
  </si>
  <si>
    <t>Primary Max Enrollment</t>
  </si>
  <si>
    <t>K-8 Max Enrollment</t>
  </si>
  <si>
    <t>Primary Revenue Revenue</t>
  </si>
  <si>
    <t>PPR Revenue</t>
  </si>
  <si>
    <t>8 student varience</t>
  </si>
  <si>
    <t>5 FT Leads, 5 FT assistant.</t>
  </si>
  <si>
    <t>PK3 &amp; PK4: 4FT Leads, 4FT Assistants</t>
  </si>
  <si>
    <t>LE1 (KG/1) 4FT Leads, 4FT assistants</t>
  </si>
  <si>
    <t>LE2 (2/3): 4FT Leads, 4FT assistants</t>
  </si>
  <si>
    <t>UE 4/5: 3FT Leads, 3FT Assistants</t>
  </si>
  <si>
    <t>MS: 3FT Leads, 1FT Assistants</t>
  </si>
  <si>
    <t>2024_25</t>
  </si>
  <si>
    <t xml:space="preserve">1 PT Lead, 1 PT assisstant. </t>
  </si>
  <si>
    <t>LE: 5FT Leads, 5FT assistants</t>
  </si>
  <si>
    <t>MS: 3FT Leads, 1FT Assistant</t>
  </si>
  <si>
    <t>2024-2025 School Year</t>
  </si>
  <si>
    <t xml:space="preserve">increased 4th and 5th from $3 </t>
  </si>
  <si>
    <t>Preschool 3yo Tuition:</t>
  </si>
  <si>
    <t xml:space="preserve">Pre-kindegarten 4yo Tuition after UPK: </t>
  </si>
  <si>
    <t>Colorado Christian Montessori, Arvada</t>
  </si>
  <si>
    <t>Private</t>
  </si>
  <si>
    <t>PK 1.0 4D</t>
  </si>
  <si>
    <t>PK 1.0 5D</t>
  </si>
  <si>
    <t>PK 0.5 4D</t>
  </si>
  <si>
    <t>PK 0.5 5D</t>
  </si>
  <si>
    <t>Compass Montessori, Golden/Wheat Ridge</t>
  </si>
  <si>
    <t>Public Charter</t>
  </si>
  <si>
    <t>Free Horizon Montessori, Golden</t>
  </si>
  <si>
    <t>Public Option</t>
  </si>
  <si>
    <t>Jefferson County Preschools, Jeffco</t>
  </si>
  <si>
    <t>Public Preschool</t>
  </si>
  <si>
    <t>Montessori Academy of Colorado, Denver Metro</t>
  </si>
  <si>
    <t>Independent/Private</t>
  </si>
  <si>
    <t>Montessori Peaks Academy, Littleton</t>
  </si>
  <si>
    <t>PK4 1.0 5D</t>
  </si>
  <si>
    <t>PK3 1.0 4D</t>
  </si>
  <si>
    <t>PK3 1.0 5D</t>
  </si>
  <si>
    <t>PK3 0.5 4D</t>
  </si>
  <si>
    <t>PK3 0.5 5D</t>
  </si>
  <si>
    <t>PK4 0.5 5D</t>
  </si>
  <si>
    <t>Montessori School of Denver, Denver</t>
  </si>
  <si>
    <t>Montessori School of Evergreen, Evergreen</t>
  </si>
  <si>
    <t>Sunflower Montessori School, Littleton</t>
  </si>
  <si>
    <t>Private (12mo-6yr)</t>
  </si>
  <si>
    <t xml:space="preserve">Incresed by $15 to accommodate purchasing supplies through FHM instead of school supply list. Fees can be reduced after approval, just not inceased. </t>
  </si>
  <si>
    <t>Freeze PK3 tuition</t>
  </si>
  <si>
    <t>3D: 3.5% increase</t>
  </si>
  <si>
    <t>5D: 5% increase</t>
  </si>
  <si>
    <t>3YO: Five full days</t>
  </si>
  <si>
    <t>4YO: Five full days</t>
  </si>
  <si>
    <t>3YO: Three full days</t>
  </si>
  <si>
    <t>4YO: Three full days</t>
  </si>
  <si>
    <t>Student schoolwork storage</t>
  </si>
  <si>
    <t>Composition Journal</t>
  </si>
  <si>
    <t>Added itemized fee for materials that can be purchased in bulk</t>
  </si>
  <si>
    <t>Outdoor education program</t>
  </si>
  <si>
    <t>Before Care: 7:30 am - start of school</t>
  </si>
  <si>
    <t>After Care: Dismissal - 5:30 pm</t>
  </si>
  <si>
    <t>After Care:  Dismissal - 5:30 pm</t>
  </si>
  <si>
    <t>OPT: Yearbook (Not included in total)</t>
  </si>
  <si>
    <t xml:space="preserve">OPT: School Supply Fee (Not included in total) </t>
  </si>
  <si>
    <t>Grade level school supplies</t>
  </si>
  <si>
    <t>Daily Rate</t>
  </si>
  <si>
    <t>Annual          (Master's Degree w/ 75+ Graduate Credits)</t>
  </si>
  <si>
    <t>Annual          (Master's Degree w/60-74 Graduate Credits)</t>
  </si>
  <si>
    <t>Annual             (Master's Degree)</t>
  </si>
  <si>
    <t>Annual             (Bachelor's Degree + 20 Graduate Credits)</t>
  </si>
  <si>
    <t>Annual          Bachelor's Degree</t>
  </si>
  <si>
    <t xml:space="preserve">FHM LEVEL 5 </t>
  </si>
  <si>
    <t>FHM LEVEL 4</t>
  </si>
  <si>
    <t xml:space="preserve">FHM LEVEL 3 </t>
  </si>
  <si>
    <t>FHM LEVEL 2</t>
  </si>
  <si>
    <t>FHM Level 1</t>
  </si>
  <si>
    <t>STEP</t>
  </si>
  <si>
    <t>Educator</t>
  </si>
  <si>
    <t>187 scale adjusted to accommodate reduction of 2 comp days for instructional staff while still receiveing the next anticipated 189 step. DM/MH 1.4.24</t>
  </si>
  <si>
    <t>Step</t>
  </si>
  <si>
    <t>Hourly Rate</t>
  </si>
  <si>
    <t>FHM LEVEL 1</t>
  </si>
  <si>
    <t>2.7.24 mh</t>
  </si>
  <si>
    <t>As of 2.6.24</t>
  </si>
  <si>
    <r>
      <t>Fees/Dues (</t>
    </r>
    <r>
      <rPr>
        <sz val="10"/>
        <color rgb="FFFF0000"/>
        <rFont val="Calibri"/>
        <family val="2"/>
        <scheme val="minor"/>
      </rPr>
      <t>% Increase in PK Tuition</t>
    </r>
    <r>
      <rPr>
        <sz val="10"/>
        <rFont val="Calibri"/>
        <family val="2"/>
        <scheme val="minor"/>
      </rPr>
      <t>)</t>
    </r>
  </si>
  <si>
    <t>PK3 1.0 3D</t>
  </si>
  <si>
    <t>PK4 1.0 3D</t>
  </si>
  <si>
    <t>PK4 0.5 4D</t>
  </si>
  <si>
    <t>w/ UPK</t>
  </si>
  <si>
    <t>FT UPK Amount FY24</t>
  </si>
  <si>
    <t>24_24 Current Rate Tuition</t>
  </si>
  <si>
    <t>https://www.bls.gov/regions/mountain-plains/news-release/consumerpriceindex_denver.htm</t>
  </si>
  <si>
    <t>Avg increase</t>
  </si>
  <si>
    <t>%</t>
  </si>
  <si>
    <t>Annual Increase</t>
  </si>
  <si>
    <t>PK45FD</t>
  </si>
  <si>
    <t>PK43FD</t>
  </si>
  <si>
    <t>PK33FD</t>
  </si>
  <si>
    <t>w/o UPK</t>
  </si>
  <si>
    <t>PK35FD</t>
  </si>
  <si>
    <t>School</t>
  </si>
  <si>
    <t>% increase</t>
  </si>
  <si>
    <t>Historical</t>
  </si>
  <si>
    <t>Total Preschool</t>
  </si>
  <si>
    <t>25_26 Purposed Rate Tuition</t>
  </si>
  <si>
    <t>Proposed Tuition Rate - 3 full day room, 3 mix 3/5 day rooms</t>
  </si>
  <si>
    <t>3yr old PK 5FD</t>
  </si>
  <si>
    <t>3yr old PK 3FD</t>
  </si>
  <si>
    <t>4yr old PK 5FD</t>
  </si>
  <si>
    <t>4yr old PK 3FD</t>
  </si>
  <si>
    <t>2025_26</t>
  </si>
  <si>
    <t>23_24</t>
  </si>
  <si>
    <t xml:space="preserve">Max Enrollment </t>
  </si>
  <si>
    <t>FY26 Outstanding Offers</t>
  </si>
  <si>
    <t>add additional 3 day in 5 day if necessary</t>
  </si>
  <si>
    <t>UPK Slots</t>
  </si>
  <si>
    <t>Full Tuition</t>
  </si>
  <si>
    <t>Annual $ Program Change</t>
  </si>
  <si>
    <t>Total Tuition at New Rate</t>
  </si>
  <si>
    <t>2025-2026 School Year</t>
  </si>
  <si>
    <t>Jeffco Technology Fee *Mandatory</t>
  </si>
  <si>
    <t>Mandatory Jeffco Chromebook Fee</t>
  </si>
  <si>
    <t xml:space="preserve"> FHM Digital Technology Fee</t>
  </si>
  <si>
    <t>MS not using this program</t>
  </si>
  <si>
    <t>2026 FHM Yearbook</t>
  </si>
  <si>
    <t>FY 2024-2025 Fees</t>
  </si>
  <si>
    <t>Wonders Workbooks and Materials</t>
  </si>
  <si>
    <t>Literacy curriculum</t>
  </si>
  <si>
    <t>Work Folders</t>
  </si>
  <si>
    <t>Student Council</t>
  </si>
  <si>
    <t>increased  from 1.00 to 3.00. removed MS fee</t>
  </si>
  <si>
    <t>increased KG-3rd from 3.00 to 5.00, increased 4th and 5th from 5.00 to 8.00 to cover recorder expense</t>
  </si>
  <si>
    <t>Optional Fee for school supplies increased. 50% payment rate</t>
  </si>
  <si>
    <t>Average increase</t>
  </si>
  <si>
    <t>changes from year to year</t>
  </si>
  <si>
    <t>TOTAL Primary PIF</t>
  </si>
  <si>
    <t xml:space="preserve"> Before and Aftercare Staff, Percentage of supporting Administrative Staff</t>
  </si>
  <si>
    <t>removed fee</t>
  </si>
  <si>
    <t>increased from 7.00</t>
  </si>
  <si>
    <t>increased MS from 10.00 to 20.00. reduced LE to 2.00 from 5.00. removed PRIM fee</t>
  </si>
  <si>
    <t>increased from 5.00</t>
  </si>
  <si>
    <t>increased from 10.00</t>
  </si>
  <si>
    <t>increased PRIM from 15.00 to 20.00. increased MS from 10.00 to 25.00</t>
  </si>
  <si>
    <t xml:space="preserve">increased PK-5 from 0.00, 5.00 to 8.00. increased MS from 5.00-7.00. </t>
  </si>
  <si>
    <t xml:space="preserve"> Montessori Classroom Management</t>
  </si>
  <si>
    <t>MS not using this program. Reduced to Jeffco BOD fees mandate. 2.27.25</t>
  </si>
  <si>
    <t>reduced PK-5 to 3.00, reduced MS to 2.00 due to carryforward</t>
  </si>
  <si>
    <t>increased  from 1.00 based on amount needed per grade. removed MS fee</t>
  </si>
  <si>
    <t>removed fee due to carryforward</t>
  </si>
  <si>
    <t>removed fee. Closed inactive programs and reallocated rnvue to best program match. 2.27.25</t>
  </si>
  <si>
    <t>removed fee due to inactivity</t>
  </si>
  <si>
    <t>increased MS from 10.00 to 20.00. reduced LE to 2.00 from 5.00. reduced PRIM fee to 2.50</t>
  </si>
  <si>
    <t>FY26 Fees now projected lower than FY25</t>
  </si>
  <si>
    <t>Proposed Tuition Rates - 6 full day rooms, 1 3 day room</t>
  </si>
  <si>
    <t xml:space="preserve"> 24_25</t>
  </si>
  <si>
    <t>Current Enrollment 25_26</t>
  </si>
  <si>
    <t>2026-27 FHM Budget - Overview</t>
  </si>
  <si>
    <t>25_26 Current  Tuition Rate</t>
  </si>
  <si>
    <t>26_27 Purposed Tuition Rate</t>
  </si>
  <si>
    <t>Part time Slot (3day)</t>
  </si>
  <si>
    <t>Full Day Slot (5day)</t>
  </si>
  <si>
    <t>Toddler Room</t>
  </si>
  <si>
    <t>Benefits (37%)</t>
  </si>
  <si>
    <t>1 FT lead, 1 FT assnt</t>
  </si>
  <si>
    <t>1 FT Lead, 2 PT assnts</t>
  </si>
  <si>
    <t>6 FT Leads, 12 FT assnts</t>
  </si>
  <si>
    <t>Floats</t>
  </si>
  <si>
    <t xml:space="preserve">Expns </t>
  </si>
  <si>
    <t>TOTAL REVENUE</t>
  </si>
  <si>
    <t>TOTAL EXPENSE</t>
  </si>
  <si>
    <t>Toddler Program</t>
  </si>
  <si>
    <t>Slots</t>
  </si>
  <si>
    <t>26-27 Proposed Tuition Rate</t>
  </si>
  <si>
    <t>Avg Area Rate</t>
  </si>
  <si>
    <t>26_27     UPK  Rate</t>
  </si>
  <si>
    <t>26_27 Monthly Tuition</t>
  </si>
  <si>
    <t xml:space="preserve">Total Toddler </t>
  </si>
  <si>
    <t>Proposed Tuition Rates - 1 mixed toddler room</t>
  </si>
  <si>
    <t>26_27 Monthly Rate</t>
  </si>
  <si>
    <t>26_27 Weekly Rate</t>
  </si>
  <si>
    <t>26_27 Daily Rate</t>
  </si>
  <si>
    <t>26_27 Hourly Rate</t>
  </si>
  <si>
    <t>26_27    Daily             Rate</t>
  </si>
  <si>
    <t>26_27     Hourly       Rate</t>
  </si>
  <si>
    <t>FY27 Tuition per student (avg)</t>
  </si>
  <si>
    <t>FY27 Expenses</t>
  </si>
  <si>
    <t>FY27 Revenues</t>
  </si>
  <si>
    <t>FY26 Expense per student</t>
  </si>
  <si>
    <t>FY26 PPR at 88%</t>
  </si>
  <si>
    <t>FY26 Tuition per student (avg)</t>
  </si>
  <si>
    <t>FY26 Expenses</t>
  </si>
  <si>
    <t>FY26 Revenues</t>
  </si>
  <si>
    <t>FREE HORIZON Montessori - FY27 Budget Proposal</t>
  </si>
  <si>
    <t xml:space="preserve">GF020 - 54700 </t>
  </si>
  <si>
    <t>TOTAL RVNUE</t>
  </si>
  <si>
    <t>290/93</t>
  </si>
  <si>
    <t>Current Enrollment 26_27</t>
  </si>
  <si>
    <t>2026_27</t>
  </si>
  <si>
    <t>Historical BAC Rates</t>
  </si>
  <si>
    <t>Before Care Program</t>
  </si>
  <si>
    <t>BC 1 day/wk</t>
  </si>
  <si>
    <t>BC 2 days/wk</t>
  </si>
  <si>
    <t>BC 3 days/wk</t>
  </si>
  <si>
    <t>BC 4 days/wk</t>
  </si>
  <si>
    <t>BC 5 days/wk</t>
  </si>
  <si>
    <t>B&amp;AC 5 days/wk</t>
  </si>
  <si>
    <t>MLO</t>
  </si>
  <si>
    <t>Property Expenses</t>
  </si>
  <si>
    <t xml:space="preserve">SPED Tier A </t>
  </si>
  <si>
    <t>Reserve</t>
  </si>
  <si>
    <t>TABOR</t>
  </si>
  <si>
    <t>Budget 293 KG-8. Current year 290</t>
  </si>
  <si>
    <t>Estimated FY27 UPK Contribution: FY26 * 1%</t>
  </si>
  <si>
    <t>FY26/FY25 15 Hr UPK Contribution</t>
  </si>
  <si>
    <t>FY24 Tuition</t>
  </si>
  <si>
    <t>FY25 Tuition</t>
  </si>
  <si>
    <t>FY26 Tuition</t>
  </si>
  <si>
    <t>FY26 10 Monthly Payments</t>
  </si>
  <si>
    <t xml:space="preserve">FY27  10 Monthly Payments </t>
  </si>
  <si>
    <t>FY26 UPK Contribution</t>
  </si>
  <si>
    <t>Need to increase tuition to be more in line with PPR</t>
  </si>
  <si>
    <t>PPR</t>
  </si>
  <si>
    <t>MLO:</t>
  </si>
  <si>
    <t>GF020</t>
  </si>
  <si>
    <t>SR020</t>
  </si>
  <si>
    <t xml:space="preserve">Enterprise/Childcare </t>
  </si>
  <si>
    <t>(BAC, Camps)</t>
  </si>
  <si>
    <t>Expendable classroom, Montessori project materials, required in addition to standard school supplies</t>
  </si>
  <si>
    <t>2027 FHM Yearbook</t>
  </si>
  <si>
    <t>using as a placeholder until vendor verified*</t>
  </si>
  <si>
    <t>no longer need</t>
  </si>
  <si>
    <t>allowed up to 132.00 for classroom consumables</t>
  </si>
  <si>
    <t>Expendable classroom, project materials that are retained by student</t>
  </si>
  <si>
    <t>reduced from 15.00 to meet Jeffco BOD allowable fees</t>
  </si>
  <si>
    <t>FY 2025-2026  Fees</t>
  </si>
  <si>
    <t>2026-2027 School Year</t>
  </si>
  <si>
    <t>26_27    UPK  Rate</t>
  </si>
  <si>
    <t>Proposed Tuition Rates - 5 full day rooms, 1 3 day room</t>
  </si>
  <si>
    <t>Toddler</t>
  </si>
  <si>
    <t>FY27 Charter Budget</t>
  </si>
  <si>
    <t>2026-2027 Contingency</t>
  </si>
  <si>
    <t>Anticipated FY27 Grant Funds</t>
  </si>
  <si>
    <t>Proposed FY27 Budget</t>
  </si>
  <si>
    <t>Building Rental</t>
  </si>
  <si>
    <t>Technology Services</t>
  </si>
  <si>
    <t>Internet</t>
  </si>
  <si>
    <t>Insurance &amp; Workers Comp</t>
  </si>
  <si>
    <t>Unemployment</t>
  </si>
  <si>
    <t>Employee assistance: 51+ employees</t>
  </si>
  <si>
    <t>Administrative fee: $166.72</t>
  </si>
  <si>
    <t>Contracted Purchased Services: $521.03</t>
  </si>
  <si>
    <t>Direct costs: $26.31</t>
  </si>
  <si>
    <t>Federally- and state-required services: $567.41</t>
  </si>
  <si>
    <t>UPK</t>
  </si>
  <si>
    <t>CLDE Services - fulltime students Tier I: $84.77</t>
  </si>
  <si>
    <t>Student health services: RN Coverage: 74.34</t>
  </si>
  <si>
    <t>FY26 Building Improvements</t>
  </si>
  <si>
    <t>Projected Carry Forward for End of FY26 (without taking into account shortfall and grant funds being applied)</t>
  </si>
  <si>
    <t>FY25 EOY</t>
  </si>
  <si>
    <t>SPED Tier A</t>
  </si>
  <si>
    <t xml:space="preserve">SPED </t>
  </si>
  <si>
    <t xml:space="preserve">Tier A </t>
  </si>
  <si>
    <t>Total Jeffco Purchased Services</t>
  </si>
  <si>
    <t>to support charter transition</t>
  </si>
  <si>
    <t>Benefits + PERA</t>
  </si>
  <si>
    <t>services charged per pupil or flat rate</t>
  </si>
  <si>
    <t>FY27 PPR</t>
  </si>
  <si>
    <t>275/75</t>
  </si>
  <si>
    <t>Rvnue per Student</t>
  </si>
  <si>
    <t>Expns per student</t>
  </si>
  <si>
    <t>290/80</t>
  </si>
  <si>
    <t>TOTAL Enrllmnt</t>
  </si>
  <si>
    <t>FY26 Innovation</t>
  </si>
  <si>
    <t>FY27 CHARTER CONTINGENCY</t>
  </si>
  <si>
    <t>FY27 CHARTER</t>
  </si>
  <si>
    <t>FY26 INNOVATION</t>
  </si>
  <si>
    <t>FY26 Rvnue Per Student</t>
  </si>
  <si>
    <t>FTE/PK</t>
  </si>
  <si>
    <t>FY27 Contingency</t>
  </si>
  <si>
    <t>FTE</t>
  </si>
  <si>
    <t>PK</t>
  </si>
  <si>
    <t>Expenses</t>
  </si>
  <si>
    <t>Rv per Student</t>
  </si>
  <si>
    <t>Exp per Student</t>
  </si>
  <si>
    <t>4.1.26 mh</t>
  </si>
  <si>
    <t>cost per square foot FY27; will increase 56% FY28</t>
  </si>
  <si>
    <t>student fees based on historical and  anticipated student learning needs</t>
  </si>
  <si>
    <t>applicable salaries split between GF020/CC030</t>
  </si>
  <si>
    <t>reduced FTE reduces purchased services fee</t>
  </si>
  <si>
    <t>2026-27 Rate Increase</t>
  </si>
  <si>
    <t>reduced staff to support reduced FTE</t>
  </si>
  <si>
    <t>Building Rental (Use Fee)</t>
  </si>
  <si>
    <t>FREE HORIZON Montessori - FY27 Contingency Budget Proposal</t>
  </si>
  <si>
    <t>Net Income(Loss) to Carry Forward FY27</t>
  </si>
  <si>
    <t xml:space="preserve">CC020 - 54700 </t>
  </si>
  <si>
    <t>CC020</t>
  </si>
  <si>
    <t>SR020 - 54700</t>
  </si>
  <si>
    <t>Background Verifications</t>
  </si>
  <si>
    <t>CDE Cap Constr.</t>
  </si>
  <si>
    <t>CDE</t>
  </si>
  <si>
    <t>50% per student. Waiting for confirmation</t>
  </si>
  <si>
    <t>$382.60 @ 50% Per Student</t>
  </si>
  <si>
    <t>TOTAL Enrollment</t>
  </si>
  <si>
    <t xml:space="preserve">Pre-kindergarten 4yo Tuition after UPK: </t>
  </si>
  <si>
    <t>5% variance in budget will result in FHM Board re-approval for FY27</t>
  </si>
  <si>
    <t>Mandatory Services Per Student</t>
  </si>
  <si>
    <t>Benefits + PERA 21.4%</t>
  </si>
  <si>
    <t>MAP testing fee, added 4.9.26</t>
  </si>
  <si>
    <t>PERA (21.4%)</t>
  </si>
  <si>
    <t>36.5% of salary</t>
  </si>
  <si>
    <t>FY27 Upward Adjusted Budget</t>
  </si>
  <si>
    <t xml:space="preserve">2026-2027 Upward Adjusted </t>
  </si>
  <si>
    <t>Froze 3 day</t>
  </si>
  <si>
    <t>5D: 2% increase</t>
  </si>
  <si>
    <t>Increased full time tuition to closer mirror PPR</t>
  </si>
  <si>
    <t>During which Academic School Year</t>
  </si>
  <si>
    <t>Description/Budget Narrative 
(Purpose, Quantity, Target User)</t>
  </si>
  <si>
    <t>GSC Comment/Note</t>
  </si>
  <si>
    <t>7/1/26-9/30/26</t>
  </si>
  <si>
    <t>Board of Directors Training</t>
  </si>
  <si>
    <t>Employee Benefits $650.00 * # of staff</t>
  </si>
  <si>
    <t>GRANT NOTES</t>
  </si>
  <si>
    <t xml:space="preserve">League of Charters admin training, Montessori Credentialing, OG training, assistant training. No revision necessary. </t>
  </si>
  <si>
    <t xml:space="preserve">EOY FY26 Server expense. Revision needed. </t>
  </si>
  <si>
    <t>Classroom, curriculum updates. Minimum revision needed. $5500</t>
  </si>
  <si>
    <t>Full replacement of all student technology and shared spaces. Revision needed. $25000</t>
  </si>
  <si>
    <t>Full replacement of all office technology. Revision needed. $4000</t>
  </si>
  <si>
    <t>READ Act Estimate. Fluctuates year to year</t>
  </si>
  <si>
    <t>Update of library furniture and non-fiction section</t>
  </si>
  <si>
    <t>1. Student Success</t>
  </si>
  <si>
    <t>Curriculum, Classroom Materials, Shared Spaces</t>
  </si>
  <si>
    <t>↓</t>
  </si>
  <si>
    <t>2. Training</t>
  </si>
  <si>
    <t>Montessori Certification, Orton-Gillingham, Assistant Training, All Staff CPR, Admin Training, </t>
  </si>
  <si>
    <t>3. Community Engagement</t>
  </si>
  <si>
    <t>Event Equipment, Branding Materials, Engagement/Enrollment Facilitation</t>
  </si>
  <si>
    <t>4. Minor Facility Repair</t>
  </si>
  <si>
    <t>Indoor Paint, Outdoor Paint</t>
  </si>
  <si>
    <t xml:space="preserve">FHM Budget </t>
  </si>
  <si>
    <t xml:space="preserve"> SUM of Budget</t>
  </si>
  <si>
    <t xml:space="preserve"> SUM of Spent</t>
  </si>
  <si>
    <t>Supplies &amp; Materials</t>
  </si>
  <si>
    <t>Expenses Total</t>
  </si>
  <si>
    <t>Jeffco Purchased Services</t>
  </si>
  <si>
    <t>Contingency  Total</t>
  </si>
  <si>
    <t>Salaries &amp; Benefits</t>
  </si>
  <si>
    <t>Other Services</t>
  </si>
  <si>
    <t xml:space="preserve"> Mill Levy Override</t>
  </si>
  <si>
    <t>Office Supplies</t>
  </si>
  <si>
    <t xml:space="preserve"> PPR</t>
  </si>
  <si>
    <t xml:space="preserve">Student Supplies </t>
  </si>
  <si>
    <t xml:space="preserve"> SPED Tier A</t>
  </si>
  <si>
    <t>Grand Total</t>
  </si>
  <si>
    <t>Capital Outlay</t>
  </si>
  <si>
    <t>Grants</t>
  </si>
  <si>
    <t xml:space="preserve">Great Schools Grant  </t>
  </si>
  <si>
    <t>Employee Training</t>
  </si>
  <si>
    <t>Contracted Services</t>
  </si>
  <si>
    <t>Technology</t>
  </si>
  <si>
    <t>Classroom Materials</t>
  </si>
  <si>
    <t>Curriculum</t>
  </si>
  <si>
    <t>HEALTH</t>
  </si>
  <si>
    <t>Charter contribution: $600 Jeffco Contribution: $650 / $700</t>
  </si>
  <si>
    <t>Kaiser Permenente</t>
  </si>
  <si>
    <t>KP DHMO</t>
  </si>
  <si>
    <t>KP HDHP I</t>
  </si>
  <si>
    <t>KP HDHP II</t>
  </si>
  <si>
    <t>Option</t>
  </si>
  <si>
    <t>Charter</t>
  </si>
  <si>
    <t>$ Increase</t>
  </si>
  <si>
    <t>% Increase</t>
  </si>
  <si>
    <t>Employee Only</t>
  </si>
  <si>
    <t>Employee &amp; Spouse</t>
  </si>
  <si>
    <t>Employee &amp; Child(ren)</t>
  </si>
  <si>
    <t>Employee &amp; Family</t>
  </si>
  <si>
    <t>Split-Contract Family</t>
  </si>
  <si>
    <t>United Healthcare</t>
  </si>
  <si>
    <t>UHC $0 Surest Deductable</t>
  </si>
  <si>
    <t>UHC HDHP</t>
  </si>
  <si>
    <t>DENTAL/ VISION</t>
  </si>
  <si>
    <t>Charter contribution: $0 Jeffco Contribution: $10</t>
  </si>
  <si>
    <t>Delta Dental PPO</t>
  </si>
  <si>
    <t>Delta Dental PPO + Premier</t>
  </si>
  <si>
    <t>EyeMed Vision</t>
  </si>
  <si>
    <t>FHM Constribution</t>
  </si>
  <si>
    <t>PERA 21%</t>
  </si>
  <si>
    <t>TOTAL BENEFITS</t>
  </si>
  <si>
    <t>FY27 Employees</t>
  </si>
  <si>
    <t>Benefits</t>
  </si>
  <si>
    <t>Medical</t>
  </si>
  <si>
    <t>Dental</t>
  </si>
  <si>
    <t>Months</t>
  </si>
  <si>
    <t>Monthly Total</t>
  </si>
  <si>
    <t>Annual Total</t>
  </si>
  <si>
    <t>Upper Elementary Field Trips</t>
  </si>
  <si>
    <t xml:space="preserve"> Lower Elementary Field Trips</t>
  </si>
  <si>
    <t>MS Field Trips</t>
  </si>
  <si>
    <t>MS  Store</t>
  </si>
  <si>
    <t>Grant Revision Flow Chart</t>
  </si>
  <si>
    <t>,0103</t>
  </si>
  <si>
    <t>Base built on 11385 FY26 PPR. Adjusted up based on State Budget allocation increase. 5.14.26 MH  Final PPR adjustment 11768.11 per CDE 6.2.26 MH</t>
  </si>
  <si>
    <t>reduced from 54 employees to 35</t>
  </si>
  <si>
    <t>FY27 Charter Contingency/Revision Budget</t>
  </si>
  <si>
    <t>FRL</t>
  </si>
  <si>
    <t>unconfirmed 10.4.26</t>
  </si>
  <si>
    <t>27 students/-10% compared to FY26. Roughly $307,395 budget impact</t>
  </si>
  <si>
    <t>50% per student</t>
  </si>
  <si>
    <t>updated Sept. 2026</t>
  </si>
  <si>
    <t xml:space="preserve">New funding formula initiated for Charter schools starting FY27 based on prior year + 1% or 70% FY26 formula + 30% FY27 formula, whichever is higher. As FHM was not a charter in FY26, PPR is still unconfirmed. After meeting with budget analyst, $11,500 is best estimate. </t>
  </si>
  <si>
    <t>less UPK</t>
  </si>
  <si>
    <t xml:space="preserve">$11500 PPR @ 100% * FTE  </t>
  </si>
  <si>
    <t>$500 per qualified student</t>
  </si>
  <si>
    <t>FY27 Approved Budget</t>
  </si>
  <si>
    <t>FY27 Budget Revision</t>
  </si>
  <si>
    <t>MLO estimated $2000 per student as opposed to $1857 budgeted</t>
  </si>
  <si>
    <t>initiated contingency budget starting August 1, 2026</t>
  </si>
  <si>
    <t>based on $11,500 PPR estimate</t>
  </si>
  <si>
    <t>includes School Café, annual audit, and tech support services</t>
  </si>
  <si>
    <t>insurance actuals came in under approved budget</t>
  </si>
  <si>
    <t>moved to contracted services</t>
  </si>
  <si>
    <t>increase from $1000</t>
  </si>
  <si>
    <t>increase from $5,000</t>
  </si>
  <si>
    <t>moved to GSC Grant</t>
  </si>
  <si>
    <t>consumable materials moved to GSC Grant</t>
  </si>
  <si>
    <t>increase from $12000</t>
  </si>
  <si>
    <t>31.4% of salary</t>
  </si>
  <si>
    <t>2026-2027 Approved Budget</t>
  </si>
  <si>
    <t>10.4.26 mh</t>
  </si>
  <si>
    <t>fees reduce relative to decrease in FTE</t>
  </si>
  <si>
    <t>Actuals came in $148,000 under budget</t>
  </si>
  <si>
    <t>increase in tuition based on anticipated toddler tuition</t>
  </si>
  <si>
    <t>increased to purchase new software for school devices</t>
  </si>
  <si>
    <t>increase to $9000 to cover increased costs</t>
  </si>
  <si>
    <t xml:space="preserve"> Allocated allowable % to GSC Grant and supplement with CSN funds</t>
  </si>
  <si>
    <t>increased from $8000 to cover AMS renewal, LOC Membership increases</t>
  </si>
  <si>
    <t>Amount</t>
  </si>
  <si>
    <t>Account Description</t>
  </si>
  <si>
    <t xml:space="preserve">UE Montessori Classrooms Curriculum: 3, $20,000 full Montessori upper elementary (grades 4-6, total projected enrollment of 125) classroom outfits to provide needed curriculum for reintegrating 6th grade into upper elementary classrooms in order provide an authentic Montessori education. This will equip each environment independently and complete material sequences. Advanced apparatuses, such as the Theorem of Pythagoras, Fraction Cabinet, and Infinity Street Hierarchy, specifically support 6th grade reintegration by providing concrete visual representations for complex geometry, rational numbers, and place value concepts. Outfitting all four classrooms with dedicated sets guarantees equitable student access and seamless implementation of the 9–12 multi-age curriculum without requiring shared equipment. This materials are necessary due to the speciialization of Montessori materials needed for upper elementary students (grades 4-6) as opposed to the reduced materials need to only support grades 4 and 5.  </t>
  </si>
  <si>
    <t>Approved. As a district-to-charter conversion school, the purchase establishes independently owned Montessori classroom environments necessary to implement the approved instructional program.</t>
  </si>
  <si>
    <t>UE Montessori Classrooms Curriculum Shipping: Freight charges for 4 full Upper Elementary classroom outfits</t>
  </si>
  <si>
    <t>Approved</t>
  </si>
  <si>
    <t>Café Tables: purchase 12 café tables at $2200 a piece for all grades PK-8, total projected enrollment of 400</t>
  </si>
  <si>
    <t xml:space="preserve">Server hardware: $27,900 for 1 server hardware installation to provide our students with equitable access to internet and technology supports </t>
  </si>
  <si>
    <t>Server installation: $6,200 an hour for 5 hour server labor installation</t>
  </si>
  <si>
    <t>Student Chromebooks: 180 student chromebooks purchased from the school district at $236 a piece for grades 4-8 in order to provide support for testing, including CMAS, CoGAT, and MAP testing</t>
  </si>
  <si>
    <t>Classroom Assistant Training: Montessori and PDIS training for all classroom assistants at $250 per person for 23 individuals in order to provide support to all types of learner</t>
  </si>
  <si>
    <t>Board of Directors Training: Provide in-person training for our Board of Directors to ensure responsible stewardship and sustainability of our newly formed charter school</t>
  </si>
  <si>
    <t>Classroom consumables: one time expense to procure consumable classroom materials including paper, pencils, journals, glue, markers, crayons, binders, folders, colored pencils, tape, staples, tissue, etc., to support 400 projected students at $40 a student in a newly formed Montessori charter school</t>
  </si>
  <si>
    <t xml:space="preserve">CKLA Literacy Curriculum: CDE approved literacy curriculum for grades KG-8 at $5700 per level at 4 levels. This one time expense would include instructional guides, non-consumable instructional materials, digital resources, and literacy curriculum access to all lead teachers. </t>
  </si>
  <si>
    <t>Literacy Curriculum Professional development: CKLA literacy implementation teacher training at $225 per classroom for 18 classrooms</t>
  </si>
  <si>
    <t>Upper Elementary Classroom Chairs: classroom chairs at $70 a chair for grades 4-6 in order to accommodate 120 students into our newly formed charter school</t>
  </si>
  <si>
    <t>Sensory Classroom Kit: provide a dedicated calming, sensory sensitive space to support our neurodivergent learners who qualify for individual learning supports including individualized learning plans, 504 accommodations, and advanced learning plans, who account for approximately 30% of our confirmed 2026-2027 enrollment. The classroom would include: 2 mirror wall panels at $150 each, 3 sensory therapy tents at $120 each, 1 special need tactic wall at $2800, 1 cocoon swing at $670, 2 therapy chairs at $1200, and 1 calming corner furniture set of 2 chairs, a rug, a table, and 1 shelf at $1100 a piece, 1 platform bubble tube at $880, and 6 ball chairs at $245 a piece</t>
  </si>
  <si>
    <t>Electric Keyboards: 26 electric piano keyboards at $170 a piece in order to provide music enrichment and music theory classes to grades KG-8</t>
  </si>
  <si>
    <t>School Library Seating: 6 library tables at $340 a piece, 32 table chairs at $240 a piece, and 4 curved soft seating chairs at  $1500 a piece to furnish library in order to provide equitable information access to all 400 students of our newly formed Montessori charter school</t>
  </si>
  <si>
    <t>School Library Shelves: 8 library shelves at $900 a piece to provide library shelving for equitable information access to all 400 students of our newly formed Montessori charter school</t>
  </si>
  <si>
    <t>Non-Fiction Library Books: provide a comprehensive non-fiction section in the school library at an estimated 300 books at $15 a book which supports all grades, PK3-8 (400 projected enrollment)</t>
  </si>
  <si>
    <t>Hire an external marketing and enrollment consultant to strategically driving student enrollment and ensure long-term institutional sustainability, to  generate community excitement and execute targeted outreach to underserved populations, and to train front-office staff and administration on best community support practices for an inclusive, barrier-free experience that strengthens local trust and preserves equitable access for all.</t>
  </si>
  <si>
    <t>Approved. Reimbursement requests for outreach consulting services must include a contract or scope of work identifying the specific services performed, contract period, and measurable deliverables supporting startup and enrollment activities.</t>
  </si>
  <si>
    <t xml:space="preserve">Purchase enrollment folders, business cards, and brochures with new charter school name, logo, address, and contact information for community outreach and communication </t>
  </si>
  <si>
    <t>1 mobile medical clinic cart at $1050 to support students if they are unable to come to immediately come to the clinic; 1 72inch clinic bed at $840 to provide care to students within the clinic, 1 locking storage cabinet at $1090 to maintain student safety standards</t>
  </si>
  <si>
    <t>Copier/Printing</t>
  </si>
  <si>
    <t xml:space="preserve">FRL still unconfirmed. </t>
  </si>
  <si>
    <t>moved to Campus account, Building use Fund</t>
  </si>
  <si>
    <t>Facilities</t>
  </si>
  <si>
    <t>Budget 290 KG-8. Current year 263</t>
  </si>
  <si>
    <t>*$70,000 balance reallocated to consultants and purchased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</si>
</sst>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409]mmmm\ d\,\ yyyy;@"/>
    <numFmt numFmtId="165" formatCode="&quot;$&quot;#,##0.00"/>
    <numFmt numFmtId="166" formatCode="&quot;$&quot;#,##0"/>
    <numFmt numFmtId="167" formatCode="_(* #,##0_);_(* \(#,##0\);_(* &quot;-&quot;??_);_(@_)"/>
    <numFmt numFmtId="168" formatCode="_(&quot;$&quot;* #,##0_);_(&quot;$&quot;* \(#,##0\);_(&quot;$&quot;* &quot;-&quot;??_);_(@_)"/>
    <numFmt numFmtId="169" formatCode="&quot;$&quot;#,##0.0000"/>
    <numFmt numFmtId="170" formatCode="0.0%"/>
  </numFmts>
  <fonts count="82">
    <font>
      <sz val="11"/>
      <color theme="1"/>
      <name val="Calibri"/>
      <family val="2"/>
      <scheme val="minor"/>
    </font>
    <font>
      <sz val="11"/>
      <color theme="1"/>
      <name val="Calibri"/>
      <family val="2"/>
      <scheme val="minor"/>
    </font>
    <font>
      <b/>
      <sz val="10"/>
      <name val="Calibri"/>
      <family val="2"/>
      <scheme val="minor"/>
    </font>
    <font>
      <sz val="10"/>
      <name val="Calibri"/>
      <family val="2"/>
      <scheme val="minor"/>
    </font>
    <font>
      <sz val="10"/>
      <color theme="1"/>
      <name val="Calibri"/>
      <family val="2"/>
      <scheme val="minor"/>
    </font>
    <font>
      <b/>
      <sz val="10"/>
      <color theme="1"/>
      <name val="Calibri"/>
      <family val="2"/>
      <scheme val="minor"/>
    </font>
    <font>
      <sz val="10"/>
      <name val="Arial"/>
      <family val="2"/>
    </font>
    <font>
      <b/>
      <sz val="11"/>
      <color theme="1"/>
      <name val="Calibri"/>
      <family val="2"/>
      <scheme val="minor"/>
    </font>
    <font>
      <sz val="8"/>
      <color theme="1"/>
      <name val="Calibri"/>
      <family val="2"/>
      <scheme val="minor"/>
    </font>
    <font>
      <sz val="10"/>
      <color rgb="FFFF0000"/>
      <name val="Calibri"/>
      <family val="2"/>
      <scheme val="minor"/>
    </font>
    <font>
      <sz val="9"/>
      <color theme="1"/>
      <name val="Arial"/>
      <family val="2"/>
    </font>
    <font>
      <sz val="9"/>
      <name val="Arial"/>
      <family val="2"/>
    </font>
    <font>
      <b/>
      <sz val="9"/>
      <name val="Arial"/>
      <family val="2"/>
    </font>
    <font>
      <b/>
      <sz val="9"/>
      <color theme="1"/>
      <name val="Arial"/>
      <family val="2"/>
    </font>
    <font>
      <b/>
      <sz val="9"/>
      <color theme="1"/>
      <name val="Calibri"/>
      <family val="2"/>
      <scheme val="minor"/>
    </font>
    <font>
      <sz val="9"/>
      <color theme="1"/>
      <name val="Calibri"/>
      <family val="2"/>
      <scheme val="minor"/>
    </font>
    <font>
      <b/>
      <vertAlign val="superscript"/>
      <sz val="9"/>
      <color theme="1"/>
      <name val="Arial"/>
      <family val="2"/>
    </font>
    <font>
      <sz val="9"/>
      <name val="Calibri"/>
      <family val="2"/>
      <scheme val="minor"/>
    </font>
    <font>
      <i/>
      <sz val="9"/>
      <color theme="1"/>
      <name val="Calibri"/>
      <family val="2"/>
      <scheme val="minor"/>
    </font>
    <font>
      <b/>
      <i/>
      <sz val="9"/>
      <color theme="1"/>
      <name val="Calibri"/>
      <family val="2"/>
      <scheme val="minor"/>
    </font>
    <font>
      <b/>
      <sz val="9"/>
      <name val="Calibri"/>
      <family val="2"/>
      <scheme val="minor"/>
    </font>
    <font>
      <sz val="12"/>
      <color theme="1"/>
      <name val="Calibri"/>
      <family val="2"/>
      <scheme val="minor"/>
    </font>
    <font>
      <b/>
      <i/>
      <sz val="9"/>
      <color theme="8"/>
      <name val="Calibri"/>
      <family val="2"/>
      <scheme val="minor"/>
    </font>
    <font>
      <i/>
      <sz val="10"/>
      <color rgb="FFFF0000"/>
      <name val="Calibri"/>
      <family val="2"/>
      <scheme val="minor"/>
    </font>
    <font>
      <sz val="8"/>
      <color rgb="FF282828"/>
      <name val="Tahoma"/>
      <family val="2"/>
    </font>
    <font>
      <sz val="8"/>
      <color rgb="FF282828"/>
      <name val="Calibri"/>
      <family val="2"/>
    </font>
    <font>
      <sz val="11"/>
      <name val="Calibri"/>
      <family val="2"/>
      <scheme val="minor"/>
    </font>
    <font>
      <i/>
      <sz val="11"/>
      <color theme="1"/>
      <name val="Calibri"/>
      <family val="2"/>
      <scheme val="minor"/>
    </font>
    <font>
      <i/>
      <sz val="10"/>
      <color theme="1"/>
      <name val="Calibri"/>
      <family val="2"/>
      <scheme val="minor"/>
    </font>
    <font>
      <i/>
      <sz val="9"/>
      <color rgb="FFFF0000"/>
      <name val="Arial"/>
      <family val="2"/>
    </font>
    <font>
      <i/>
      <sz val="9"/>
      <color rgb="FFFF0000"/>
      <name val="Calibri"/>
      <family val="2"/>
      <scheme val="minor"/>
    </font>
    <font>
      <b/>
      <sz val="12"/>
      <color theme="1"/>
      <name val="Calibri"/>
      <family val="2"/>
      <scheme val="minor"/>
    </font>
    <font>
      <u/>
      <sz val="10"/>
      <color theme="1"/>
      <name val="Calibri"/>
      <family val="2"/>
      <scheme val="minor"/>
    </font>
    <font>
      <b/>
      <i/>
      <sz val="11"/>
      <color theme="1"/>
      <name val="Calibri"/>
      <family val="2"/>
      <scheme val="minor"/>
    </font>
    <font>
      <b/>
      <i/>
      <sz val="9"/>
      <color rgb="FFFF0000"/>
      <name val="Calibri"/>
      <family val="2"/>
      <scheme val="minor"/>
    </font>
    <font>
      <sz val="11"/>
      <color rgb="FFFF0000"/>
      <name val="Calibri"/>
      <family val="2"/>
      <scheme val="minor"/>
    </font>
    <font>
      <sz val="11"/>
      <color theme="1"/>
      <name val="Arial"/>
      <family val="2"/>
    </font>
    <font>
      <b/>
      <sz val="11"/>
      <name val="Calibri"/>
      <family val="2"/>
      <scheme val="minor"/>
    </font>
    <font>
      <i/>
      <sz val="8"/>
      <color rgb="FFFF0000"/>
      <name val="Calibri"/>
      <family val="2"/>
      <scheme val="minor"/>
    </font>
    <font>
      <b/>
      <sz val="8"/>
      <color theme="1"/>
      <name val="Calibri"/>
      <family val="2"/>
      <scheme val="minor"/>
    </font>
    <font>
      <sz val="9"/>
      <color rgb="FFFF0000"/>
      <name val="Calibri"/>
      <family val="2"/>
      <scheme val="minor"/>
    </font>
    <font>
      <i/>
      <sz val="8"/>
      <color theme="1"/>
      <name val="Calibri"/>
      <family val="2"/>
      <scheme val="minor"/>
    </font>
    <font>
      <i/>
      <sz val="9"/>
      <color rgb="FFFF0066"/>
      <name val="Calibri"/>
      <family val="2"/>
      <scheme val="minor"/>
    </font>
    <font>
      <i/>
      <sz val="11"/>
      <color rgb="FFFF0066"/>
      <name val="Calibri"/>
      <family val="2"/>
      <scheme val="minor"/>
    </font>
    <font>
      <i/>
      <sz val="8"/>
      <color rgb="FFFF0066"/>
      <name val="Calibri"/>
      <family val="2"/>
      <scheme val="minor"/>
    </font>
    <font>
      <i/>
      <sz val="11"/>
      <color rgb="FFFF0000"/>
      <name val="Calibri"/>
      <family val="2"/>
      <scheme val="minor"/>
    </font>
    <font>
      <b/>
      <sz val="12"/>
      <name val="Calibri"/>
      <family val="2"/>
      <scheme val="minor"/>
    </font>
    <font>
      <i/>
      <sz val="11"/>
      <color theme="9" tint="-0.249977111117893"/>
      <name val="Calibri"/>
      <family val="2"/>
      <scheme val="minor"/>
    </font>
    <font>
      <b/>
      <i/>
      <sz val="11"/>
      <color rgb="FFFF0000"/>
      <name val="Calibri"/>
      <family val="2"/>
      <scheme val="minor"/>
    </font>
    <font>
      <u/>
      <sz val="11"/>
      <color theme="10"/>
      <name val="Calibri"/>
      <family val="2"/>
      <scheme val="minor"/>
    </font>
    <font>
      <sz val="10"/>
      <name val="Arial Unicode MS"/>
    </font>
    <font>
      <b/>
      <sz val="10"/>
      <name val="Arial Unicode MS"/>
    </font>
    <font>
      <sz val="11"/>
      <color rgb="FF000000"/>
      <name val="Calibri"/>
      <family val="2"/>
      <scheme val="minor"/>
    </font>
    <font>
      <i/>
      <sz val="11"/>
      <name val="Calibri"/>
      <family val="2"/>
      <scheme val="minor"/>
    </font>
    <font>
      <i/>
      <sz val="9"/>
      <name val="Calibri"/>
      <family val="2"/>
      <scheme val="minor"/>
    </font>
    <font>
      <sz val="11"/>
      <color theme="1"/>
      <name val="Calibri"/>
      <family val="2"/>
    </font>
    <font>
      <sz val="10"/>
      <color theme="1"/>
      <name val="Calibri"/>
      <family val="2"/>
    </font>
    <font>
      <sz val="10"/>
      <color rgb="FF000000"/>
      <name val="Calibri"/>
      <family val="2"/>
    </font>
    <font>
      <sz val="11"/>
      <color rgb="FF000000"/>
      <name val="Calibri"/>
      <family val="2"/>
    </font>
    <font>
      <b/>
      <sz val="11"/>
      <color theme="1"/>
      <name val="Calibri"/>
      <family val="2"/>
    </font>
    <font>
      <b/>
      <sz val="10"/>
      <color theme="1"/>
      <name val="Calibri"/>
      <family val="2"/>
    </font>
    <font>
      <b/>
      <sz val="13.95"/>
      <color rgb="FF000000"/>
      <name val="Arial"/>
      <family val="2"/>
    </font>
    <font>
      <b/>
      <sz val="11"/>
      <color rgb="FF000000"/>
      <name val="Arial"/>
      <family val="2"/>
    </font>
    <font>
      <i/>
      <sz val="9"/>
      <color rgb="FF000000"/>
      <name val="Arial"/>
      <family val="2"/>
    </font>
    <font>
      <sz val="11"/>
      <color rgb="FF000000"/>
      <name val="Arial"/>
      <family val="2"/>
    </font>
    <font>
      <sz val="10"/>
      <color rgb="FF000000"/>
      <name val="Calibri"/>
      <family val="1"/>
      <scheme val="minor"/>
    </font>
    <font>
      <b/>
      <sz val="10"/>
      <color theme="1"/>
      <name val="Calibri"/>
      <family val="1"/>
      <scheme val="minor"/>
    </font>
    <font>
      <sz val="10"/>
      <color theme="1"/>
      <name val="Calibri"/>
      <family val="1"/>
      <scheme val="minor"/>
    </font>
    <font>
      <b/>
      <sz val="10"/>
      <color rgb="FF000000"/>
      <name val="Calibri"/>
      <family val="1"/>
      <scheme val="minor"/>
    </font>
    <font>
      <b/>
      <sz val="10"/>
      <name val="Calibri"/>
      <family val="1"/>
      <scheme val="minor"/>
    </font>
    <font>
      <sz val="10"/>
      <name val="Calibri"/>
      <family val="1"/>
      <scheme val="minor"/>
    </font>
    <font>
      <b/>
      <sz val="10"/>
      <color theme="0"/>
      <name val="Calibri"/>
      <family val="1"/>
      <scheme val="minor"/>
    </font>
    <font>
      <sz val="10"/>
      <color theme="0"/>
      <name val="Calibri"/>
      <family val="1"/>
      <scheme val="minor"/>
    </font>
    <font>
      <sz val="12"/>
      <color theme="1"/>
      <name val="Arial"/>
      <family val="2"/>
    </font>
    <font>
      <sz val="10"/>
      <color theme="1"/>
      <name val="Arial"/>
      <family val="2"/>
    </font>
    <font>
      <b/>
      <sz val="11"/>
      <color theme="1"/>
      <name val="Arial"/>
      <family val="2"/>
    </font>
    <font>
      <b/>
      <sz val="10"/>
      <color theme="1"/>
      <name val="Arial"/>
      <family val="2"/>
    </font>
    <font>
      <i/>
      <sz val="10"/>
      <color theme="9" tint="-0.249977111117893"/>
      <name val="Calibri"/>
      <family val="2"/>
      <scheme val="minor"/>
    </font>
    <font>
      <i/>
      <sz val="10"/>
      <name val="Calibri"/>
      <family val="2"/>
      <scheme val="minor"/>
    </font>
    <font>
      <sz val="11"/>
      <color theme="1"/>
      <name val="Aptos Narrow"/>
      <family val="2"/>
    </font>
    <font>
      <sz val="10"/>
      <color theme="1"/>
      <name val="Aptos Narrow"/>
      <family val="2"/>
    </font>
    <font>
      <b/>
      <sz val="11"/>
      <name val="Aptos Narrow"/>
      <family val="2"/>
    </font>
  </fonts>
  <fills count="49">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theme="0" tint="-0.249977111117893"/>
        <bgColor indexed="64"/>
      </patternFill>
    </fill>
    <fill>
      <patternFill patternType="solid">
        <fgColor rgb="FFFFCCCC"/>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CFFFF"/>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CCCCFF"/>
        <bgColor indexed="64"/>
      </patternFill>
    </fill>
    <fill>
      <patternFill patternType="solid">
        <fgColor rgb="FF00B0F0"/>
        <bgColor indexed="64"/>
      </patternFill>
    </fill>
    <fill>
      <patternFill patternType="solid">
        <fgColor rgb="FFFFC000"/>
        <bgColor indexed="64"/>
      </patternFill>
    </fill>
    <fill>
      <patternFill patternType="solid">
        <fgColor theme="2"/>
        <bgColor indexed="64"/>
      </patternFill>
    </fill>
    <fill>
      <patternFill patternType="solid">
        <fgColor rgb="FFCC99FF"/>
        <bgColor indexed="64"/>
      </patternFill>
    </fill>
    <fill>
      <patternFill patternType="solid">
        <fgColor rgb="FFCCFF99"/>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2" tint="-9.9978637043366805E-2"/>
        <bgColor indexed="64"/>
      </patternFill>
    </fill>
    <fill>
      <patternFill patternType="solid">
        <fgColor theme="4" tint="0.59999389629810485"/>
        <bgColor indexed="64"/>
      </patternFill>
    </fill>
    <fill>
      <patternFill patternType="solid">
        <fgColor rgb="FF66FFFF"/>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rgb="FFE1EFFE"/>
        <bgColor indexed="64"/>
      </patternFill>
    </fill>
    <fill>
      <patternFill patternType="solid">
        <fgColor rgb="FFCFE2F3"/>
        <bgColor indexed="64"/>
      </patternFill>
    </fill>
    <fill>
      <patternFill patternType="solid">
        <fgColor rgb="FFFFFFFF"/>
        <bgColor indexed="64"/>
      </patternFill>
    </fill>
    <fill>
      <patternFill patternType="solid">
        <fgColor rgb="FFD9EAD3"/>
        <bgColor indexed="64"/>
      </patternFill>
    </fill>
    <fill>
      <patternFill patternType="solid">
        <fgColor rgb="FFD9D2E9"/>
        <bgColor indexed="64"/>
      </patternFill>
    </fill>
    <fill>
      <patternFill patternType="solid">
        <fgColor rgb="FFF3F3F3"/>
        <bgColor indexed="64"/>
      </patternFill>
    </fill>
    <fill>
      <patternFill patternType="solid">
        <fgColor rgb="FFEAD1DC"/>
        <bgColor indexed="64"/>
      </patternFill>
    </fill>
    <fill>
      <patternFill patternType="solid">
        <fgColor rgb="FFEFEFEF"/>
        <bgColor indexed="64"/>
      </patternFill>
    </fill>
    <fill>
      <patternFill patternType="solid">
        <fgColor rgb="FFD9E1F2"/>
        <bgColor rgb="FFD9E1F2"/>
      </patternFill>
    </fill>
    <fill>
      <patternFill patternType="solid">
        <fgColor rgb="FF002060"/>
        <bgColor rgb="FF002060"/>
      </patternFill>
    </fill>
    <fill>
      <patternFill patternType="solid">
        <fgColor rgb="FFD9EAD3"/>
        <bgColor rgb="FFD9EAD3"/>
      </patternFill>
    </fill>
    <fill>
      <patternFill patternType="solid">
        <fgColor rgb="FFFFC000"/>
        <bgColor rgb="FFD9EAD3"/>
      </patternFill>
    </fill>
    <fill>
      <patternFill patternType="solid">
        <fgColor rgb="FFFFFF00"/>
        <bgColor rgb="FFD9EAD3"/>
      </patternFill>
    </fill>
  </fills>
  <borders count="154">
    <border>
      <left/>
      <right/>
      <top/>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hair">
        <color indexed="64"/>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thin">
        <color auto="1"/>
      </right>
      <top/>
      <bottom/>
      <diagonal/>
    </border>
    <border>
      <left style="thin">
        <color indexed="64"/>
      </left>
      <right/>
      <top/>
      <bottom style="hair">
        <color indexed="64"/>
      </bottom>
      <diagonal/>
    </border>
    <border>
      <left style="medium">
        <color auto="1"/>
      </left>
      <right/>
      <top/>
      <bottom style="hair">
        <color auto="1"/>
      </bottom>
      <diagonal/>
    </border>
    <border>
      <left style="thin">
        <color auto="1"/>
      </left>
      <right style="medium">
        <color auto="1"/>
      </right>
      <top/>
      <bottom style="hair">
        <color auto="1"/>
      </bottom>
      <diagonal/>
    </border>
    <border>
      <left style="medium">
        <color auto="1"/>
      </left>
      <right style="thin">
        <color indexed="64"/>
      </right>
      <top style="hair">
        <color auto="1"/>
      </top>
      <bottom style="hair">
        <color auto="1"/>
      </bottom>
      <diagonal/>
    </border>
    <border>
      <left style="medium">
        <color indexed="64"/>
      </left>
      <right/>
      <top style="hair">
        <color indexed="64"/>
      </top>
      <bottom style="hair">
        <color indexed="64"/>
      </bottom>
      <diagonal/>
    </border>
    <border>
      <left style="thin">
        <color auto="1"/>
      </left>
      <right style="medium">
        <color auto="1"/>
      </right>
      <top style="hair">
        <color auto="1"/>
      </top>
      <bottom style="hair">
        <color auto="1"/>
      </bottom>
      <diagonal/>
    </border>
    <border>
      <left style="thin">
        <color auto="1"/>
      </left>
      <right/>
      <top style="hair">
        <color auto="1"/>
      </top>
      <bottom/>
      <diagonal/>
    </border>
    <border>
      <left style="medium">
        <color auto="1"/>
      </left>
      <right style="thin">
        <color indexed="64"/>
      </right>
      <top style="hair">
        <color auto="1"/>
      </top>
      <bottom/>
      <diagonal/>
    </border>
    <border>
      <left style="medium">
        <color auto="1"/>
      </left>
      <right/>
      <top style="hair">
        <color auto="1"/>
      </top>
      <bottom/>
      <diagonal/>
    </border>
    <border>
      <left style="thin">
        <color auto="1"/>
      </left>
      <right style="medium">
        <color auto="1"/>
      </right>
      <top style="hair">
        <color auto="1"/>
      </top>
      <bottom/>
      <diagonal/>
    </border>
    <border>
      <left style="thin">
        <color auto="1"/>
      </left>
      <right/>
      <top style="thin">
        <color auto="1"/>
      </top>
      <bottom/>
      <diagonal/>
    </border>
    <border>
      <left style="medium">
        <color auto="1"/>
      </left>
      <right style="thin">
        <color indexed="64"/>
      </right>
      <top style="thin">
        <color auto="1"/>
      </top>
      <bottom style="hair">
        <color auto="1"/>
      </bottom>
      <diagonal/>
    </border>
    <border>
      <left style="thin">
        <color indexed="64"/>
      </left>
      <right style="medium">
        <color auto="1"/>
      </right>
      <top style="thin">
        <color auto="1"/>
      </top>
      <bottom style="hair">
        <color auto="1"/>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medium">
        <color auto="1"/>
      </left>
      <right style="thin">
        <color indexed="64"/>
      </right>
      <top style="hair">
        <color auto="1"/>
      </top>
      <bottom style="thin">
        <color auto="1"/>
      </bottom>
      <diagonal/>
    </border>
    <border>
      <left style="thin">
        <color auto="1"/>
      </left>
      <right style="medium">
        <color auto="1"/>
      </right>
      <top style="hair">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medium">
        <color auto="1"/>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double">
        <color indexed="64"/>
      </bottom>
      <diagonal/>
    </border>
    <border>
      <left/>
      <right style="thin">
        <color indexed="64"/>
      </right>
      <top/>
      <bottom style="double">
        <color indexed="64"/>
      </bottom>
      <diagonal/>
    </border>
    <border>
      <left style="medium">
        <color indexed="64"/>
      </left>
      <right style="thin">
        <color auto="1"/>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diagonal/>
    </border>
    <border>
      <left style="thin">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hair">
        <color auto="1"/>
      </bottom>
      <diagonal/>
    </border>
    <border>
      <left style="thin">
        <color indexed="64"/>
      </left>
      <right style="medium">
        <color indexed="64"/>
      </right>
      <top style="medium">
        <color indexed="64"/>
      </top>
      <bottom style="hair">
        <color indexed="64"/>
      </bottom>
      <diagonal/>
    </border>
    <border>
      <left/>
      <right style="thin">
        <color indexed="64"/>
      </right>
      <top style="hair">
        <color indexed="64"/>
      </top>
      <bottom/>
      <diagonal/>
    </border>
    <border>
      <left style="medium">
        <color auto="1"/>
      </left>
      <right/>
      <top style="thin">
        <color indexed="64"/>
      </top>
      <bottom style="double">
        <color indexed="64"/>
      </bottom>
      <diagonal/>
    </border>
    <border>
      <left/>
      <right style="medium">
        <color indexed="64"/>
      </right>
      <top style="thin">
        <color indexed="64"/>
      </top>
      <bottom style="double">
        <color indexed="64"/>
      </bottom>
      <diagonal/>
    </border>
    <border>
      <left/>
      <right/>
      <top style="hair">
        <color indexed="64"/>
      </top>
      <bottom style="medium">
        <color indexed="64"/>
      </bottom>
      <diagonal/>
    </border>
    <border>
      <left/>
      <right style="medium">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bottom style="hair">
        <color indexed="64"/>
      </bottom>
      <diagonal/>
    </border>
    <border>
      <left style="hair">
        <color indexed="64"/>
      </left>
      <right style="medium">
        <color indexed="64"/>
      </right>
      <top style="hair">
        <color indexed="64"/>
      </top>
      <bottom/>
      <diagonal/>
    </border>
    <border>
      <left style="medium">
        <color auto="1"/>
      </left>
      <right style="thin">
        <color auto="1"/>
      </right>
      <top/>
      <bottom style="medium">
        <color auto="1"/>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right style="medium">
        <color auto="1"/>
      </right>
      <top/>
      <bottom style="thin">
        <color auto="1"/>
      </bottom>
      <diagonal/>
    </border>
    <border>
      <left/>
      <right style="medium">
        <color auto="1"/>
      </right>
      <top style="thin">
        <color auto="1"/>
      </top>
      <bottom/>
      <diagonal/>
    </border>
    <border>
      <left/>
      <right style="medium">
        <color indexed="64"/>
      </right>
      <top style="medium">
        <color indexed="64"/>
      </top>
      <bottom style="hair">
        <color indexed="64"/>
      </bottom>
      <diagonal/>
    </border>
    <border>
      <left/>
      <right style="thin">
        <color indexed="64"/>
      </right>
      <top style="thin">
        <color indexed="64"/>
      </top>
      <bottom/>
      <diagonal/>
    </border>
    <border>
      <left style="thin">
        <color indexed="64"/>
      </left>
      <right/>
      <top style="thin">
        <color indexed="64"/>
      </top>
      <bottom style="double">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medium">
        <color indexed="64"/>
      </right>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auto="1"/>
      </left>
      <right style="thin">
        <color indexed="64"/>
      </right>
      <top/>
      <bottom style="hair">
        <color auto="1"/>
      </bottom>
      <diagonal/>
    </border>
    <border>
      <left style="medium">
        <color indexed="64"/>
      </left>
      <right/>
      <top style="hair">
        <color indexed="64"/>
      </top>
      <bottom style="medium">
        <color indexed="64"/>
      </bottom>
      <diagonal/>
    </border>
    <border>
      <left style="medium">
        <color indexed="64"/>
      </left>
      <right/>
      <top style="medium">
        <color indexed="64"/>
      </top>
      <bottom style="hair">
        <color auto="1"/>
      </bottom>
      <diagonal/>
    </border>
    <border>
      <left style="thin">
        <color indexed="64"/>
      </left>
      <right/>
      <top style="medium">
        <color indexed="64"/>
      </top>
      <bottom style="hair">
        <color indexed="64"/>
      </bottom>
      <diagonal/>
    </border>
    <border>
      <left/>
      <right style="medium">
        <color indexed="64"/>
      </right>
      <top style="thin">
        <color indexed="64"/>
      </top>
      <bottom style="hair">
        <color indexed="64"/>
      </bottom>
      <diagonal/>
    </border>
    <border>
      <left style="hair">
        <color indexed="64"/>
      </left>
      <right style="medium">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medium">
        <color indexed="64"/>
      </left>
      <right style="hair">
        <color indexed="64"/>
      </right>
      <top style="hair">
        <color indexed="64"/>
      </top>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style="thin">
        <color indexed="64"/>
      </right>
      <top/>
      <bottom/>
      <diagonal/>
    </border>
    <border>
      <left style="medium">
        <color indexed="64"/>
      </left>
      <right style="medium">
        <color indexed="64"/>
      </right>
      <top style="thin">
        <color auto="1"/>
      </top>
      <bottom/>
      <diagonal/>
    </border>
    <border>
      <left style="medium">
        <color indexed="64"/>
      </left>
      <right/>
      <top style="thin">
        <color indexed="64"/>
      </top>
      <bottom style="hair">
        <color indexed="64"/>
      </bottom>
      <diagonal/>
    </border>
    <border>
      <left style="medium">
        <color indexed="64"/>
      </left>
      <right/>
      <top/>
      <bottom style="thin">
        <color indexed="64"/>
      </bottom>
      <diagonal/>
    </border>
    <border>
      <left style="medium">
        <color rgb="FF2F5496"/>
      </left>
      <right/>
      <top/>
      <bottom/>
      <diagonal/>
    </border>
    <border>
      <left/>
      <right style="medium">
        <color indexed="64"/>
      </right>
      <top style="hair">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double">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CCCCCC"/>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CCCCCC"/>
      </right>
      <top style="medium">
        <color rgb="FF000000"/>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top style="medium">
        <color rgb="FF000000"/>
      </top>
      <bottom style="medium">
        <color rgb="FF000000"/>
      </bottom>
      <diagonal/>
    </border>
    <border>
      <left style="double">
        <color auto="1"/>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15">
    <xf numFmtId="0" fontId="0" fillId="0" borderId="0"/>
    <xf numFmtId="43" fontId="1" fillId="0" borderId="0" applyFont="0" applyFill="0" applyBorder="0" applyAlignment="0" applyProtection="0"/>
    <xf numFmtId="44" fontId="1" fillId="0" borderId="0" applyFont="0" applyFill="0" applyBorder="0" applyAlignment="0" applyProtection="0"/>
    <xf numFmtId="43" fontId="6" fillId="0" borderId="0" applyFont="0" applyFill="0" applyBorder="0" applyAlignment="0" applyProtection="0"/>
    <xf numFmtId="0" fontId="1" fillId="0" borderId="0"/>
    <xf numFmtId="0" fontId="6" fillId="0" borderId="0"/>
    <xf numFmtId="44" fontId="6" fillId="0" borderId="0" applyFont="0" applyFill="0" applyBorder="0" applyAlignment="0" applyProtection="0"/>
    <xf numFmtId="0" fontId="1" fillId="0" borderId="0"/>
    <xf numFmtId="9" fontId="1" fillId="0" borderId="0" applyFont="0" applyFill="0" applyBorder="0" applyAlignment="0" applyProtection="0"/>
    <xf numFmtId="0" fontId="49" fillId="0" borderId="0" applyNumberFormat="0" applyFill="0" applyBorder="0" applyAlignment="0" applyProtection="0"/>
    <xf numFmtId="0" fontId="50" fillId="0" borderId="0"/>
    <xf numFmtId="43" fontId="51" fillId="0" borderId="0" applyFont="0" applyFill="0" applyBorder="0" applyAlignment="0" applyProtection="0"/>
    <xf numFmtId="0" fontId="21" fillId="0" borderId="0"/>
    <xf numFmtId="44" fontId="21" fillId="0" borderId="0" applyFont="0" applyFill="0" applyBorder="0" applyAlignment="0" applyProtection="0"/>
    <xf numFmtId="0" fontId="65" fillId="0" borderId="0"/>
  </cellStyleXfs>
  <cellXfs count="1409">
    <xf numFmtId="0" fontId="0" fillId="0" borderId="0" xfId="0"/>
    <xf numFmtId="43" fontId="2" fillId="0" borderId="0" xfId="1" applyFont="1" applyFill="1" applyAlignment="1">
      <alignment horizontal="left" wrapText="1"/>
    </xf>
    <xf numFmtId="43" fontId="2" fillId="0" borderId="0" xfId="1" applyFont="1" applyFill="1" applyAlignment="1">
      <alignment horizontal="left" vertical="center"/>
    </xf>
    <xf numFmtId="164" fontId="2" fillId="2" borderId="0" xfId="1" applyNumberFormat="1" applyFont="1" applyFill="1" applyAlignment="1">
      <alignment horizontal="left" vertical="center"/>
    </xf>
    <xf numFmtId="43" fontId="2" fillId="3" borderId="0" xfId="1" applyFont="1" applyFill="1" applyAlignment="1">
      <alignment horizontal="center" wrapText="1"/>
    </xf>
    <xf numFmtId="44" fontId="2" fillId="3" borderId="0" xfId="2" applyFont="1" applyFill="1" applyAlignment="1">
      <alignment horizontal="center" wrapText="1"/>
    </xf>
    <xf numFmtId="44" fontId="4" fillId="0" borderId="0" xfId="2" applyFont="1"/>
    <xf numFmtId="0" fontId="4" fillId="0" borderId="0" xfId="0" applyFont="1"/>
    <xf numFmtId="44" fontId="4" fillId="0" borderId="0" xfId="2" applyFont="1" applyFill="1"/>
    <xf numFmtId="0" fontId="3" fillId="0" borderId="0" xfId="1" quotePrefix="1" applyNumberFormat="1" applyFont="1" applyFill="1" applyAlignment="1">
      <alignment horizontal="left"/>
    </xf>
    <xf numFmtId="0" fontId="4" fillId="0" borderId="0" xfId="1" applyNumberFormat="1" applyFont="1" applyFill="1" applyAlignment="1">
      <alignment horizontal="left"/>
    </xf>
    <xf numFmtId="43" fontId="4" fillId="0" borderId="0" xfId="1" applyFont="1" applyFill="1"/>
    <xf numFmtId="43" fontId="4" fillId="0" borderId="0" xfId="1" applyFont="1" applyFill="1" applyBorder="1" applyAlignment="1">
      <alignment horizontal="left"/>
    </xf>
    <xf numFmtId="43" fontId="4" fillId="0" borderId="0" xfId="1" applyFont="1" applyFill="1" applyBorder="1"/>
    <xf numFmtId="43" fontId="4" fillId="0" borderId="2" xfId="1" applyFont="1" applyFill="1" applyBorder="1" applyAlignment="1">
      <alignment horizontal="left"/>
    </xf>
    <xf numFmtId="43" fontId="4" fillId="0" borderId="2" xfId="1" applyFont="1" applyFill="1" applyBorder="1"/>
    <xf numFmtId="43" fontId="4" fillId="0" borderId="3" xfId="1" applyFont="1" applyFill="1" applyBorder="1"/>
    <xf numFmtId="43" fontId="4" fillId="6" borderId="1" xfId="1" applyFont="1" applyFill="1" applyBorder="1" applyAlignment="1">
      <alignment horizontal="left"/>
    </xf>
    <xf numFmtId="43" fontId="4" fillId="5" borderId="1" xfId="1" applyFont="1" applyFill="1" applyBorder="1"/>
    <xf numFmtId="0" fontId="4" fillId="0" borderId="0" xfId="1" applyNumberFormat="1" applyFont="1" applyFill="1"/>
    <xf numFmtId="43" fontId="2" fillId="0" borderId="2" xfId="1" applyFont="1" applyFill="1" applyBorder="1" applyAlignment="1">
      <alignment horizontal="left" wrapText="1"/>
    </xf>
    <xf numFmtId="0" fontId="3" fillId="0" borderId="0" xfId="1" applyNumberFormat="1" applyFont="1" applyFill="1"/>
    <xf numFmtId="0" fontId="2" fillId="6" borderId="1" xfId="1" applyNumberFormat="1" applyFont="1" applyFill="1" applyBorder="1"/>
    <xf numFmtId="0" fontId="4" fillId="0" borderId="0" xfId="1" applyNumberFormat="1" applyFont="1" applyFill="1" applyBorder="1"/>
    <xf numFmtId="0" fontId="2" fillId="0" borderId="2" xfId="1" applyNumberFormat="1" applyFont="1" applyFill="1" applyBorder="1"/>
    <xf numFmtId="0" fontId="2" fillId="0" borderId="0" xfId="1" applyNumberFormat="1" applyFont="1" applyFill="1" applyBorder="1"/>
    <xf numFmtId="0" fontId="2" fillId="5" borderId="1" xfId="1" applyNumberFormat="1" applyFont="1" applyFill="1" applyBorder="1"/>
    <xf numFmtId="0" fontId="2" fillId="0" borderId="3" xfId="1" applyNumberFormat="1" applyFont="1" applyFill="1" applyBorder="1"/>
    <xf numFmtId="44" fontId="2" fillId="3" borderId="0" xfId="2" applyFont="1" applyFill="1" applyBorder="1" applyAlignment="1">
      <alignment horizontal="center" wrapText="1"/>
    </xf>
    <xf numFmtId="0" fontId="2" fillId="2" borderId="0" xfId="1" applyNumberFormat="1" applyFont="1" applyFill="1" applyAlignment="1">
      <alignment horizontal="left"/>
    </xf>
    <xf numFmtId="44" fontId="2" fillId="0" borderId="0" xfId="2" applyFont="1" applyFill="1" applyBorder="1" applyAlignment="1">
      <alignment horizontal="center" wrapText="1"/>
    </xf>
    <xf numFmtId="0" fontId="4" fillId="0" borderId="0" xfId="0" applyFont="1" applyAlignment="1">
      <alignment wrapText="1"/>
    </xf>
    <xf numFmtId="0" fontId="0" fillId="8" borderId="0" xfId="0" applyFill="1"/>
    <xf numFmtId="165" fontId="0" fillId="0" borderId="0" xfId="0" applyNumberFormat="1"/>
    <xf numFmtId="0" fontId="0" fillId="0" borderId="13" xfId="0" applyBorder="1"/>
    <xf numFmtId="0" fontId="0" fillId="0" borderId="0" xfId="0" applyAlignment="1">
      <alignment horizontal="center"/>
    </xf>
    <xf numFmtId="0" fontId="0" fillId="0" borderId="15" xfId="0" applyBorder="1"/>
    <xf numFmtId="0" fontId="0" fillId="0" borderId="16" xfId="0" applyBorder="1"/>
    <xf numFmtId="165" fontId="0" fillId="0" borderId="16" xfId="0" applyNumberFormat="1" applyBorder="1"/>
    <xf numFmtId="0" fontId="5" fillId="0" borderId="0" xfId="0" applyFont="1"/>
    <xf numFmtId="0" fontId="8" fillId="0" borderId="0" xfId="0" applyFont="1"/>
    <xf numFmtId="10" fontId="0" fillId="0" borderId="0" xfId="0" applyNumberFormat="1"/>
    <xf numFmtId="0" fontId="0" fillId="8" borderId="10" xfId="0" applyFill="1" applyBorder="1"/>
    <xf numFmtId="0" fontId="0" fillId="0" borderId="11" xfId="0" applyBorder="1"/>
    <xf numFmtId="165" fontId="0" fillId="0" borderId="11" xfId="0" applyNumberFormat="1" applyBorder="1"/>
    <xf numFmtId="0" fontId="0" fillId="0" borderId="12" xfId="0" applyBorder="1" applyAlignment="1">
      <alignment horizontal="center"/>
    </xf>
    <xf numFmtId="0" fontId="0" fillId="0" borderId="10" xfId="0" applyBorder="1"/>
    <xf numFmtId="0" fontId="8" fillId="0" borderId="11" xfId="0" applyFont="1" applyBorder="1"/>
    <xf numFmtId="10" fontId="0" fillId="0" borderId="11" xfId="0" applyNumberFormat="1" applyBorder="1"/>
    <xf numFmtId="0" fontId="8" fillId="9" borderId="13" xfId="0" applyFont="1" applyFill="1" applyBorder="1"/>
    <xf numFmtId="0" fontId="0" fillId="9" borderId="14" xfId="0" applyFill="1" applyBorder="1" applyAlignment="1">
      <alignment horizontal="center"/>
    </xf>
    <xf numFmtId="0" fontId="8" fillId="0" borderId="13" xfId="0" applyFont="1" applyBorder="1"/>
    <xf numFmtId="165" fontId="8" fillId="0" borderId="0" xfId="0" applyNumberFormat="1" applyFont="1"/>
    <xf numFmtId="10" fontId="8" fillId="0" borderId="14" xfId="0" applyNumberFormat="1" applyFont="1" applyBorder="1" applyAlignment="1">
      <alignment horizontal="center"/>
    </xf>
    <xf numFmtId="0" fontId="8" fillId="0" borderId="14" xfId="0" applyFont="1" applyBorder="1" applyAlignment="1">
      <alignment horizontal="center"/>
    </xf>
    <xf numFmtId="10" fontId="8" fillId="0" borderId="13" xfId="0" applyNumberFormat="1" applyFont="1" applyBorder="1"/>
    <xf numFmtId="0" fontId="8" fillId="0" borderId="14" xfId="0" applyFont="1" applyBorder="1"/>
    <xf numFmtId="0" fontId="8" fillId="0" borderId="0" xfId="0" applyFont="1" applyAlignment="1">
      <alignment horizontal="center"/>
    </xf>
    <xf numFmtId="0" fontId="8" fillId="0" borderId="15" xfId="0" applyFont="1" applyBorder="1"/>
    <xf numFmtId="0" fontId="8" fillId="0" borderId="16" xfId="0" applyFont="1" applyBorder="1"/>
    <xf numFmtId="165" fontId="8" fillId="0" borderId="16" xfId="0" applyNumberFormat="1" applyFont="1" applyBorder="1"/>
    <xf numFmtId="165" fontId="8" fillId="0" borderId="11" xfId="0" applyNumberFormat="1" applyFont="1" applyBorder="1"/>
    <xf numFmtId="10" fontId="8" fillId="0" borderId="11" xfId="0" applyNumberFormat="1" applyFont="1" applyBorder="1"/>
    <xf numFmtId="10" fontId="8" fillId="0" borderId="12" xfId="0" applyNumberFormat="1" applyFont="1" applyBorder="1" applyAlignment="1">
      <alignment horizontal="center"/>
    </xf>
    <xf numFmtId="10" fontId="0" fillId="0" borderId="15" xfId="0" applyNumberFormat="1" applyBorder="1"/>
    <xf numFmtId="0" fontId="7" fillId="0" borderId="0" xfId="0" applyFont="1"/>
    <xf numFmtId="43" fontId="4" fillId="0" borderId="0" xfId="0" applyNumberFormat="1" applyFont="1"/>
    <xf numFmtId="0" fontId="9" fillId="0" borderId="0" xfId="0" applyFont="1"/>
    <xf numFmtId="0" fontId="4" fillId="0" borderId="0" xfId="0" applyFont="1" applyAlignment="1">
      <alignment horizontal="center"/>
    </xf>
    <xf numFmtId="0" fontId="11" fillId="0" borderId="0" xfId="5" applyFont="1"/>
    <xf numFmtId="4" fontId="12" fillId="0" borderId="0" xfId="3" applyNumberFormat="1" applyFont="1" applyFill="1" applyAlignment="1">
      <alignment horizontal="center"/>
    </xf>
    <xf numFmtId="4" fontId="15" fillId="0" borderId="0" xfId="3" applyNumberFormat="1" applyFont="1" applyFill="1" applyAlignment="1">
      <alignment horizontal="center"/>
    </xf>
    <xf numFmtId="4" fontId="15" fillId="0" borderId="0" xfId="3" applyNumberFormat="1" applyFont="1" applyFill="1"/>
    <xf numFmtId="0" fontId="15" fillId="0" borderId="0" xfId="5" applyFont="1" applyAlignment="1">
      <alignment horizontal="center"/>
    </xf>
    <xf numFmtId="43" fontId="11" fillId="0" borderId="0" xfId="3" applyFont="1" applyFill="1" applyAlignment="1">
      <alignment horizontal="center"/>
    </xf>
    <xf numFmtId="43" fontId="12" fillId="0" borderId="0" xfId="3" applyFont="1" applyFill="1" applyAlignment="1">
      <alignment horizontal="center"/>
    </xf>
    <xf numFmtId="0" fontId="15" fillId="0" borderId="0" xfId="5" applyFont="1" applyAlignment="1">
      <alignment horizontal="left"/>
    </xf>
    <xf numFmtId="44" fontId="15" fillId="0" borderId="0" xfId="6" applyFont="1" applyFill="1" applyAlignment="1">
      <alignment horizontal="left"/>
    </xf>
    <xf numFmtId="169" fontId="15" fillId="0" borderId="0" xfId="5" applyNumberFormat="1" applyFont="1" applyAlignment="1">
      <alignment horizontal="center"/>
    </xf>
    <xf numFmtId="44" fontId="15" fillId="0" borderId="0" xfId="6" applyFont="1" applyFill="1" applyAlignment="1">
      <alignment horizontal="center"/>
    </xf>
    <xf numFmtId="0" fontId="10" fillId="14" borderId="52" xfId="5" applyFont="1" applyFill="1" applyBorder="1" applyAlignment="1">
      <alignment horizontal="left" vertical="center" wrapText="1"/>
    </xf>
    <xf numFmtId="0" fontId="10" fillId="14" borderId="23" xfId="5" applyFont="1" applyFill="1" applyBorder="1" applyAlignment="1">
      <alignment horizontal="left" vertical="center" wrapText="1"/>
    </xf>
    <xf numFmtId="0" fontId="13" fillId="14" borderId="23" xfId="5" applyFont="1" applyFill="1" applyBorder="1" applyAlignment="1">
      <alignment horizontal="center" vertical="center" wrapText="1"/>
    </xf>
    <xf numFmtId="0" fontId="13" fillId="14" borderId="24" xfId="5" applyFont="1" applyFill="1" applyBorder="1" applyAlignment="1">
      <alignment horizontal="center" vertical="center" wrapText="1"/>
    </xf>
    <xf numFmtId="0" fontId="15" fillId="14" borderId="53" xfId="5" applyFont="1" applyFill="1" applyBorder="1" applyAlignment="1">
      <alignment horizontal="left" vertical="center" wrapText="1"/>
    </xf>
    <xf numFmtId="0" fontId="15" fillId="14" borderId="9" xfId="5" applyFont="1" applyFill="1" applyBorder="1" applyAlignment="1">
      <alignment horizontal="left" vertical="center" wrapText="1"/>
    </xf>
    <xf numFmtId="165" fontId="15" fillId="14" borderId="9" xfId="5" applyNumberFormat="1" applyFont="1" applyFill="1" applyBorder="1" applyAlignment="1">
      <alignment horizontal="center" vertical="center" wrapText="1"/>
    </xf>
    <xf numFmtId="165" fontId="15" fillId="14" borderId="25" xfId="5" applyNumberFormat="1" applyFont="1" applyFill="1" applyBorder="1" applyAlignment="1">
      <alignment horizontal="center" vertical="center" wrapText="1"/>
    </xf>
    <xf numFmtId="43" fontId="11" fillId="0" borderId="0" xfId="3" applyFont="1" applyFill="1" applyAlignment="1">
      <alignment horizontal="right" wrapText="1"/>
    </xf>
    <xf numFmtId="43" fontId="15" fillId="0" borderId="0" xfId="3" applyFont="1" applyFill="1"/>
    <xf numFmtId="0" fontId="15" fillId="0" borderId="53" xfId="5" applyFont="1" applyBorder="1" applyAlignment="1">
      <alignment horizontal="left" vertical="center" wrapText="1"/>
    </xf>
    <xf numFmtId="0" fontId="15" fillId="0" borderId="9" xfId="5" applyFont="1" applyBorder="1" applyAlignment="1">
      <alignment horizontal="left" vertical="center" wrapText="1"/>
    </xf>
    <xf numFmtId="165" fontId="15" fillId="0" borderId="9" xfId="5" applyNumberFormat="1" applyFont="1" applyBorder="1" applyAlignment="1">
      <alignment horizontal="center" vertical="center" wrapText="1"/>
    </xf>
    <xf numFmtId="165" fontId="17" fillId="0" borderId="9" xfId="5" applyNumberFormat="1" applyFont="1" applyBorder="1" applyAlignment="1">
      <alignment horizontal="center" vertical="center" wrapText="1"/>
    </xf>
    <xf numFmtId="165" fontId="17" fillId="0" borderId="25" xfId="5" applyNumberFormat="1" applyFont="1" applyBorder="1" applyAlignment="1">
      <alignment horizontal="center" vertical="center" wrapText="1"/>
    </xf>
    <xf numFmtId="165" fontId="15" fillId="0" borderId="25" xfId="5" applyNumberFormat="1" applyFont="1" applyBorder="1" applyAlignment="1">
      <alignment horizontal="center" vertical="center" wrapText="1"/>
    </xf>
    <xf numFmtId="43" fontId="11" fillId="0" borderId="0" xfId="3" applyFont="1" applyFill="1"/>
    <xf numFmtId="165" fontId="18" fillId="0" borderId="9" xfId="5" applyNumberFormat="1" applyFont="1" applyBorder="1" applyAlignment="1">
      <alignment horizontal="center" vertical="center" wrapText="1"/>
    </xf>
    <xf numFmtId="165" fontId="18" fillId="0" borderId="25" xfId="5" applyNumberFormat="1" applyFont="1" applyBorder="1" applyAlignment="1">
      <alignment horizontal="center" vertical="center" wrapText="1"/>
    </xf>
    <xf numFmtId="165" fontId="18" fillId="14" borderId="9" xfId="5" applyNumberFormat="1" applyFont="1" applyFill="1" applyBorder="1" applyAlignment="1">
      <alignment horizontal="center" vertical="center" wrapText="1"/>
    </xf>
    <xf numFmtId="165" fontId="18" fillId="14" borderId="25" xfId="5" applyNumberFormat="1" applyFont="1" applyFill="1" applyBorder="1" applyAlignment="1">
      <alignment horizontal="center" vertical="center" wrapText="1"/>
    </xf>
    <xf numFmtId="0" fontId="15" fillId="14" borderId="29" xfId="5" applyFont="1" applyFill="1" applyBorder="1" applyAlignment="1">
      <alignment horizontal="left" vertical="center" wrapText="1"/>
    </xf>
    <xf numFmtId="0" fontId="15" fillId="14" borderId="26" xfId="5" applyFont="1" applyFill="1" applyBorder="1" applyAlignment="1">
      <alignment horizontal="left" vertical="center" wrapText="1"/>
    </xf>
    <xf numFmtId="165" fontId="15" fillId="14" borderId="26" xfId="5" applyNumberFormat="1" applyFont="1" applyFill="1" applyBorder="1" applyAlignment="1">
      <alignment horizontal="center" vertical="center" wrapText="1"/>
    </xf>
    <xf numFmtId="165" fontId="15" fillId="14" borderId="27" xfId="5" applyNumberFormat="1" applyFont="1" applyFill="1" applyBorder="1" applyAlignment="1">
      <alignment horizontal="center" vertical="center" wrapText="1"/>
    </xf>
    <xf numFmtId="0" fontId="19" fillId="12" borderId="54" xfId="5" applyFont="1" applyFill="1" applyBorder="1" applyAlignment="1">
      <alignment horizontal="left" vertical="center" wrapText="1"/>
    </xf>
    <xf numFmtId="0" fontId="19" fillId="12" borderId="55" xfId="5" applyFont="1" applyFill="1" applyBorder="1" applyAlignment="1">
      <alignment horizontal="left" vertical="center" wrapText="1"/>
    </xf>
    <xf numFmtId="165" fontId="19" fillId="12" borderId="56" xfId="5" applyNumberFormat="1" applyFont="1" applyFill="1" applyBorder="1" applyAlignment="1">
      <alignment horizontal="center" vertical="center" wrapText="1"/>
    </xf>
    <xf numFmtId="0" fontId="14" fillId="0" borderId="53" xfId="5" applyFont="1" applyBorder="1" applyAlignment="1">
      <alignment horizontal="left" vertical="center" wrapText="1"/>
    </xf>
    <xf numFmtId="0" fontId="17" fillId="0" borderId="9" xfId="5" applyFont="1" applyBorder="1" applyAlignment="1">
      <alignment horizontal="left" vertical="center" wrapText="1"/>
    </xf>
    <xf numFmtId="0" fontId="14" fillId="0" borderId="57" xfId="5" applyFont="1" applyBorder="1" applyAlignment="1">
      <alignment horizontal="left" vertical="center" wrapText="1"/>
    </xf>
    <xf numFmtId="0" fontId="15" fillId="0" borderId="47" xfId="5" applyFont="1" applyBorder="1" applyAlignment="1">
      <alignment horizontal="left" vertical="center" wrapText="1"/>
    </xf>
    <xf numFmtId="165" fontId="14" fillId="0" borderId="47" xfId="5" applyNumberFormat="1" applyFont="1" applyBorder="1" applyAlignment="1">
      <alignment horizontal="center" vertical="center" wrapText="1"/>
    </xf>
    <xf numFmtId="165" fontId="14" fillId="0" borderId="46" xfId="5" applyNumberFormat="1" applyFont="1" applyBorder="1" applyAlignment="1">
      <alignment horizontal="center" vertical="center" wrapText="1"/>
    </xf>
    <xf numFmtId="0" fontId="14" fillId="8" borderId="29" xfId="5" applyFont="1" applyFill="1" applyBorder="1" applyAlignment="1">
      <alignment horizontal="left" vertical="center" wrapText="1"/>
    </xf>
    <xf numFmtId="0" fontId="15" fillId="0" borderId="26" xfId="5" applyFont="1" applyBorder="1" applyAlignment="1">
      <alignment horizontal="left" vertical="center" wrapText="1"/>
    </xf>
    <xf numFmtId="165" fontId="14" fillId="0" borderId="26" xfId="5" applyNumberFormat="1" applyFont="1" applyBorder="1" applyAlignment="1">
      <alignment horizontal="center" vertical="center" wrapText="1"/>
    </xf>
    <xf numFmtId="165" fontId="14" fillId="8" borderId="26" xfId="5" applyNumberFormat="1" applyFont="1" applyFill="1" applyBorder="1" applyAlignment="1">
      <alignment horizontal="center" vertical="center" wrapText="1"/>
    </xf>
    <xf numFmtId="165" fontId="14" fillId="8" borderId="27" xfId="5" applyNumberFormat="1" applyFont="1" applyFill="1" applyBorder="1" applyAlignment="1">
      <alignment horizontal="center" vertical="center" wrapText="1"/>
    </xf>
    <xf numFmtId="43" fontId="15" fillId="0" borderId="0" xfId="3" applyFont="1" applyFill="1" applyAlignment="1">
      <alignment horizontal="center"/>
    </xf>
    <xf numFmtId="0" fontId="14" fillId="14" borderId="10" xfId="5" applyFont="1" applyFill="1" applyBorder="1" applyAlignment="1">
      <alignment horizontal="left"/>
    </xf>
    <xf numFmtId="44" fontId="15" fillId="14" borderId="11" xfId="6" applyFont="1" applyFill="1" applyBorder="1" applyAlignment="1">
      <alignment horizontal="center"/>
    </xf>
    <xf numFmtId="169" fontId="15" fillId="14" borderId="11" xfId="5" applyNumberFormat="1" applyFont="1" applyFill="1" applyBorder="1" applyAlignment="1">
      <alignment horizontal="center"/>
    </xf>
    <xf numFmtId="169" fontId="15" fillId="14" borderId="12" xfId="5" applyNumberFormat="1" applyFont="1" applyFill="1" applyBorder="1" applyAlignment="1">
      <alignment horizontal="center"/>
    </xf>
    <xf numFmtId="0" fontId="15" fillId="0" borderId="13" xfId="5" applyFont="1" applyBorder="1" applyAlignment="1">
      <alignment horizontal="left"/>
    </xf>
    <xf numFmtId="165" fontId="15" fillId="0" borderId="0" xfId="6" applyNumberFormat="1" applyFont="1" applyFill="1" applyBorder="1" applyAlignment="1">
      <alignment horizontal="center"/>
    </xf>
    <xf numFmtId="0" fontId="15" fillId="0" borderId="15" xfId="5" applyFont="1" applyBorder="1" applyAlignment="1">
      <alignment horizontal="left"/>
    </xf>
    <xf numFmtId="165" fontId="15" fillId="0" borderId="16" xfId="6" applyNumberFormat="1" applyFont="1" applyFill="1" applyBorder="1" applyAlignment="1">
      <alignment horizontal="center"/>
    </xf>
    <xf numFmtId="165" fontId="15" fillId="0" borderId="17" xfId="5" applyNumberFormat="1" applyFont="1" applyBorder="1" applyAlignment="1">
      <alignment horizontal="center"/>
    </xf>
    <xf numFmtId="0" fontId="14" fillId="14" borderId="52" xfId="5" applyFont="1" applyFill="1" applyBorder="1" applyAlignment="1">
      <alignment vertical="center"/>
    </xf>
    <xf numFmtId="0" fontId="17" fillId="0" borderId="0" xfId="5" applyFont="1" applyAlignment="1">
      <alignment vertical="center"/>
    </xf>
    <xf numFmtId="0" fontId="14" fillId="14" borderId="53" xfId="5" applyFont="1" applyFill="1" applyBorder="1" applyAlignment="1">
      <alignment vertical="center"/>
    </xf>
    <xf numFmtId="0" fontId="17" fillId="14" borderId="9" xfId="5" applyFont="1" applyFill="1" applyBorder="1" applyAlignment="1">
      <alignment horizontal="center" vertical="center"/>
    </xf>
    <xf numFmtId="0" fontId="17" fillId="14" borderId="25" xfId="5" applyFont="1" applyFill="1" applyBorder="1" applyAlignment="1">
      <alignment horizontal="center" vertical="center"/>
    </xf>
    <xf numFmtId="0" fontId="14" fillId="12" borderId="53" xfId="5" applyFont="1" applyFill="1" applyBorder="1" applyAlignment="1">
      <alignment vertical="center"/>
    </xf>
    <xf numFmtId="0" fontId="17" fillId="12" borderId="9" xfId="5" applyFont="1" applyFill="1" applyBorder="1" applyAlignment="1">
      <alignment vertical="center"/>
    </xf>
    <xf numFmtId="0" fontId="17" fillId="12" borderId="25" xfId="5" applyFont="1" applyFill="1" applyBorder="1" applyAlignment="1">
      <alignment vertical="center"/>
    </xf>
    <xf numFmtId="0" fontId="17" fillId="12" borderId="9" xfId="5" applyFont="1" applyFill="1" applyBorder="1" applyAlignment="1">
      <alignment horizontal="center" vertical="center"/>
    </xf>
    <xf numFmtId="0" fontId="17" fillId="12" borderId="25" xfId="5" applyFont="1" applyFill="1" applyBorder="1" applyAlignment="1">
      <alignment horizontal="center" vertical="center"/>
    </xf>
    <xf numFmtId="165" fontId="17" fillId="0" borderId="9" xfId="2" applyNumberFormat="1" applyFont="1" applyFill="1" applyBorder="1" applyAlignment="1">
      <alignment horizontal="center" vertical="center" wrapText="1"/>
    </xf>
    <xf numFmtId="165" fontId="17" fillId="0" borderId="25" xfId="2" applyNumberFormat="1" applyFont="1" applyFill="1" applyBorder="1" applyAlignment="1">
      <alignment horizontal="center" vertical="center" wrapText="1"/>
    </xf>
    <xf numFmtId="168" fontId="17" fillId="0" borderId="9" xfId="5" applyNumberFormat="1" applyFont="1" applyBorder="1" applyAlignment="1">
      <alignment horizontal="center" vertical="center" wrapText="1"/>
    </xf>
    <xf numFmtId="168" fontId="17" fillId="0" borderId="25" xfId="5" applyNumberFormat="1" applyFont="1" applyBorder="1" applyAlignment="1">
      <alignment horizontal="center" vertical="center" wrapText="1"/>
    </xf>
    <xf numFmtId="168" fontId="17" fillId="0" borderId="0" xfId="5" applyNumberFormat="1" applyFont="1" applyAlignment="1">
      <alignment horizontal="center" vertical="center" wrapText="1"/>
    </xf>
    <xf numFmtId="43" fontId="15" fillId="0" borderId="0" xfId="3" applyFont="1" applyFill="1" applyBorder="1"/>
    <xf numFmtId="0" fontId="15" fillId="0" borderId="29" xfId="5" applyFont="1" applyBorder="1" applyAlignment="1">
      <alignment horizontal="left" vertical="center" wrapText="1"/>
    </xf>
    <xf numFmtId="165" fontId="15" fillId="0" borderId="26" xfId="2" applyNumberFormat="1" applyFont="1" applyBorder="1" applyAlignment="1">
      <alignment horizontal="center" vertical="center" wrapText="1"/>
    </xf>
    <xf numFmtId="165" fontId="15" fillId="0" borderId="27" xfId="2" applyNumberFormat="1" applyFont="1" applyBorder="1" applyAlignment="1">
      <alignment horizontal="center" vertical="center" wrapText="1"/>
    </xf>
    <xf numFmtId="165" fontId="15" fillId="8" borderId="27" xfId="5" applyNumberFormat="1" applyFont="1" applyFill="1" applyBorder="1" applyAlignment="1">
      <alignment horizontal="center" vertical="center" wrapText="1"/>
    </xf>
    <xf numFmtId="168" fontId="14" fillId="0" borderId="0" xfId="5" applyNumberFormat="1" applyFont="1" applyAlignment="1">
      <alignment horizontal="center" vertical="center" wrapText="1"/>
    </xf>
    <xf numFmtId="0" fontId="14" fillId="14" borderId="52" xfId="5" applyFont="1" applyFill="1" applyBorder="1" applyAlignment="1">
      <alignment horizontal="left"/>
    </xf>
    <xf numFmtId="44" fontId="15" fillId="14" borderId="61" xfId="6" applyFont="1" applyFill="1" applyBorder="1" applyAlignment="1">
      <alignment horizontal="left"/>
    </xf>
    <xf numFmtId="0" fontId="15" fillId="0" borderId="53" xfId="5" applyFont="1" applyBorder="1" applyAlignment="1">
      <alignment horizontal="left"/>
    </xf>
    <xf numFmtId="44" fontId="15" fillId="0" borderId="9" xfId="6" applyFont="1" applyFill="1" applyBorder="1" applyAlignment="1">
      <alignment horizontal="left"/>
    </xf>
    <xf numFmtId="0" fontId="15" fillId="0" borderId="29" xfId="5" applyFont="1" applyBorder="1" applyAlignment="1">
      <alignment horizontal="left"/>
    </xf>
    <xf numFmtId="44" fontId="15" fillId="0" borderId="26" xfId="6" applyFont="1" applyFill="1" applyBorder="1" applyAlignment="1">
      <alignment horizontal="left"/>
    </xf>
    <xf numFmtId="44" fontId="15" fillId="0" borderId="0" xfId="6" applyFont="1" applyFill="1" applyBorder="1" applyAlignment="1">
      <alignment horizontal="left"/>
    </xf>
    <xf numFmtId="44" fontId="15" fillId="0" borderId="0" xfId="6" applyFont="1" applyFill="1" applyBorder="1" applyAlignment="1">
      <alignment horizontal="center"/>
    </xf>
    <xf numFmtId="43" fontId="15" fillId="0" borderId="0" xfId="3" applyFont="1" applyFill="1" applyBorder="1" applyAlignment="1">
      <alignment horizontal="center"/>
    </xf>
    <xf numFmtId="43" fontId="12" fillId="0" borderId="0" xfId="3" applyFont="1" applyFill="1" applyAlignment="1">
      <alignment horizontal="left"/>
    </xf>
    <xf numFmtId="43" fontId="15" fillId="0" borderId="0" xfId="3" applyFont="1" applyFill="1" applyBorder="1" applyAlignment="1">
      <alignment horizontal="left"/>
    </xf>
    <xf numFmtId="0" fontId="11" fillId="0" borderId="0" xfId="5" applyFont="1" applyAlignment="1">
      <alignment horizontal="left"/>
    </xf>
    <xf numFmtId="0" fontId="11" fillId="0" borderId="0" xfId="5" applyFont="1" applyAlignment="1">
      <alignment horizontal="center"/>
    </xf>
    <xf numFmtId="43" fontId="11" fillId="0" borderId="0" xfId="5" applyNumberFormat="1" applyFont="1" applyAlignment="1">
      <alignment horizontal="center"/>
    </xf>
    <xf numFmtId="0" fontId="15" fillId="0" borderId="0" xfId="0" applyFont="1"/>
    <xf numFmtId="0" fontId="21" fillId="0" borderId="0" xfId="0" applyFont="1"/>
    <xf numFmtId="165" fontId="15" fillId="8" borderId="26" xfId="5" applyNumberFormat="1" applyFont="1" applyFill="1" applyBorder="1" applyAlignment="1">
      <alignment horizontal="center" vertical="center" wrapText="1"/>
    </xf>
    <xf numFmtId="0" fontId="14" fillId="0" borderId="11" xfId="7" applyFont="1" applyBorder="1"/>
    <xf numFmtId="0" fontId="15" fillId="0" borderId="0" xfId="7" applyFont="1"/>
    <xf numFmtId="0" fontId="15" fillId="0" borderId="16" xfId="7" applyFont="1" applyBorder="1"/>
    <xf numFmtId="0" fontId="20" fillId="2" borderId="0" xfId="1" applyNumberFormat="1" applyFont="1" applyFill="1" applyAlignment="1">
      <alignment horizontal="left"/>
    </xf>
    <xf numFmtId="164" fontId="20" fillId="2" borderId="0" xfId="1" applyNumberFormat="1" applyFont="1" applyFill="1" applyAlignment="1">
      <alignment horizontal="left" vertical="center"/>
    </xf>
    <xf numFmtId="43" fontId="12" fillId="3" borderId="0" xfId="3" applyFont="1" applyFill="1" applyAlignment="1">
      <alignment horizontal="center"/>
    </xf>
    <xf numFmtId="4" fontId="12" fillId="3" borderId="0" xfId="3" applyNumberFormat="1" applyFont="1" applyFill="1" applyAlignment="1">
      <alignment horizontal="center"/>
    </xf>
    <xf numFmtId="0" fontId="15" fillId="4" borderId="0" xfId="0" applyFont="1" applyFill="1"/>
    <xf numFmtId="4" fontId="13" fillId="3" borderId="0" xfId="3" applyNumberFormat="1" applyFont="1" applyFill="1" applyAlignment="1">
      <alignment horizontal="center" wrapText="1"/>
    </xf>
    <xf numFmtId="0" fontId="14" fillId="4" borderId="0" xfId="0" applyFont="1" applyFill="1" applyAlignment="1">
      <alignment wrapText="1"/>
    </xf>
    <xf numFmtId="43" fontId="20" fillId="0" borderId="0" xfId="3" applyFont="1" applyAlignment="1">
      <alignment horizontal="center"/>
    </xf>
    <xf numFmtId="43" fontId="20" fillId="0" borderId="0" xfId="3" applyFont="1"/>
    <xf numFmtId="43" fontId="20" fillId="0" borderId="0" xfId="3" applyFont="1" applyFill="1" applyAlignment="1">
      <alignment horizontal="center"/>
    </xf>
    <xf numFmtId="43" fontId="20" fillId="0" borderId="0" xfId="3" applyFont="1" applyFill="1"/>
    <xf numFmtId="4" fontId="15" fillId="0" borderId="0" xfId="3" applyNumberFormat="1" applyFont="1" applyFill="1" applyAlignment="1">
      <alignment wrapText="1"/>
    </xf>
    <xf numFmtId="43" fontId="11" fillId="7" borderId="0" xfId="3" applyFont="1" applyFill="1" applyAlignment="1">
      <alignment horizontal="center" wrapText="1"/>
    </xf>
    <xf numFmtId="43" fontId="15" fillId="0" borderId="0" xfId="3" applyFont="1" applyFill="1" applyAlignment="1">
      <alignment wrapText="1"/>
    </xf>
    <xf numFmtId="0" fontId="11" fillId="0" borderId="0" xfId="5" applyFont="1" applyAlignment="1">
      <alignment wrapText="1"/>
    </xf>
    <xf numFmtId="43" fontId="15" fillId="0" borderId="0" xfId="3" applyFont="1" applyFill="1" applyBorder="1" applyAlignment="1">
      <alignment wrapText="1"/>
    </xf>
    <xf numFmtId="0" fontId="14" fillId="0" borderId="0" xfId="0" applyFont="1"/>
    <xf numFmtId="165" fontId="22" fillId="12" borderId="22" xfId="5" applyNumberFormat="1" applyFont="1" applyFill="1" applyBorder="1" applyAlignment="1">
      <alignment horizontal="center" vertical="center" wrapText="1"/>
    </xf>
    <xf numFmtId="165" fontId="22" fillId="12" borderId="0" xfId="5" applyNumberFormat="1" applyFont="1" applyFill="1" applyAlignment="1">
      <alignment horizontal="center" vertical="center" wrapText="1"/>
    </xf>
    <xf numFmtId="0" fontId="22" fillId="12" borderId="0" xfId="5" applyFont="1" applyFill="1" applyAlignment="1">
      <alignment horizontal="right" vertical="center" wrapText="1"/>
    </xf>
    <xf numFmtId="0" fontId="22" fillId="8" borderId="0" xfId="5" applyFont="1" applyFill="1" applyAlignment="1">
      <alignment horizontal="right" vertical="center" wrapText="1"/>
    </xf>
    <xf numFmtId="165" fontId="22" fillId="12" borderId="63" xfId="5" applyNumberFormat="1" applyFont="1" applyFill="1" applyBorder="1" applyAlignment="1">
      <alignment horizontal="center" vertical="center" wrapText="1"/>
    </xf>
    <xf numFmtId="0" fontId="23" fillId="0" borderId="0" xfId="0" applyFont="1"/>
    <xf numFmtId="0" fontId="4" fillId="15" borderId="0" xfId="0" applyFont="1" applyFill="1"/>
    <xf numFmtId="10" fontId="7" fillId="0" borderId="0" xfId="0" applyNumberFormat="1" applyFont="1"/>
    <xf numFmtId="0" fontId="7" fillId="8" borderId="0" xfId="0" applyFont="1" applyFill="1"/>
    <xf numFmtId="0" fontId="15" fillId="15" borderId="0" xfId="0" applyFont="1" applyFill="1"/>
    <xf numFmtId="0" fontId="8" fillId="0" borderId="0" xfId="0" applyFont="1" applyAlignment="1">
      <alignment wrapText="1"/>
    </xf>
    <xf numFmtId="0" fontId="8" fillId="8" borderId="0" xfId="0" applyFont="1" applyFill="1"/>
    <xf numFmtId="0" fontId="8" fillId="6" borderId="11" xfId="0" applyFont="1" applyFill="1" applyBorder="1"/>
    <xf numFmtId="0" fontId="8" fillId="6" borderId="12" xfId="0" applyFont="1" applyFill="1" applyBorder="1"/>
    <xf numFmtId="165" fontId="8" fillId="0" borderId="14" xfId="0" applyNumberFormat="1" applyFont="1" applyBorder="1"/>
    <xf numFmtId="0" fontId="24" fillId="0" borderId="0" xfId="0" applyFont="1" applyAlignment="1">
      <alignment horizontal="left" vertical="center" wrapText="1" indent="1"/>
    </xf>
    <xf numFmtId="0" fontId="25" fillId="0" borderId="0" xfId="0" applyFont="1" applyAlignment="1">
      <alignment horizontal="left" vertical="center" wrapText="1" indent="1"/>
    </xf>
    <xf numFmtId="0" fontId="25" fillId="0" borderId="16" xfId="0" applyFont="1" applyBorder="1" applyAlignment="1">
      <alignment horizontal="left" vertical="center" wrapText="1" indent="1"/>
    </xf>
    <xf numFmtId="165" fontId="8" fillId="0" borderId="17" xfId="0" applyNumberFormat="1" applyFont="1" applyBorder="1"/>
    <xf numFmtId="169" fontId="15" fillId="8" borderId="0" xfId="5" applyNumberFormat="1" applyFont="1" applyFill="1" applyAlignment="1">
      <alignment horizontal="center"/>
    </xf>
    <xf numFmtId="165" fontId="15" fillId="0" borderId="0" xfId="5" applyNumberFormat="1" applyFont="1" applyAlignment="1">
      <alignment horizontal="center"/>
    </xf>
    <xf numFmtId="165" fontId="15" fillId="0" borderId="14" xfId="6" applyNumberFormat="1" applyFont="1" applyFill="1" applyBorder="1" applyAlignment="1">
      <alignment horizontal="center"/>
    </xf>
    <xf numFmtId="44" fontId="5" fillId="0" borderId="21" xfId="2" applyFont="1" applyFill="1" applyBorder="1" applyAlignment="1">
      <alignment horizontal="center"/>
    </xf>
    <xf numFmtId="0" fontId="3" fillId="0" borderId="2" xfId="1" applyNumberFormat="1" applyFont="1" applyFill="1" applyBorder="1"/>
    <xf numFmtId="0" fontId="0" fillId="0" borderId="21" xfId="0" applyBorder="1"/>
    <xf numFmtId="10" fontId="0" fillId="0" borderId="22" xfId="0" applyNumberFormat="1" applyBorder="1"/>
    <xf numFmtId="0" fontId="0" fillId="0" borderId="22" xfId="0" applyBorder="1"/>
    <xf numFmtId="9" fontId="8" fillId="0" borderId="0" xfId="0" applyNumberFormat="1" applyFont="1"/>
    <xf numFmtId="43" fontId="29" fillId="0" borderId="0" xfId="3" applyFont="1" applyFill="1" applyAlignment="1">
      <alignment wrapText="1"/>
    </xf>
    <xf numFmtId="0" fontId="30" fillId="0" borderId="0" xfId="0" applyFont="1" applyAlignment="1">
      <alignment wrapText="1"/>
    </xf>
    <xf numFmtId="43" fontId="30" fillId="0" borderId="0" xfId="3" applyFont="1" applyFill="1" applyAlignment="1">
      <alignment wrapText="1"/>
    </xf>
    <xf numFmtId="43" fontId="18" fillId="0" borderId="0" xfId="3" applyFont="1" applyFill="1" applyAlignment="1">
      <alignment wrapText="1"/>
    </xf>
    <xf numFmtId="0" fontId="31" fillId="0" borderId="0" xfId="0" applyFont="1"/>
    <xf numFmtId="10" fontId="4" fillId="0" borderId="0" xfId="0" applyNumberFormat="1" applyFont="1"/>
    <xf numFmtId="165" fontId="32" fillId="0" borderId="0" xfId="0" applyNumberFormat="1" applyFont="1"/>
    <xf numFmtId="0" fontId="4" fillId="0" borderId="9" xfId="0" applyFont="1" applyBorder="1"/>
    <xf numFmtId="0" fontId="4" fillId="8" borderId="9" xfId="0" applyFont="1" applyFill="1" applyBorder="1"/>
    <xf numFmtId="165" fontId="4" fillId="0" borderId="9" xfId="0" applyNumberFormat="1" applyFont="1" applyBorder="1"/>
    <xf numFmtId="165" fontId="4" fillId="0" borderId="7" xfId="0" applyNumberFormat="1" applyFont="1" applyBorder="1"/>
    <xf numFmtId="0" fontId="4" fillId="13" borderId="9" xfId="0" applyFont="1" applyFill="1" applyBorder="1"/>
    <xf numFmtId="10" fontId="4" fillId="8" borderId="9" xfId="0" applyNumberFormat="1" applyFont="1" applyFill="1" applyBorder="1" applyAlignment="1">
      <alignment horizontal="center"/>
    </xf>
    <xf numFmtId="44" fontId="4" fillId="0" borderId="7" xfId="0" applyNumberFormat="1" applyFont="1" applyBorder="1"/>
    <xf numFmtId="0" fontId="4" fillId="13" borderId="9" xfId="0" applyFont="1" applyFill="1" applyBorder="1" applyAlignment="1">
      <alignment wrapText="1"/>
    </xf>
    <xf numFmtId="0" fontId="4" fillId="8" borderId="9" xfId="0" applyFont="1" applyFill="1" applyBorder="1" applyAlignment="1">
      <alignment wrapText="1"/>
    </xf>
    <xf numFmtId="165" fontId="4" fillId="8" borderId="9" xfId="0" applyNumberFormat="1" applyFont="1" applyFill="1" applyBorder="1"/>
    <xf numFmtId="165" fontId="4" fillId="8" borderId="7" xfId="0" applyNumberFormat="1" applyFont="1" applyFill="1" applyBorder="1"/>
    <xf numFmtId="44" fontId="4" fillId="0" borderId="0" xfId="0" applyNumberFormat="1" applyFont="1" applyAlignment="1">
      <alignment wrapText="1"/>
    </xf>
    <xf numFmtId="0" fontId="4" fillId="7" borderId="9" xfId="0" applyFont="1" applyFill="1" applyBorder="1"/>
    <xf numFmtId="165" fontId="4" fillId="7" borderId="9" xfId="0" applyNumberFormat="1" applyFont="1" applyFill="1" applyBorder="1"/>
    <xf numFmtId="10" fontId="4" fillId="7" borderId="9" xfId="0" applyNumberFormat="1" applyFont="1" applyFill="1" applyBorder="1" applyAlignment="1">
      <alignment horizontal="center"/>
    </xf>
    <xf numFmtId="165" fontId="4" fillId="7" borderId="9" xfId="0" applyNumberFormat="1" applyFont="1" applyFill="1" applyBorder="1" applyAlignment="1">
      <alignment wrapText="1"/>
    </xf>
    <xf numFmtId="165" fontId="4" fillId="7" borderId="7" xfId="0" applyNumberFormat="1" applyFont="1" applyFill="1" applyBorder="1"/>
    <xf numFmtId="0" fontId="5" fillId="0" borderId="15" xfId="0" applyFont="1" applyBorder="1"/>
    <xf numFmtId="0" fontId="4" fillId="0" borderId="16" xfId="0" applyFont="1" applyBorder="1"/>
    <xf numFmtId="165" fontId="4" fillId="0" borderId="16" xfId="0" applyNumberFormat="1" applyFont="1" applyBorder="1"/>
    <xf numFmtId="10" fontId="4" fillId="0" borderId="16" xfId="0" applyNumberFormat="1" applyFont="1" applyBorder="1" applyAlignment="1">
      <alignment horizontal="center"/>
    </xf>
    <xf numFmtId="165" fontId="4" fillId="10" borderId="16" xfId="0" applyNumberFormat="1" applyFont="1" applyFill="1" applyBorder="1"/>
    <xf numFmtId="2" fontId="4" fillId="0" borderId="9" xfId="0" applyNumberFormat="1" applyFont="1" applyBorder="1"/>
    <xf numFmtId="165" fontId="4" fillId="0" borderId="0" xfId="0" applyNumberFormat="1" applyFont="1"/>
    <xf numFmtId="0" fontId="21" fillId="8" borderId="0" xfId="0" applyFont="1" applyFill="1"/>
    <xf numFmtId="0" fontId="4" fillId="7" borderId="9" xfId="0" applyFont="1" applyFill="1" applyBorder="1" applyAlignment="1">
      <alignment wrapText="1"/>
    </xf>
    <xf numFmtId="165" fontId="4" fillId="6" borderId="16" xfId="0" applyNumberFormat="1" applyFont="1" applyFill="1" applyBorder="1"/>
    <xf numFmtId="0" fontId="21" fillId="6" borderId="0" xfId="0" applyFont="1" applyFill="1"/>
    <xf numFmtId="0" fontId="31" fillId="9" borderId="0" xfId="0" applyFont="1" applyFill="1"/>
    <xf numFmtId="0" fontId="21" fillId="9" borderId="0" xfId="0" applyFont="1" applyFill="1"/>
    <xf numFmtId="0" fontId="4" fillId="0" borderId="50" xfId="0" applyFont="1" applyBorder="1"/>
    <xf numFmtId="0" fontId="4" fillId="8" borderId="50" xfId="0" applyFont="1" applyFill="1" applyBorder="1"/>
    <xf numFmtId="165" fontId="4" fillId="0" borderId="50" xfId="0" applyNumberFormat="1" applyFont="1" applyBorder="1"/>
    <xf numFmtId="10" fontId="4" fillId="0" borderId="50" xfId="0" applyNumberFormat="1" applyFont="1" applyBorder="1" applyAlignment="1">
      <alignment horizontal="center"/>
    </xf>
    <xf numFmtId="165" fontId="4" fillId="0" borderId="4" xfId="0" applyNumberFormat="1" applyFont="1" applyBorder="1"/>
    <xf numFmtId="0" fontId="5" fillId="9" borderId="26" xfId="0" applyFont="1" applyFill="1" applyBorder="1" applyAlignment="1">
      <alignment horizontal="center"/>
    </xf>
    <xf numFmtId="0" fontId="5" fillId="9" borderId="26" xfId="0" applyFont="1" applyFill="1" applyBorder="1" applyAlignment="1">
      <alignment horizontal="center" wrapText="1"/>
    </xf>
    <xf numFmtId="0" fontId="5" fillId="11" borderId="26" xfId="0" applyFont="1" applyFill="1" applyBorder="1" applyAlignment="1">
      <alignment horizontal="center" wrapText="1"/>
    </xf>
    <xf numFmtId="0" fontId="5" fillId="9" borderId="30" xfId="0" applyFont="1" applyFill="1" applyBorder="1" applyAlignment="1">
      <alignment horizontal="center" wrapText="1"/>
    </xf>
    <xf numFmtId="0" fontId="5" fillId="0" borderId="26" xfId="0" applyFont="1" applyBorder="1" applyAlignment="1">
      <alignment horizontal="center"/>
    </xf>
    <xf numFmtId="0" fontId="4" fillId="7" borderId="50" xfId="0" applyFont="1" applyFill="1" applyBorder="1"/>
    <xf numFmtId="0" fontId="5" fillId="6" borderId="26" xfId="0" applyFont="1" applyFill="1" applyBorder="1" applyAlignment="1">
      <alignment horizontal="center"/>
    </xf>
    <xf numFmtId="0" fontId="5" fillId="6" borderId="26" xfId="0" applyFont="1" applyFill="1" applyBorder="1" applyAlignment="1">
      <alignment horizontal="center" wrapText="1"/>
    </xf>
    <xf numFmtId="0" fontId="5" fillId="6" borderId="30" xfId="0" applyFont="1" applyFill="1" applyBorder="1" applyAlignment="1">
      <alignment horizontal="center" wrapText="1"/>
    </xf>
    <xf numFmtId="0" fontId="0" fillId="6" borderId="18" xfId="0" applyFill="1" applyBorder="1" applyAlignment="1">
      <alignment horizontal="center" wrapText="1"/>
    </xf>
    <xf numFmtId="0" fontId="0" fillId="6" borderId="20" xfId="0" applyFill="1" applyBorder="1" applyAlignment="1">
      <alignment horizontal="center" wrapText="1"/>
    </xf>
    <xf numFmtId="0" fontId="0" fillId="0" borderId="4" xfId="0" applyBorder="1"/>
    <xf numFmtId="165" fontId="0" fillId="0" borderId="5" xfId="0" applyNumberFormat="1" applyBorder="1"/>
    <xf numFmtId="0" fontId="0" fillId="0" borderId="73" xfId="0" applyBorder="1"/>
    <xf numFmtId="0" fontId="0" fillId="8" borderId="0" xfId="0" applyFill="1" applyAlignment="1">
      <alignment horizontal="center"/>
    </xf>
    <xf numFmtId="0" fontId="27" fillId="8" borderId="0" xfId="0" applyFont="1" applyFill="1" applyAlignment="1">
      <alignment horizontal="left"/>
    </xf>
    <xf numFmtId="0" fontId="0" fillId="9" borderId="33" xfId="0" applyFill="1" applyBorder="1" applyAlignment="1">
      <alignment horizontal="right"/>
    </xf>
    <xf numFmtId="0" fontId="0" fillId="9" borderId="36" xfId="0" applyFill="1" applyBorder="1" applyAlignment="1">
      <alignment horizontal="right"/>
    </xf>
    <xf numFmtId="0" fontId="0" fillId="0" borderId="0" xfId="0" applyAlignment="1">
      <alignment horizontal="right"/>
    </xf>
    <xf numFmtId="0" fontId="0" fillId="0" borderId="0" xfId="0" applyAlignment="1">
      <alignment horizontal="left"/>
    </xf>
    <xf numFmtId="0" fontId="27" fillId="8" borderId="0" xfId="0" applyFont="1" applyFill="1" applyAlignment="1">
      <alignment horizontal="left" wrapText="1"/>
    </xf>
    <xf numFmtId="0" fontId="27" fillId="0" borderId="0" xfId="0" applyFont="1" applyAlignment="1">
      <alignment horizontal="left"/>
    </xf>
    <xf numFmtId="0" fontId="0" fillId="12" borderId="5" xfId="0" applyFill="1" applyBorder="1"/>
    <xf numFmtId="0" fontId="0" fillId="9" borderId="18" xfId="0" applyFill="1" applyBorder="1" applyAlignment="1">
      <alignment horizontal="center"/>
    </xf>
    <xf numFmtId="0" fontId="0" fillId="9" borderId="19" xfId="0" applyFill="1" applyBorder="1" applyAlignment="1">
      <alignment horizontal="center"/>
    </xf>
    <xf numFmtId="0" fontId="0" fillId="12" borderId="19" xfId="0" applyFill="1" applyBorder="1" applyAlignment="1">
      <alignment horizontal="center"/>
    </xf>
    <xf numFmtId="0" fontId="7" fillId="0" borderId="31" xfId="0" applyFont="1" applyBorder="1"/>
    <xf numFmtId="0" fontId="0" fillId="0" borderId="32" xfId="0" applyBorder="1"/>
    <xf numFmtId="0" fontId="0" fillId="0" borderId="31" xfId="0" applyBorder="1"/>
    <xf numFmtId="0" fontId="0" fillId="0" borderId="28" xfId="0" applyBorder="1" applyAlignment="1">
      <alignment horizontal="left"/>
    </xf>
    <xf numFmtId="43" fontId="26" fillId="0" borderId="31" xfId="3" applyFont="1" applyBorder="1" applyAlignment="1">
      <alignment horizontal="center"/>
    </xf>
    <xf numFmtId="43" fontId="26" fillId="0" borderId="42" xfId="3" applyFont="1" applyFill="1" applyBorder="1" applyAlignment="1">
      <alignment horizontal="right"/>
    </xf>
    <xf numFmtId="0" fontId="0" fillId="0" borderId="21" xfId="0" applyBorder="1" applyAlignment="1">
      <alignment horizontal="right"/>
    </xf>
    <xf numFmtId="0" fontId="0" fillId="0" borderId="50" xfId="0" applyBorder="1"/>
    <xf numFmtId="0" fontId="0" fillId="0" borderId="7" xfId="0" applyBorder="1" applyAlignment="1">
      <alignment horizontal="right"/>
    </xf>
    <xf numFmtId="0" fontId="7" fillId="0" borderId="47" xfId="0" applyFont="1" applyBorder="1"/>
    <xf numFmtId="0" fontId="0" fillId="0" borderId="42" xfId="0" applyBorder="1"/>
    <xf numFmtId="0" fontId="0" fillId="0" borderId="21" xfId="0" applyBorder="1" applyAlignment="1">
      <alignment horizontal="left"/>
    </xf>
    <xf numFmtId="43" fontId="26" fillId="0" borderId="4" xfId="3" applyFont="1" applyFill="1" applyBorder="1" applyAlignment="1">
      <alignment horizontal="left"/>
    </xf>
    <xf numFmtId="43" fontId="26" fillId="0" borderId="31" xfId="3" applyFont="1" applyFill="1" applyBorder="1" applyAlignment="1">
      <alignment horizontal="center"/>
    </xf>
    <xf numFmtId="0" fontId="27" fillId="0" borderId="0" xfId="0" applyFont="1" applyAlignment="1">
      <alignment horizontal="right"/>
    </xf>
    <xf numFmtId="0" fontId="18" fillId="0" borderId="0" xfId="0" applyFont="1"/>
    <xf numFmtId="168" fontId="2" fillId="5" borderId="7" xfId="2" applyNumberFormat="1" applyFont="1" applyFill="1" applyBorder="1"/>
    <xf numFmtId="168" fontId="2" fillId="0" borderId="0" xfId="2" applyNumberFormat="1" applyFont="1" applyFill="1" applyBorder="1"/>
    <xf numFmtId="168" fontId="4" fillId="0" borderId="21" xfId="2" applyNumberFormat="1" applyFont="1" applyBorder="1"/>
    <xf numFmtId="168" fontId="2" fillId="0" borderId="21" xfId="2" applyNumberFormat="1" applyFont="1" applyFill="1" applyBorder="1"/>
    <xf numFmtId="168" fontId="2" fillId="0" borderId="22" xfId="2" applyNumberFormat="1" applyFont="1" applyFill="1" applyBorder="1"/>
    <xf numFmtId="168" fontId="2" fillId="0" borderId="42" xfId="2" applyNumberFormat="1" applyFont="1" applyFill="1" applyBorder="1"/>
    <xf numFmtId="167" fontId="2" fillId="0" borderId="2" xfId="1" applyNumberFormat="1" applyFont="1" applyFill="1" applyBorder="1"/>
    <xf numFmtId="167" fontId="3" fillId="0" borderId="0" xfId="1" applyNumberFormat="1" applyFont="1" applyFill="1"/>
    <xf numFmtId="167" fontId="4" fillId="0" borderId="0" xfId="1" applyNumberFormat="1" applyFont="1" applyFill="1" applyBorder="1"/>
    <xf numFmtId="167" fontId="4" fillId="0" borderId="0" xfId="1" applyNumberFormat="1" applyFont="1" applyFill="1"/>
    <xf numFmtId="167" fontId="2" fillId="0" borderId="0" xfId="1" applyNumberFormat="1" applyFont="1" applyFill="1" applyBorder="1"/>
    <xf numFmtId="168" fontId="0" fillId="0" borderId="80" xfId="0" applyNumberFormat="1" applyBorder="1" applyAlignment="1">
      <alignment horizontal="right"/>
    </xf>
    <xf numFmtId="168" fontId="0" fillId="0" borderId="75" xfId="0" applyNumberFormat="1" applyBorder="1" applyAlignment="1">
      <alignment horizontal="right"/>
    </xf>
    <xf numFmtId="168" fontId="0" fillId="0" borderId="79" xfId="0" applyNumberFormat="1" applyBorder="1" applyAlignment="1">
      <alignment horizontal="right"/>
    </xf>
    <xf numFmtId="168" fontId="0" fillId="0" borderId="76" xfId="0" applyNumberFormat="1" applyBorder="1" applyAlignment="1">
      <alignment horizontal="right"/>
    </xf>
    <xf numFmtId="168" fontId="26" fillId="0" borderId="79" xfId="3" applyNumberFormat="1" applyFont="1" applyFill="1" applyBorder="1" applyAlignment="1">
      <alignment horizontal="right"/>
    </xf>
    <xf numFmtId="168" fontId="26" fillId="12" borderId="76" xfId="3" applyNumberFormat="1" applyFont="1" applyFill="1" applyBorder="1" applyAlignment="1">
      <alignment horizontal="right"/>
    </xf>
    <xf numFmtId="168" fontId="0" fillId="12" borderId="85" xfId="0" applyNumberFormat="1" applyFill="1" applyBorder="1" applyAlignment="1">
      <alignment horizontal="right"/>
    </xf>
    <xf numFmtId="168" fontId="0" fillId="0" borderId="86" xfId="0" applyNumberFormat="1" applyBorder="1" applyAlignment="1">
      <alignment horizontal="right"/>
    </xf>
    <xf numFmtId="168" fontId="27" fillId="8" borderId="0" xfId="0" applyNumberFormat="1" applyFont="1" applyFill="1"/>
    <xf numFmtId="168" fontId="0" fillId="0" borderId="0" xfId="0" applyNumberFormat="1"/>
    <xf numFmtId="168" fontId="0" fillId="8" borderId="0" xfId="0" applyNumberFormat="1" applyFill="1"/>
    <xf numFmtId="168" fontId="0" fillId="0" borderId="79" xfId="0" applyNumberFormat="1" applyBorder="1" applyAlignment="1">
      <alignment horizontal="left"/>
    </xf>
    <xf numFmtId="168" fontId="27" fillId="8" borderId="0" xfId="0" applyNumberFormat="1" applyFont="1" applyFill="1" applyAlignment="1">
      <alignment wrapText="1"/>
    </xf>
    <xf numFmtId="168" fontId="0" fillId="16" borderId="76" xfId="0" applyNumberFormat="1" applyFill="1" applyBorder="1" applyAlignment="1">
      <alignment horizontal="right"/>
    </xf>
    <xf numFmtId="168" fontId="27" fillId="8" borderId="70" xfId="0" applyNumberFormat="1" applyFont="1" applyFill="1" applyBorder="1"/>
    <xf numFmtId="168" fontId="0" fillId="0" borderId="84" xfId="0" applyNumberFormat="1" applyBorder="1" applyAlignment="1">
      <alignment horizontal="right"/>
    </xf>
    <xf numFmtId="168" fontId="26" fillId="0" borderId="79" xfId="3" applyNumberFormat="1" applyFont="1" applyFill="1" applyBorder="1" applyAlignment="1">
      <alignment horizontal="left"/>
    </xf>
    <xf numFmtId="168" fontId="26" fillId="0" borderId="76" xfId="3" applyNumberFormat="1" applyFont="1" applyFill="1" applyBorder="1" applyAlignment="1">
      <alignment horizontal="right"/>
    </xf>
    <xf numFmtId="168" fontId="0" fillId="12" borderId="79" xfId="0" applyNumberFormat="1" applyFill="1" applyBorder="1" applyAlignment="1">
      <alignment horizontal="right"/>
    </xf>
    <xf numFmtId="0" fontId="18" fillId="0" borderId="87" xfId="0" applyFont="1" applyBorder="1" applyAlignment="1">
      <alignment wrapText="1"/>
    </xf>
    <xf numFmtId="0" fontId="18" fillId="12" borderId="89" xfId="0" applyFont="1" applyFill="1" applyBorder="1"/>
    <xf numFmtId="0" fontId="18" fillId="12" borderId="88" xfId="0" applyFont="1" applyFill="1" applyBorder="1"/>
    <xf numFmtId="0" fontId="18" fillId="0" borderId="62" xfId="0" applyFont="1" applyBorder="1"/>
    <xf numFmtId="0" fontId="18" fillId="0" borderId="78" xfId="0" applyFont="1" applyBorder="1"/>
    <xf numFmtId="0" fontId="18" fillId="0" borderId="77" xfId="0" applyFont="1" applyBorder="1"/>
    <xf numFmtId="0" fontId="28" fillId="0" borderId="0" xfId="0" applyFont="1" applyAlignment="1">
      <alignment wrapText="1"/>
    </xf>
    <xf numFmtId="0" fontId="31" fillId="0" borderId="0" xfId="0" applyFont="1" applyAlignment="1">
      <alignment horizontal="left"/>
    </xf>
    <xf numFmtId="166" fontId="27" fillId="8" borderId="0" xfId="0" applyNumberFormat="1" applyFont="1" applyFill="1"/>
    <xf numFmtId="165" fontId="14" fillId="14" borderId="9" xfId="5" applyNumberFormat="1" applyFont="1" applyFill="1" applyBorder="1" applyAlignment="1">
      <alignment horizontal="center" vertical="center" wrapText="1"/>
    </xf>
    <xf numFmtId="43" fontId="34" fillId="0" borderId="0" xfId="3" applyFont="1" applyFill="1" applyAlignment="1">
      <alignment wrapText="1"/>
    </xf>
    <xf numFmtId="165" fontId="14" fillId="0" borderId="9" xfId="5" applyNumberFormat="1" applyFont="1" applyBorder="1" applyAlignment="1">
      <alignment horizontal="center" vertical="center" wrapText="1"/>
    </xf>
    <xf numFmtId="165" fontId="15" fillId="13" borderId="9" xfId="5" applyNumberFormat="1" applyFont="1" applyFill="1" applyBorder="1" applyAlignment="1">
      <alignment horizontal="center" vertical="center" wrapText="1"/>
    </xf>
    <xf numFmtId="165" fontId="14" fillId="13" borderId="9" xfId="5" applyNumberFormat="1" applyFont="1" applyFill="1" applyBorder="1" applyAlignment="1">
      <alignment horizontal="center" vertical="center" wrapText="1"/>
    </xf>
    <xf numFmtId="165" fontId="14" fillId="13" borderId="25" xfId="5" applyNumberFormat="1" applyFont="1" applyFill="1" applyBorder="1" applyAlignment="1">
      <alignment horizontal="center" vertical="center" wrapText="1"/>
    </xf>
    <xf numFmtId="10" fontId="0" fillId="0" borderId="13" xfId="0" applyNumberFormat="1" applyBorder="1"/>
    <xf numFmtId="0" fontId="35" fillId="0" borderId="0" xfId="0" applyFont="1"/>
    <xf numFmtId="0" fontId="0" fillId="0" borderId="5" xfId="0" applyBorder="1"/>
    <xf numFmtId="0" fontId="0" fillId="0" borderId="6" xfId="0" applyBorder="1"/>
    <xf numFmtId="10" fontId="0" fillId="13" borderId="0" xfId="0" applyNumberFormat="1" applyFill="1"/>
    <xf numFmtId="10" fontId="0" fillId="13" borderId="16" xfId="0" applyNumberFormat="1" applyFill="1" applyBorder="1"/>
    <xf numFmtId="0" fontId="26" fillId="6" borderId="10" xfId="0" applyFont="1" applyFill="1" applyBorder="1" applyAlignment="1">
      <alignment horizontal="center"/>
    </xf>
    <xf numFmtId="0" fontId="23" fillId="0" borderId="9" xfId="0" applyFont="1" applyBorder="1" applyAlignment="1">
      <alignment wrapText="1"/>
    </xf>
    <xf numFmtId="0" fontId="28" fillId="0" borderId="9" xfId="0" applyFont="1" applyBorder="1" applyAlignment="1">
      <alignment wrapText="1"/>
    </xf>
    <xf numFmtId="0" fontId="38" fillId="0" borderId="0" xfId="0" applyFont="1"/>
    <xf numFmtId="165" fontId="39" fillId="11" borderId="19" xfId="0" applyNumberFormat="1" applyFont="1" applyFill="1" applyBorder="1"/>
    <xf numFmtId="0" fontId="8" fillId="6" borderId="42" xfId="0" applyFont="1" applyFill="1" applyBorder="1"/>
    <xf numFmtId="0" fontId="8" fillId="6" borderId="91" xfId="0" applyFont="1" applyFill="1" applyBorder="1"/>
    <xf numFmtId="0" fontId="8" fillId="0" borderId="21" xfId="0" applyFont="1" applyBorder="1" applyAlignment="1">
      <alignment horizontal="right"/>
    </xf>
    <xf numFmtId="165" fontId="39" fillId="0" borderId="22" xfId="0" applyNumberFormat="1" applyFont="1" applyBorder="1"/>
    <xf numFmtId="0" fontId="8" fillId="0" borderId="21" xfId="0" applyFont="1" applyBorder="1"/>
    <xf numFmtId="165" fontId="8" fillId="0" borderId="22" xfId="0" applyNumberFormat="1" applyFont="1" applyBorder="1"/>
    <xf numFmtId="165" fontId="39" fillId="19" borderId="22" xfId="0" applyNumberFormat="1" applyFont="1" applyFill="1" applyBorder="1"/>
    <xf numFmtId="0" fontId="8" fillId="0" borderId="22" xfId="0" applyFont="1" applyBorder="1"/>
    <xf numFmtId="0" fontId="5" fillId="6" borderId="9" xfId="0" applyFont="1" applyFill="1" applyBorder="1" applyAlignment="1">
      <alignment horizontal="center" wrapText="1"/>
    </xf>
    <xf numFmtId="0" fontId="8" fillId="0" borderId="0" xfId="0" applyFont="1" applyAlignment="1">
      <alignment horizontal="right"/>
    </xf>
    <xf numFmtId="165" fontId="39" fillId="0" borderId="0" xfId="0" applyNumberFormat="1" applyFont="1"/>
    <xf numFmtId="0" fontId="8" fillId="6" borderId="10" xfId="0" applyFont="1" applyFill="1" applyBorder="1"/>
    <xf numFmtId="0" fontId="8" fillId="0" borderId="13" xfId="0" applyFont="1" applyBorder="1" applyAlignment="1">
      <alignment horizontal="right"/>
    </xf>
    <xf numFmtId="165" fontId="39" fillId="0" borderId="14" xfId="0" applyNumberFormat="1" applyFont="1" applyBorder="1"/>
    <xf numFmtId="0" fontId="8" fillId="11" borderId="13" xfId="0" applyFont="1" applyFill="1" applyBorder="1" applyAlignment="1">
      <alignment horizontal="right"/>
    </xf>
    <xf numFmtId="165" fontId="39" fillId="11" borderId="14" xfId="0" applyNumberFormat="1" applyFont="1" applyFill="1" applyBorder="1"/>
    <xf numFmtId="0" fontId="8" fillId="0" borderId="15" xfId="0" applyFont="1" applyBorder="1" applyAlignment="1">
      <alignment horizontal="right"/>
    </xf>
    <xf numFmtId="165" fontId="39" fillId="14" borderId="17" xfId="0" applyNumberFormat="1" applyFont="1" applyFill="1" applyBorder="1"/>
    <xf numFmtId="0" fontId="8" fillId="11" borderId="15" xfId="0" applyFont="1" applyFill="1" applyBorder="1" applyAlignment="1">
      <alignment horizontal="right"/>
    </xf>
    <xf numFmtId="165" fontId="39" fillId="11" borderId="17" xfId="0" applyNumberFormat="1" applyFont="1" applyFill="1" applyBorder="1"/>
    <xf numFmtId="165" fontId="8" fillId="0" borderId="14" xfId="2" applyNumberFormat="1" applyFont="1" applyBorder="1"/>
    <xf numFmtId="165" fontId="39" fillId="14" borderId="14" xfId="0" applyNumberFormat="1" applyFont="1" applyFill="1" applyBorder="1"/>
    <xf numFmtId="0" fontId="8" fillId="6" borderId="13" xfId="0" applyFont="1" applyFill="1" applyBorder="1"/>
    <xf numFmtId="0" fontId="8" fillId="6" borderId="14" xfId="0" applyFont="1" applyFill="1" applyBorder="1"/>
    <xf numFmtId="0" fontId="39" fillId="11" borderId="98" xfId="0" applyFont="1" applyFill="1" applyBorder="1" applyAlignment="1">
      <alignment horizontal="right"/>
    </xf>
    <xf numFmtId="165" fontId="39" fillId="14" borderId="62" xfId="0" applyNumberFormat="1" applyFont="1" applyFill="1" applyBorder="1"/>
    <xf numFmtId="0" fontId="8" fillId="6" borderId="0" xfId="0" applyFont="1" applyFill="1"/>
    <xf numFmtId="0" fontId="39" fillId="0" borderId="98" xfId="0" applyFont="1" applyBorder="1" applyAlignment="1">
      <alignment horizontal="right"/>
    </xf>
    <xf numFmtId="0" fontId="39" fillId="10" borderId="18" xfId="0" applyFont="1" applyFill="1" applyBorder="1" applyAlignment="1">
      <alignment horizontal="right"/>
    </xf>
    <xf numFmtId="165" fontId="39" fillId="10" borderId="19" xfId="0" applyNumberFormat="1" applyFont="1" applyFill="1" applyBorder="1" applyAlignment="1">
      <alignment horizontal="center"/>
    </xf>
    <xf numFmtId="165" fontId="8" fillId="0" borderId="12" xfId="0" applyNumberFormat="1" applyFont="1" applyBorder="1"/>
    <xf numFmtId="0" fontId="39" fillId="0" borderId="99" xfId="0" applyFont="1" applyBorder="1"/>
    <xf numFmtId="0" fontId="39" fillId="0" borderId="100" xfId="0" applyFont="1" applyBorder="1"/>
    <xf numFmtId="165" fontId="39" fillId="0" borderId="100" xfId="0" applyNumberFormat="1" applyFont="1" applyBorder="1"/>
    <xf numFmtId="0" fontId="8" fillId="0" borderId="60" xfId="0" applyFont="1" applyBorder="1"/>
    <xf numFmtId="0" fontId="8" fillId="0" borderId="101" xfId="0" applyFont="1" applyBorder="1"/>
    <xf numFmtId="0" fontId="8" fillId="0" borderId="62" xfId="0" applyFont="1" applyBorder="1"/>
    <xf numFmtId="165" fontId="8" fillId="0" borderId="65" xfId="0" applyNumberFormat="1" applyFont="1" applyBorder="1" applyAlignment="1">
      <alignment horizontal="right"/>
    </xf>
    <xf numFmtId="165" fontId="8" fillId="0" borderId="66" xfId="0" applyNumberFormat="1" applyFont="1" applyBorder="1" applyAlignment="1">
      <alignment horizontal="right"/>
    </xf>
    <xf numFmtId="165" fontId="8" fillId="0" borderId="67" xfId="0" applyNumberFormat="1" applyFont="1" applyBorder="1" applyAlignment="1">
      <alignment horizontal="right"/>
    </xf>
    <xf numFmtId="0" fontId="39" fillId="0" borderId="54" xfId="0" applyFont="1" applyBorder="1" applyAlignment="1">
      <alignment horizontal="right"/>
    </xf>
    <xf numFmtId="165" fontId="39" fillId="6" borderId="94" xfId="0" applyNumberFormat="1" applyFont="1" applyFill="1" applyBorder="1" applyAlignment="1">
      <alignment horizontal="right"/>
    </xf>
    <xf numFmtId="165" fontId="39" fillId="6" borderId="19" xfId="0" applyNumberFormat="1" applyFont="1" applyFill="1" applyBorder="1"/>
    <xf numFmtId="0" fontId="39" fillId="11" borderId="94" xfId="0" applyFont="1" applyFill="1" applyBorder="1" applyAlignment="1">
      <alignment horizontal="right"/>
    </xf>
    <xf numFmtId="0" fontId="39" fillId="10" borderId="19" xfId="0" applyFont="1" applyFill="1" applyBorder="1" applyAlignment="1">
      <alignment horizontal="right"/>
    </xf>
    <xf numFmtId="0" fontId="8" fillId="6" borderId="19" xfId="0" applyFont="1" applyFill="1" applyBorder="1"/>
    <xf numFmtId="0" fontId="39" fillId="6" borderId="18" xfId="0" applyFont="1" applyFill="1" applyBorder="1"/>
    <xf numFmtId="0" fontId="39" fillId="10" borderId="18" xfId="0" applyFont="1" applyFill="1" applyBorder="1" applyAlignment="1">
      <alignment horizontal="left"/>
    </xf>
    <xf numFmtId="0" fontId="39" fillId="6" borderId="10" xfId="0" applyFont="1" applyFill="1" applyBorder="1"/>
    <xf numFmtId="165" fontId="39" fillId="19" borderId="14" xfId="0" applyNumberFormat="1" applyFont="1" applyFill="1" applyBorder="1"/>
    <xf numFmtId="165" fontId="39" fillId="18" borderId="14" xfId="0" applyNumberFormat="1" applyFont="1" applyFill="1" applyBorder="1"/>
    <xf numFmtId="165" fontId="39" fillId="18" borderId="62" xfId="0" applyNumberFormat="1" applyFont="1" applyFill="1" applyBorder="1"/>
    <xf numFmtId="0" fontId="39" fillId="0" borderId="0" xfId="0" applyFont="1" applyAlignment="1">
      <alignment horizontal="center"/>
    </xf>
    <xf numFmtId="10" fontId="8" fillId="0" borderId="0" xfId="0" applyNumberFormat="1" applyFont="1"/>
    <xf numFmtId="0" fontId="8" fillId="0" borderId="10" xfId="0" applyFont="1" applyBorder="1"/>
    <xf numFmtId="0" fontId="0" fillId="0" borderId="14" xfId="0" applyBorder="1" applyAlignment="1">
      <alignment horizontal="center"/>
    </xf>
    <xf numFmtId="10" fontId="0" fillId="0" borderId="16" xfId="0" applyNumberFormat="1" applyBorder="1"/>
    <xf numFmtId="0" fontId="0" fillId="0" borderId="17" xfId="0" applyBorder="1" applyAlignment="1">
      <alignment horizontal="center"/>
    </xf>
    <xf numFmtId="0" fontId="17" fillId="14" borderId="53" xfId="5" applyFont="1" applyFill="1" applyBorder="1" applyAlignment="1">
      <alignment horizontal="center" vertical="center"/>
    </xf>
    <xf numFmtId="0" fontId="17" fillId="12" borderId="53" xfId="5" applyFont="1" applyFill="1" applyBorder="1" applyAlignment="1">
      <alignment horizontal="center" vertical="center"/>
    </xf>
    <xf numFmtId="168" fontId="17" fillId="0" borderId="53" xfId="5" applyNumberFormat="1" applyFont="1" applyBorder="1" applyAlignment="1">
      <alignment horizontal="center" vertical="center" wrapText="1"/>
    </xf>
    <xf numFmtId="165" fontId="15" fillId="8" borderId="29" xfId="5" applyNumberFormat="1" applyFont="1" applyFill="1" applyBorder="1" applyAlignment="1">
      <alignment horizontal="center" vertical="center" wrapText="1"/>
    </xf>
    <xf numFmtId="165" fontId="10" fillId="0" borderId="14" xfId="3" applyNumberFormat="1" applyFont="1" applyBorder="1"/>
    <xf numFmtId="165" fontId="10" fillId="0" borderId="62" xfId="3" applyNumberFormat="1" applyFont="1" applyBorder="1"/>
    <xf numFmtId="165" fontId="10" fillId="0" borderId="12" xfId="3" applyNumberFormat="1" applyFont="1" applyFill="1" applyBorder="1"/>
    <xf numFmtId="165" fontId="0" fillId="9" borderId="100" xfId="0" applyNumberFormat="1" applyFill="1" applyBorder="1"/>
    <xf numFmtId="43" fontId="40" fillId="0" borderId="0" xfId="3" applyFont="1" applyFill="1" applyAlignment="1">
      <alignment wrapText="1"/>
    </xf>
    <xf numFmtId="43" fontId="40" fillId="13" borderId="0" xfId="3" applyFont="1" applyFill="1" applyAlignment="1">
      <alignment wrapText="1"/>
    </xf>
    <xf numFmtId="2" fontId="8" fillId="0" borderId="0" xfId="0" applyNumberFormat="1" applyFont="1"/>
    <xf numFmtId="0" fontId="8" fillId="5" borderId="0" xfId="0" applyFont="1" applyFill="1"/>
    <xf numFmtId="0" fontId="8" fillId="5" borderId="0" xfId="0" applyFont="1" applyFill="1" applyAlignment="1">
      <alignment horizontal="left"/>
    </xf>
    <xf numFmtId="44" fontId="8" fillId="5" borderId="0" xfId="2" applyFont="1" applyFill="1"/>
    <xf numFmtId="0" fontId="8" fillId="14" borderId="0" xfId="0" applyFont="1" applyFill="1"/>
    <xf numFmtId="0" fontId="8" fillId="14" borderId="0" xfId="0" applyFont="1" applyFill="1" applyAlignment="1">
      <alignment horizontal="left"/>
    </xf>
    <xf numFmtId="44" fontId="8" fillId="14" borderId="0" xfId="2" applyFont="1" applyFill="1"/>
    <xf numFmtId="0" fontId="8" fillId="13" borderId="0" xfId="0" applyFont="1" applyFill="1" applyAlignment="1">
      <alignment horizontal="left"/>
    </xf>
    <xf numFmtId="44" fontId="8" fillId="13" borderId="0" xfId="2" applyFont="1" applyFill="1" applyAlignment="1">
      <alignment horizontal="center"/>
    </xf>
    <xf numFmtId="0" fontId="8" fillId="20" borderId="0" xfId="0" applyFont="1" applyFill="1"/>
    <xf numFmtId="0" fontId="8" fillId="20" borderId="0" xfId="0" applyFont="1" applyFill="1" applyAlignment="1">
      <alignment horizontal="left"/>
    </xf>
    <xf numFmtId="44" fontId="8" fillId="20" borderId="0" xfId="2" applyFont="1" applyFill="1"/>
    <xf numFmtId="0" fontId="8" fillId="21" borderId="0" xfId="0" applyFont="1" applyFill="1"/>
    <xf numFmtId="0" fontId="8" fillId="21" borderId="0" xfId="0" applyFont="1" applyFill="1" applyAlignment="1">
      <alignment horizontal="left"/>
    </xf>
    <xf numFmtId="44" fontId="8" fillId="21" borderId="0" xfId="2" applyFont="1" applyFill="1"/>
    <xf numFmtId="0" fontId="8" fillId="7" borderId="0" xfId="0" applyFont="1" applyFill="1"/>
    <xf numFmtId="0" fontId="8" fillId="7" borderId="0" xfId="0" applyFont="1" applyFill="1" applyAlignment="1">
      <alignment horizontal="left"/>
    </xf>
    <xf numFmtId="44" fontId="8" fillId="7" borderId="0" xfId="2" applyFont="1" applyFill="1"/>
    <xf numFmtId="0" fontId="41" fillId="0" borderId="0" xfId="0" applyFont="1" applyAlignment="1">
      <alignment horizontal="left"/>
    </xf>
    <xf numFmtId="0" fontId="8" fillId="0" borderId="0" xfId="0" applyFont="1" applyAlignment="1">
      <alignment horizontal="left"/>
    </xf>
    <xf numFmtId="44" fontId="8" fillId="7" borderId="0" xfId="2" applyFont="1" applyFill="1" applyAlignment="1">
      <alignment horizontal="right"/>
    </xf>
    <xf numFmtId="0" fontId="8" fillId="22" borderId="0" xfId="0" applyFont="1" applyFill="1"/>
    <xf numFmtId="0" fontId="8" fillId="22" borderId="0" xfId="0" applyFont="1" applyFill="1" applyAlignment="1">
      <alignment horizontal="left"/>
    </xf>
    <xf numFmtId="44" fontId="8" fillId="22" borderId="0" xfId="2" applyFont="1" applyFill="1"/>
    <xf numFmtId="0" fontId="8" fillId="19" borderId="0" xfId="0" applyFont="1" applyFill="1"/>
    <xf numFmtId="0" fontId="8" fillId="19" borderId="0" xfId="0" applyFont="1" applyFill="1" applyAlignment="1">
      <alignment horizontal="left"/>
    </xf>
    <xf numFmtId="44" fontId="8" fillId="19" borderId="0" xfId="2" applyFont="1" applyFill="1"/>
    <xf numFmtId="0" fontId="8" fillId="23" borderId="0" xfId="0" applyFont="1" applyFill="1"/>
    <xf numFmtId="0" fontId="8" fillId="23" borderId="0" xfId="0" applyFont="1" applyFill="1" applyAlignment="1">
      <alignment horizontal="left"/>
    </xf>
    <xf numFmtId="44" fontId="8" fillId="23" borderId="0" xfId="2" applyFont="1" applyFill="1"/>
    <xf numFmtId="44" fontId="38" fillId="0" borderId="0" xfId="2" applyFont="1" applyAlignment="1">
      <alignment horizontal="left"/>
    </xf>
    <xf numFmtId="165" fontId="17" fillId="8" borderId="9" xfId="5" applyNumberFormat="1" applyFont="1" applyFill="1" applyBorder="1" applyAlignment="1">
      <alignment horizontal="center" vertical="center" wrapText="1"/>
    </xf>
    <xf numFmtId="165" fontId="20" fillId="13" borderId="9" xfId="5" applyNumberFormat="1" applyFont="1" applyFill="1" applyBorder="1" applyAlignment="1">
      <alignment horizontal="center" vertical="center" wrapText="1"/>
    </xf>
    <xf numFmtId="44" fontId="0" fillId="0" borderId="9" xfId="2" applyFont="1" applyBorder="1"/>
    <xf numFmtId="44" fontId="0" fillId="24" borderId="9" xfId="2" applyFont="1" applyFill="1" applyBorder="1"/>
    <xf numFmtId="0" fontId="0" fillId="0" borderId="9" xfId="0" applyBorder="1" applyAlignment="1">
      <alignment horizontal="center"/>
    </xf>
    <xf numFmtId="43" fontId="14" fillId="25" borderId="9" xfId="1" applyFont="1" applyFill="1" applyBorder="1" applyAlignment="1">
      <alignment horizontal="center" vertical="center" wrapText="1"/>
    </xf>
    <xf numFmtId="43" fontId="14" fillId="6" borderId="9" xfId="1" applyFont="1" applyFill="1" applyBorder="1" applyAlignment="1">
      <alignment horizontal="center" vertical="center" wrapText="1"/>
    </xf>
    <xf numFmtId="43" fontId="14" fillId="7" borderId="9" xfId="1" applyFont="1" applyFill="1" applyBorder="1" applyAlignment="1">
      <alignment horizontal="center" vertical="center" wrapText="1"/>
    </xf>
    <xf numFmtId="43" fontId="14" fillId="26" borderId="9" xfId="1" applyFont="1" applyFill="1" applyBorder="1" applyAlignment="1">
      <alignment horizontal="center" vertical="center" wrapText="1"/>
    </xf>
    <xf numFmtId="43" fontId="14" fillId="11" borderId="9" xfId="1" applyFont="1" applyFill="1" applyBorder="1" applyAlignment="1">
      <alignment horizontal="center" vertical="center" wrapText="1"/>
    </xf>
    <xf numFmtId="0" fontId="46" fillId="9" borderId="9" xfId="0" applyFont="1" applyFill="1" applyBorder="1" applyAlignment="1">
      <alignment horizontal="center" vertical="center" textRotation="90" wrapText="1"/>
    </xf>
    <xf numFmtId="166" fontId="14" fillId="25" borderId="9" xfId="0" applyNumberFormat="1" applyFont="1" applyFill="1" applyBorder="1" applyAlignment="1">
      <alignment horizontal="center" vertical="center" wrapText="1"/>
    </xf>
    <xf numFmtId="166" fontId="14" fillId="6" borderId="9" xfId="0" applyNumberFormat="1" applyFont="1" applyFill="1" applyBorder="1" applyAlignment="1">
      <alignment horizontal="center" vertical="center" wrapText="1"/>
    </xf>
    <xf numFmtId="166" fontId="14" fillId="5" borderId="9" xfId="0" applyNumberFormat="1" applyFont="1" applyFill="1" applyBorder="1" applyAlignment="1">
      <alignment horizontal="center" vertical="center" wrapText="1"/>
    </xf>
    <xf numFmtId="166" fontId="14" fillId="26" borderId="9" xfId="0" applyNumberFormat="1" applyFont="1" applyFill="1" applyBorder="1" applyAlignment="1">
      <alignment horizontal="center" vertical="center" wrapText="1"/>
    </xf>
    <xf numFmtId="166" fontId="14" fillId="11" borderId="9" xfId="0" applyNumberFormat="1" applyFont="1" applyFill="1" applyBorder="1" applyAlignment="1">
      <alignment horizontal="center" vertical="center" wrapText="1"/>
    </xf>
    <xf numFmtId="0" fontId="0" fillId="0" borderId="12" xfId="0" applyBorder="1"/>
    <xf numFmtId="0" fontId="7" fillId="0" borderId="18" xfId="0" applyFont="1" applyBorder="1" applyAlignment="1">
      <alignment horizontal="left"/>
    </xf>
    <xf numFmtId="0" fontId="0" fillId="13" borderId="0" xfId="0" applyFill="1" applyAlignment="1">
      <alignment wrapText="1"/>
    </xf>
    <xf numFmtId="44" fontId="0" fillId="0" borderId="0" xfId="2" applyFont="1" applyFill="1" applyBorder="1"/>
    <xf numFmtId="44" fontId="0" fillId="0" borderId="9" xfId="2" applyFont="1" applyFill="1" applyBorder="1"/>
    <xf numFmtId="43" fontId="14" fillId="25" borderId="0" xfId="1" applyFont="1" applyFill="1" applyBorder="1" applyAlignment="1">
      <alignment horizontal="center" vertical="center" wrapText="1"/>
    </xf>
    <xf numFmtId="166" fontId="14" fillId="25" borderId="0" xfId="0" applyNumberFormat="1" applyFont="1" applyFill="1" applyAlignment="1">
      <alignment horizontal="center" vertical="center" wrapText="1"/>
    </xf>
    <xf numFmtId="166" fontId="14" fillId="7" borderId="9" xfId="0" applyNumberFormat="1" applyFont="1" applyFill="1" applyBorder="1" applyAlignment="1">
      <alignment horizontal="center" vertical="center" wrapText="1"/>
    </xf>
    <xf numFmtId="166" fontId="31" fillId="25" borderId="0" xfId="0" applyNumberFormat="1" applyFont="1" applyFill="1" applyAlignment="1">
      <alignment horizontal="center" wrapText="1"/>
    </xf>
    <xf numFmtId="166" fontId="31" fillId="6" borderId="9" xfId="0" applyNumberFormat="1" applyFont="1" applyFill="1" applyBorder="1" applyAlignment="1">
      <alignment horizontal="center" wrapText="1"/>
    </xf>
    <xf numFmtId="166" fontId="31" fillId="7" borderId="9" xfId="0" applyNumberFormat="1" applyFont="1" applyFill="1" applyBorder="1" applyAlignment="1">
      <alignment horizontal="center" wrapText="1"/>
    </xf>
    <xf numFmtId="166" fontId="31" fillId="26" borderId="9" xfId="0" applyNumberFormat="1" applyFont="1" applyFill="1" applyBorder="1" applyAlignment="1">
      <alignment horizontal="center" wrapText="1"/>
    </xf>
    <xf numFmtId="166" fontId="31" fillId="11" borderId="9" xfId="0" applyNumberFormat="1" applyFont="1" applyFill="1" applyBorder="1" applyAlignment="1">
      <alignment horizontal="center" wrapText="1"/>
    </xf>
    <xf numFmtId="0" fontId="7" fillId="0" borderId="0" xfId="0" applyFont="1" applyAlignment="1">
      <alignment horizontal="left" vertical="center"/>
    </xf>
    <xf numFmtId="0" fontId="0" fillId="13" borderId="0" xfId="0" applyFill="1"/>
    <xf numFmtId="0" fontId="0" fillId="0" borderId="19" xfId="0" applyBorder="1"/>
    <xf numFmtId="0" fontId="0" fillId="0" borderId="20" xfId="0" applyBorder="1"/>
    <xf numFmtId="9" fontId="8" fillId="5" borderId="0" xfId="8" applyFont="1" applyFill="1" applyAlignment="1">
      <alignment horizontal="center"/>
    </xf>
    <xf numFmtId="9" fontId="8" fillId="14" borderId="0" xfId="8" applyFont="1" applyFill="1" applyAlignment="1">
      <alignment horizontal="center"/>
    </xf>
    <xf numFmtId="44" fontId="8" fillId="13" borderId="0" xfId="2" applyFont="1" applyFill="1"/>
    <xf numFmtId="9" fontId="8" fillId="13" borderId="0" xfId="8" applyFont="1" applyFill="1" applyAlignment="1">
      <alignment horizontal="center"/>
    </xf>
    <xf numFmtId="9" fontId="8" fillId="20" borderId="0" xfId="8" applyFont="1" applyFill="1" applyAlignment="1">
      <alignment horizontal="center"/>
    </xf>
    <xf numFmtId="9" fontId="8" fillId="21" borderId="0" xfId="8" applyFont="1" applyFill="1" applyAlignment="1">
      <alignment horizontal="center"/>
    </xf>
    <xf numFmtId="9" fontId="8" fillId="7" borderId="0" xfId="8" applyFont="1" applyFill="1" applyAlignment="1">
      <alignment horizontal="center"/>
    </xf>
    <xf numFmtId="9" fontId="8" fillId="22" borderId="0" xfId="8" applyFont="1" applyFill="1" applyAlignment="1">
      <alignment horizontal="center"/>
    </xf>
    <xf numFmtId="9" fontId="8" fillId="19" borderId="0" xfId="8" applyFont="1" applyFill="1" applyAlignment="1">
      <alignment horizontal="center"/>
    </xf>
    <xf numFmtId="9" fontId="8" fillId="23" borderId="0" xfId="8" applyFont="1" applyFill="1" applyAlignment="1">
      <alignment horizontal="center"/>
    </xf>
    <xf numFmtId="0" fontId="49" fillId="0" borderId="0" xfId="9"/>
    <xf numFmtId="2" fontId="0" fillId="0" borderId="0" xfId="0" applyNumberFormat="1"/>
    <xf numFmtId="10" fontId="0" fillId="0" borderId="0" xfId="0" applyNumberFormat="1" applyAlignment="1">
      <alignment horizontal="center"/>
    </xf>
    <xf numFmtId="165" fontId="0" fillId="0" borderId="0" xfId="0" applyNumberFormat="1" applyAlignment="1">
      <alignment horizontal="right"/>
    </xf>
    <xf numFmtId="0" fontId="0" fillId="0" borderId="2" xfId="0" applyBorder="1"/>
    <xf numFmtId="165" fontId="0" fillId="0" borderId="2" xfId="0" applyNumberFormat="1" applyBorder="1"/>
    <xf numFmtId="10" fontId="0" fillId="0" borderId="91" xfId="0" applyNumberFormat="1" applyBorder="1"/>
    <xf numFmtId="165" fontId="0" fillId="0" borderId="105" xfId="0" applyNumberFormat="1" applyBorder="1"/>
    <xf numFmtId="165" fontId="0" fillId="0" borderId="51" xfId="0" applyNumberFormat="1" applyBorder="1"/>
    <xf numFmtId="0" fontId="0" fillId="16" borderId="42" xfId="0" applyFill="1" applyBorder="1"/>
    <xf numFmtId="0" fontId="0" fillId="16" borderId="2" xfId="0" applyFill="1" applyBorder="1"/>
    <xf numFmtId="165" fontId="0" fillId="16" borderId="2" xfId="0" applyNumberFormat="1" applyFill="1" applyBorder="1"/>
    <xf numFmtId="0" fontId="0" fillId="16" borderId="91" xfId="0" applyFill="1" applyBorder="1"/>
    <xf numFmtId="0" fontId="15" fillId="27" borderId="9" xfId="0" applyFont="1" applyFill="1" applyBorder="1" applyAlignment="1">
      <alignment horizontal="center"/>
    </xf>
    <xf numFmtId="0" fontId="8" fillId="5" borderId="21" xfId="0" applyFont="1" applyFill="1" applyBorder="1"/>
    <xf numFmtId="44" fontId="8" fillId="5" borderId="0" xfId="2" applyFont="1" applyFill="1" applyBorder="1" applyAlignment="1">
      <alignment horizontal="center"/>
    </xf>
    <xf numFmtId="9" fontId="8" fillId="5" borderId="0" xfId="8" applyFont="1" applyFill="1" applyBorder="1" applyAlignment="1">
      <alignment horizontal="center"/>
    </xf>
    <xf numFmtId="0" fontId="8" fillId="13" borderId="21" xfId="0" applyFont="1" applyFill="1" applyBorder="1" applyAlignment="1">
      <alignment horizontal="left"/>
    </xf>
    <xf numFmtId="44" fontId="8" fillId="13" borderId="0" xfId="2" applyFont="1" applyFill="1" applyBorder="1" applyAlignment="1">
      <alignment horizontal="center"/>
    </xf>
    <xf numFmtId="9" fontId="8" fillId="13" borderId="0" xfId="8" applyFont="1" applyFill="1" applyBorder="1" applyAlignment="1">
      <alignment horizontal="center"/>
    </xf>
    <xf numFmtId="0" fontId="8" fillId="21" borderId="21" xfId="0" applyFont="1" applyFill="1" applyBorder="1"/>
    <xf numFmtId="44" fontId="8" fillId="21" borderId="0" xfId="2" applyFont="1" applyFill="1" applyBorder="1" applyAlignment="1">
      <alignment horizontal="center"/>
    </xf>
    <xf numFmtId="9" fontId="8" fillId="21" borderId="0" xfId="8" applyFont="1" applyFill="1" applyBorder="1" applyAlignment="1">
      <alignment horizontal="center"/>
    </xf>
    <xf numFmtId="0" fontId="8" fillId="7" borderId="21" xfId="0" applyFont="1" applyFill="1" applyBorder="1"/>
    <xf numFmtId="44" fontId="8" fillId="7" borderId="0" xfId="2" applyFont="1" applyFill="1" applyBorder="1" applyAlignment="1">
      <alignment horizontal="center"/>
    </xf>
    <xf numFmtId="9" fontId="8" fillId="7" borderId="0" xfId="8" applyFont="1" applyFill="1" applyBorder="1" applyAlignment="1">
      <alignment horizontal="center"/>
    </xf>
    <xf numFmtId="0" fontId="8" fillId="22" borderId="21" xfId="0" applyFont="1" applyFill="1" applyBorder="1"/>
    <xf numFmtId="44" fontId="8" fillId="22" borderId="0" xfId="2" applyFont="1" applyFill="1" applyBorder="1" applyAlignment="1">
      <alignment horizontal="center"/>
    </xf>
    <xf numFmtId="9" fontId="8" fillId="22" borderId="0" xfId="8" applyFont="1" applyFill="1" applyBorder="1" applyAlignment="1">
      <alignment horizontal="center"/>
    </xf>
    <xf numFmtId="0" fontId="8" fillId="19" borderId="21" xfId="0" applyFont="1" applyFill="1" applyBorder="1"/>
    <xf numFmtId="44" fontId="8" fillId="19" borderId="0" xfId="2" applyFont="1" applyFill="1" applyBorder="1" applyAlignment="1">
      <alignment horizontal="center"/>
    </xf>
    <xf numFmtId="9" fontId="8" fillId="19" borderId="0" xfId="8" applyFont="1" applyFill="1" applyBorder="1" applyAlignment="1">
      <alignment horizontal="center"/>
    </xf>
    <xf numFmtId="0" fontId="8" fillId="23" borderId="21" xfId="0" applyFont="1" applyFill="1" applyBorder="1"/>
    <xf numFmtId="44" fontId="8" fillId="23" borderId="0" xfId="2" applyFont="1" applyFill="1" applyBorder="1" applyAlignment="1">
      <alignment horizontal="center"/>
    </xf>
    <xf numFmtId="9" fontId="8" fillId="23" borderId="0" xfId="8" applyFont="1" applyFill="1" applyBorder="1" applyAlignment="1">
      <alignment horizontal="center"/>
    </xf>
    <xf numFmtId="0" fontId="8" fillId="23" borderId="4" xfId="0" applyFont="1" applyFill="1" applyBorder="1"/>
    <xf numFmtId="44" fontId="8" fillId="23" borderId="5" xfId="2" applyFont="1" applyFill="1" applyBorder="1" applyAlignment="1">
      <alignment horizontal="center"/>
    </xf>
    <xf numFmtId="9" fontId="8" fillId="23" borderId="5" xfId="8" applyFont="1" applyFill="1" applyBorder="1" applyAlignment="1">
      <alignment horizontal="center"/>
    </xf>
    <xf numFmtId="165" fontId="0" fillId="0" borderId="5" xfId="0" applyNumberFormat="1" applyBorder="1" applyAlignment="1">
      <alignment horizontal="right"/>
    </xf>
    <xf numFmtId="0" fontId="0" fillId="0" borderId="5" xfId="0" applyBorder="1" applyAlignment="1">
      <alignment horizontal="center"/>
    </xf>
    <xf numFmtId="0" fontId="0" fillId="16" borderId="7" xfId="0" applyFill="1" applyBorder="1"/>
    <xf numFmtId="0" fontId="0" fillId="16" borderId="1" xfId="0" applyFill="1" applyBorder="1"/>
    <xf numFmtId="165" fontId="0" fillId="16" borderId="1" xfId="0" applyNumberFormat="1" applyFill="1" applyBorder="1"/>
    <xf numFmtId="0" fontId="0" fillId="16" borderId="8" xfId="0" applyFill="1" applyBorder="1"/>
    <xf numFmtId="0" fontId="5" fillId="13" borderId="26" xfId="0" applyFont="1" applyFill="1" applyBorder="1" applyAlignment="1">
      <alignment horizontal="center"/>
    </xf>
    <xf numFmtId="0" fontId="7" fillId="0" borderId="42" xfId="0" applyFont="1" applyBorder="1"/>
    <xf numFmtId="0" fontId="0" fillId="0" borderId="4" xfId="0" applyBorder="1" applyAlignment="1">
      <alignment horizontal="left"/>
    </xf>
    <xf numFmtId="0" fontId="0" fillId="6" borderId="94" xfId="0" applyFill="1" applyBorder="1"/>
    <xf numFmtId="10" fontId="0" fillId="6" borderId="20" xfId="0" applyNumberFormat="1" applyFill="1" applyBorder="1" applyAlignment="1">
      <alignment horizontal="center" wrapText="1"/>
    </xf>
    <xf numFmtId="0" fontId="26" fillId="6" borderId="52" xfId="0" applyFont="1" applyFill="1" applyBorder="1" applyAlignment="1">
      <alignment horizontal="center" wrapText="1"/>
    </xf>
    <xf numFmtId="0" fontId="0" fillId="11" borderId="23" xfId="0" applyFill="1" applyBorder="1" applyAlignment="1">
      <alignment horizontal="center" wrapText="1"/>
    </xf>
    <xf numFmtId="0" fontId="48" fillId="0" borderId="16" xfId="0" applyFont="1" applyBorder="1" applyAlignment="1">
      <alignment horizontal="center"/>
    </xf>
    <xf numFmtId="0" fontId="5" fillId="0" borderId="20" xfId="0" applyFont="1" applyBorder="1" applyAlignment="1">
      <alignment horizontal="center"/>
    </xf>
    <xf numFmtId="0" fontId="0" fillId="11" borderId="61" xfId="0" applyFill="1" applyBorder="1" applyAlignment="1">
      <alignment horizontal="center" wrapText="1"/>
    </xf>
    <xf numFmtId="0" fontId="0" fillId="17" borderId="65" xfId="0" applyFill="1" applyBorder="1" applyAlignment="1">
      <alignment horizontal="center" vertical="center" wrapText="1"/>
    </xf>
    <xf numFmtId="0" fontId="26" fillId="28" borderId="42" xfId="0" applyFont="1" applyFill="1" applyBorder="1" applyAlignment="1">
      <alignment horizontal="center"/>
    </xf>
    <xf numFmtId="0" fontId="0" fillId="0" borderId="21" xfId="0" applyBorder="1" applyAlignment="1">
      <alignment horizontal="center"/>
    </xf>
    <xf numFmtId="0" fontId="27" fillId="0" borderId="16" xfId="0" applyFont="1" applyBorder="1" applyAlignment="1">
      <alignment horizontal="center"/>
    </xf>
    <xf numFmtId="166" fontId="4" fillId="0" borderId="9" xfId="0" applyNumberFormat="1" applyFont="1" applyBorder="1"/>
    <xf numFmtId="0" fontId="4" fillId="0" borderId="52" xfId="0" applyFont="1" applyBorder="1"/>
    <xf numFmtId="0" fontId="4" fillId="0" borderId="23" xfId="0" applyFont="1" applyBorder="1"/>
    <xf numFmtId="165" fontId="4" fillId="0" borderId="23" xfId="0" applyNumberFormat="1" applyFont="1" applyBorder="1"/>
    <xf numFmtId="166" fontId="4" fillId="0" borderId="23" xfId="0" applyNumberFormat="1" applyFont="1" applyBorder="1"/>
    <xf numFmtId="0" fontId="4" fillId="0" borderId="53" xfId="0" applyFont="1" applyBorder="1"/>
    <xf numFmtId="0" fontId="23" fillId="0" borderId="25" xfId="0" applyFont="1" applyBorder="1" applyAlignment="1">
      <alignment wrapText="1"/>
    </xf>
    <xf numFmtId="0" fontId="28" fillId="0" borderId="25" xfId="0" applyFont="1" applyBorder="1" applyAlignment="1">
      <alignment wrapText="1"/>
    </xf>
    <xf numFmtId="0" fontId="4" fillId="7" borderId="25" xfId="0" applyFont="1" applyFill="1" applyBorder="1" applyAlignment="1">
      <alignment wrapText="1"/>
    </xf>
    <xf numFmtId="0" fontId="23" fillId="0" borderId="25" xfId="0" applyFont="1" applyBorder="1"/>
    <xf numFmtId="44" fontId="4" fillId="0" borderId="9" xfId="0" applyNumberFormat="1" applyFont="1" applyBorder="1"/>
    <xf numFmtId="165" fontId="4" fillId="0" borderId="26" xfId="0" applyNumberFormat="1" applyFont="1" applyBorder="1"/>
    <xf numFmtId="0" fontId="5" fillId="6" borderId="96" xfId="0" applyFont="1" applyFill="1" applyBorder="1" applyAlignment="1">
      <alignment horizontal="center"/>
    </xf>
    <xf numFmtId="0" fontId="5" fillId="6" borderId="97" xfId="0" applyFont="1" applyFill="1" applyBorder="1" applyAlignment="1">
      <alignment horizontal="center" wrapText="1"/>
    </xf>
    <xf numFmtId="0" fontId="5" fillId="11" borderId="97" xfId="0" applyFont="1" applyFill="1" applyBorder="1" applyAlignment="1">
      <alignment horizontal="center" wrapText="1"/>
    </xf>
    <xf numFmtId="0" fontId="5" fillId="11" borderId="93" xfId="0" applyFont="1" applyFill="1" applyBorder="1" applyAlignment="1">
      <alignment horizontal="center" wrapText="1"/>
    </xf>
    <xf numFmtId="0" fontId="5" fillId="13" borderId="107" xfId="0" applyFont="1" applyFill="1" applyBorder="1" applyAlignment="1">
      <alignment horizontal="center"/>
    </xf>
    <xf numFmtId="165" fontId="4" fillId="0" borderId="103" xfId="0" applyNumberFormat="1" applyFont="1" applyBorder="1"/>
    <xf numFmtId="2" fontId="4" fillId="0" borderId="51" xfId="0" applyNumberFormat="1" applyFont="1" applyBorder="1"/>
    <xf numFmtId="0" fontId="4" fillId="0" borderId="29" xfId="0" applyFont="1" applyBorder="1"/>
    <xf numFmtId="0" fontId="4" fillId="0" borderId="26" xfId="0" applyFont="1" applyBorder="1"/>
    <xf numFmtId="165" fontId="4" fillId="8" borderId="26" xfId="0" applyNumberFormat="1" applyFont="1" applyFill="1" applyBorder="1"/>
    <xf numFmtId="10" fontId="4" fillId="8" borderId="26" xfId="0" applyNumberFormat="1" applyFont="1" applyFill="1" applyBorder="1" applyAlignment="1">
      <alignment horizontal="center"/>
    </xf>
    <xf numFmtId="166" fontId="4" fillId="0" borderId="26" xfId="0" applyNumberFormat="1" applyFont="1" applyBorder="1"/>
    <xf numFmtId="165" fontId="4" fillId="8" borderId="30" xfId="0" applyNumberFormat="1" applyFont="1" applyFill="1" applyBorder="1"/>
    <xf numFmtId="0" fontId="4" fillId="0" borderId="27" xfId="0" applyFont="1" applyBorder="1"/>
    <xf numFmtId="0" fontId="4" fillId="0" borderId="96" xfId="0" applyFont="1" applyBorder="1"/>
    <xf numFmtId="0" fontId="4" fillId="7" borderId="97" xfId="0" applyFont="1" applyFill="1" applyBorder="1"/>
    <xf numFmtId="0" fontId="4" fillId="0" borderId="97" xfId="0" applyFont="1" applyBorder="1"/>
    <xf numFmtId="165" fontId="4" fillId="0" borderId="97" xfId="0" applyNumberFormat="1" applyFont="1" applyBorder="1"/>
    <xf numFmtId="166" fontId="4" fillId="0" borderId="93" xfId="0" applyNumberFormat="1" applyFont="1" applyBorder="1"/>
    <xf numFmtId="10" fontId="4" fillId="0" borderId="97" xfId="0" applyNumberFormat="1" applyFont="1" applyBorder="1" applyAlignment="1">
      <alignment horizontal="center"/>
    </xf>
    <xf numFmtId="166" fontId="4" fillId="0" borderId="97" xfId="0" applyNumberFormat="1" applyFont="1" applyBorder="1"/>
    <xf numFmtId="165" fontId="4" fillId="0" borderId="11" xfId="0" applyNumberFormat="1" applyFont="1" applyBorder="1"/>
    <xf numFmtId="0" fontId="4" fillId="0" borderId="107" xfId="0" applyFont="1" applyBorder="1"/>
    <xf numFmtId="0" fontId="4" fillId="8" borderId="23" xfId="0" applyFont="1" applyFill="1" applyBorder="1"/>
    <xf numFmtId="10" fontId="4" fillId="8" borderId="23" xfId="0" applyNumberFormat="1" applyFont="1" applyFill="1" applyBorder="1" applyAlignment="1">
      <alignment horizontal="center"/>
    </xf>
    <xf numFmtId="165" fontId="4" fillId="0" borderId="61" xfId="0" applyNumberFormat="1" applyFont="1" applyBorder="1"/>
    <xf numFmtId="44" fontId="4" fillId="0" borderId="23" xfId="0" applyNumberFormat="1" applyFont="1" applyBorder="1"/>
    <xf numFmtId="0" fontId="23" fillId="0" borderId="24" xfId="0" applyFont="1" applyBorder="1" applyAlignment="1">
      <alignment wrapText="1"/>
    </xf>
    <xf numFmtId="0" fontId="15" fillId="0" borderId="57" xfId="5" applyFont="1" applyBorder="1" applyAlignment="1">
      <alignment horizontal="left" vertical="center" wrapText="1"/>
    </xf>
    <xf numFmtId="165" fontId="15" fillId="0" borderId="47" xfId="5" applyNumberFormat="1" applyFont="1" applyBorder="1" applyAlignment="1">
      <alignment horizontal="center" vertical="center" wrapText="1"/>
    </xf>
    <xf numFmtId="165" fontId="14" fillId="0" borderId="27" xfId="5" applyNumberFormat="1" applyFont="1" applyBorder="1" applyAlignment="1">
      <alignment horizontal="center" vertical="center" wrapText="1"/>
    </xf>
    <xf numFmtId="0" fontId="19" fillId="0" borderId="54" xfId="5" applyFont="1" applyBorder="1" applyAlignment="1">
      <alignment horizontal="left" vertical="center" wrapText="1"/>
    </xf>
    <xf numFmtId="0" fontId="19" fillId="0" borderId="55" xfId="5" applyFont="1" applyBorder="1" applyAlignment="1">
      <alignment horizontal="left" vertical="center" wrapText="1"/>
    </xf>
    <xf numFmtId="165" fontId="19" fillId="0" borderId="56" xfId="5" applyNumberFormat="1" applyFont="1" applyBorder="1" applyAlignment="1">
      <alignment horizontal="center" vertical="center" wrapText="1"/>
    </xf>
    <xf numFmtId="0" fontId="44" fillId="0" borderId="0" xfId="0" applyFont="1" applyAlignment="1">
      <alignment vertical="center" wrapText="1"/>
    </xf>
    <xf numFmtId="0" fontId="8" fillId="0" borderId="45" xfId="0" applyFont="1" applyBorder="1"/>
    <xf numFmtId="0" fontId="8" fillId="0" borderId="2" xfId="0" applyFont="1" applyBorder="1"/>
    <xf numFmtId="165" fontId="8" fillId="0" borderId="2" xfId="0" applyNumberFormat="1" applyFont="1" applyBorder="1"/>
    <xf numFmtId="10" fontId="8" fillId="0" borderId="89" xfId="0" applyNumberFormat="1" applyFont="1" applyBorder="1" applyAlignment="1">
      <alignment horizontal="center"/>
    </xf>
    <xf numFmtId="167" fontId="15" fillId="0" borderId="0" xfId="3" applyNumberFormat="1" applyFont="1" applyFill="1"/>
    <xf numFmtId="167" fontId="15" fillId="0" borderId="0" xfId="0" applyNumberFormat="1" applyFont="1"/>
    <xf numFmtId="167" fontId="15" fillId="0" borderId="0" xfId="0" applyNumberFormat="1" applyFont="1" applyAlignment="1">
      <alignment wrapText="1"/>
    </xf>
    <xf numFmtId="167" fontId="14" fillId="0" borderId="3" xfId="3" applyNumberFormat="1" applyFont="1" applyFill="1" applyBorder="1"/>
    <xf numFmtId="167" fontId="14" fillId="0" borderId="3" xfId="0" applyNumberFormat="1" applyFont="1" applyBorder="1"/>
    <xf numFmtId="167" fontId="2" fillId="6" borderId="1" xfId="1" applyNumberFormat="1" applyFont="1" applyFill="1" applyBorder="1"/>
    <xf numFmtId="0" fontId="8" fillId="11" borderId="94" xfId="0" applyFont="1" applyFill="1" applyBorder="1"/>
    <xf numFmtId="165" fontId="0" fillId="13" borderId="54" xfId="0" applyNumberFormat="1" applyFill="1" applyBorder="1"/>
    <xf numFmtId="165" fontId="0" fillId="13" borderId="100" xfId="0" applyNumberFormat="1" applyFill="1" applyBorder="1"/>
    <xf numFmtId="10" fontId="4" fillId="0" borderId="19" xfId="0" applyNumberFormat="1" applyFont="1" applyBorder="1" applyAlignment="1">
      <alignment horizontal="center"/>
    </xf>
    <xf numFmtId="166" fontId="0" fillId="0" borderId="94" xfId="0" applyNumberFormat="1" applyBorder="1" applyAlignment="1">
      <alignment horizontal="center"/>
    </xf>
    <xf numFmtId="165" fontId="0" fillId="0" borderId="94" xfId="0" applyNumberFormat="1" applyBorder="1" applyAlignment="1">
      <alignment horizontal="center"/>
    </xf>
    <xf numFmtId="3" fontId="0" fillId="13" borderId="64" xfId="0" applyNumberFormat="1" applyFill="1" applyBorder="1" applyAlignment="1">
      <alignment horizontal="right"/>
    </xf>
    <xf numFmtId="165" fontId="4" fillId="13" borderId="0" xfId="0" applyNumberFormat="1" applyFont="1" applyFill="1"/>
    <xf numFmtId="0" fontId="0" fillId="0" borderId="21" xfId="0" applyBorder="1" applyAlignment="1">
      <alignment horizontal="left" vertical="center"/>
    </xf>
    <xf numFmtId="168" fontId="0" fillId="0" borderId="79" xfId="0" applyNumberFormat="1" applyBorder="1" applyAlignment="1">
      <alignment horizontal="left" vertical="center"/>
    </xf>
    <xf numFmtId="168" fontId="27" fillId="8" borderId="0" xfId="0" applyNumberFormat="1" applyFont="1" applyFill="1" applyAlignment="1">
      <alignment vertical="center"/>
    </xf>
    <xf numFmtId="0" fontId="0" fillId="0" borderId="31" xfId="0" applyBorder="1" applyAlignment="1">
      <alignment vertical="center"/>
    </xf>
    <xf numFmtId="0" fontId="22" fillId="13" borderId="0" xfId="5" applyFont="1" applyFill="1" applyAlignment="1">
      <alignment horizontal="right" vertical="center" wrapText="1"/>
    </xf>
    <xf numFmtId="165" fontId="22" fillId="13" borderId="63" xfId="5" applyNumberFormat="1" applyFont="1" applyFill="1" applyBorder="1" applyAlignment="1">
      <alignment horizontal="center" vertical="center" wrapText="1"/>
    </xf>
    <xf numFmtId="165" fontId="22" fillId="13" borderId="22" xfId="5" applyNumberFormat="1" applyFont="1" applyFill="1" applyBorder="1" applyAlignment="1">
      <alignment horizontal="center" vertical="center" wrapText="1"/>
    </xf>
    <xf numFmtId="165" fontId="22" fillId="13" borderId="0" xfId="5" applyNumberFormat="1" applyFont="1" applyFill="1" applyAlignment="1">
      <alignment horizontal="center" vertical="center" wrapText="1"/>
    </xf>
    <xf numFmtId="0" fontId="15" fillId="13" borderId="53" xfId="5" applyFont="1" applyFill="1" applyBorder="1" applyAlignment="1">
      <alignment horizontal="left" vertical="center" wrapText="1"/>
    </xf>
    <xf numFmtId="0" fontId="15" fillId="13" borderId="9" xfId="5" applyFont="1" applyFill="1" applyBorder="1" applyAlignment="1">
      <alignment horizontal="left" vertical="center" wrapText="1"/>
    </xf>
    <xf numFmtId="165" fontId="15" fillId="13" borderId="25" xfId="5" applyNumberFormat="1" applyFont="1" applyFill="1" applyBorder="1" applyAlignment="1">
      <alignment horizontal="center" vertical="center" wrapText="1"/>
    </xf>
    <xf numFmtId="165" fontId="4" fillId="7" borderId="7" xfId="0" applyNumberFormat="1" applyFont="1" applyFill="1" applyBorder="1" applyAlignment="1">
      <alignment wrapText="1"/>
    </xf>
    <xf numFmtId="0" fontId="21" fillId="13" borderId="0" xfId="0" applyFont="1" applyFill="1"/>
    <xf numFmtId="0" fontId="26" fillId="0" borderId="21" xfId="0" applyFont="1" applyBorder="1" applyAlignment="1">
      <alignment horizontal="center"/>
    </xf>
    <xf numFmtId="0" fontId="26" fillId="0" borderId="93" xfId="0" applyFont="1" applyBorder="1" applyAlignment="1">
      <alignment horizontal="center"/>
    </xf>
    <xf numFmtId="0" fontId="0" fillId="0" borderId="104" xfId="0" applyBorder="1" applyAlignment="1">
      <alignment horizontal="center"/>
    </xf>
    <xf numFmtId="0" fontId="5" fillId="0" borderId="104" xfId="0" applyFont="1" applyBorder="1" applyAlignment="1">
      <alignment horizontal="center"/>
    </xf>
    <xf numFmtId="0" fontId="5" fillId="0" borderId="21" xfId="0" applyFont="1" applyBorder="1" applyAlignment="1">
      <alignment horizontal="center"/>
    </xf>
    <xf numFmtId="0" fontId="5" fillId="0" borderId="102" xfId="0" applyFont="1" applyBorder="1" applyAlignment="1">
      <alignment horizontal="center"/>
    </xf>
    <xf numFmtId="0" fontId="26" fillId="0" borderId="16" xfId="0" applyFont="1" applyBorder="1" applyAlignment="1">
      <alignment horizontal="center"/>
    </xf>
    <xf numFmtId="0" fontId="0" fillId="0" borderId="16" xfId="0" applyBorder="1" applyAlignment="1">
      <alignment horizontal="center"/>
    </xf>
    <xf numFmtId="0" fontId="26" fillId="0" borderId="11" xfId="0" applyFont="1" applyBorder="1" applyAlignment="1">
      <alignment horizontal="center"/>
    </xf>
    <xf numFmtId="0" fontId="0" fillId="0" borderId="11" xfId="0" applyBorder="1" applyAlignment="1">
      <alignment horizontal="center"/>
    </xf>
    <xf numFmtId="0" fontId="37" fillId="0" borderId="16" xfId="0" applyFont="1" applyBorder="1" applyAlignment="1">
      <alignment horizontal="center"/>
    </xf>
    <xf numFmtId="0" fontId="7" fillId="0" borderId="16" xfId="0" applyFont="1" applyBorder="1" applyAlignment="1">
      <alignment horizontal="center"/>
    </xf>
    <xf numFmtId="0" fontId="7" fillId="0" borderId="20" xfId="0" applyFont="1" applyBorder="1" applyAlignment="1">
      <alignment horizontal="center"/>
    </xf>
    <xf numFmtId="0" fontId="0" fillId="12" borderId="60" xfId="0" applyFill="1" applyBorder="1" applyAlignment="1">
      <alignment horizontal="center"/>
    </xf>
    <xf numFmtId="0" fontId="27" fillId="0" borderId="101" xfId="0" applyFont="1" applyBorder="1" applyAlignment="1">
      <alignment horizontal="left"/>
    </xf>
    <xf numFmtId="0" fontId="18" fillId="0" borderId="101" xfId="0" applyFont="1" applyBorder="1" applyAlignment="1">
      <alignment horizontal="left" wrapText="1"/>
    </xf>
    <xf numFmtId="168" fontId="0" fillId="0" borderId="0" xfId="0" applyNumberFormat="1" applyAlignment="1">
      <alignment horizontal="center"/>
    </xf>
    <xf numFmtId="0" fontId="27" fillId="0" borderId="74" xfId="0" applyFont="1" applyBorder="1" applyAlignment="1">
      <alignment wrapText="1"/>
    </xf>
    <xf numFmtId="0" fontId="18" fillId="0" borderId="77" xfId="0" applyFont="1" applyBorder="1" applyAlignment="1">
      <alignment wrapText="1"/>
    </xf>
    <xf numFmtId="168" fontId="27" fillId="0" borderId="0" xfId="0" applyNumberFormat="1" applyFont="1"/>
    <xf numFmtId="0" fontId="8" fillId="0" borderId="76" xfId="0" applyFont="1" applyBorder="1"/>
    <xf numFmtId="0" fontId="8" fillId="0" borderId="79" xfId="0" applyFont="1" applyBorder="1"/>
    <xf numFmtId="168" fontId="26" fillId="12" borderId="112" xfId="3" applyNumberFormat="1" applyFont="1" applyFill="1" applyBorder="1" applyAlignment="1">
      <alignment horizontal="right"/>
    </xf>
    <xf numFmtId="168" fontId="26" fillId="0" borderId="39" xfId="3" applyNumberFormat="1" applyFont="1" applyBorder="1" applyAlignment="1">
      <alignment horizontal="right"/>
    </xf>
    <xf numFmtId="0" fontId="8" fillId="0" borderId="84" xfId="0" applyFont="1" applyBorder="1"/>
    <xf numFmtId="168" fontId="0" fillId="0" borderId="115" xfId="0" applyNumberFormat="1" applyBorder="1" applyAlignment="1">
      <alignment horizontal="right"/>
    </xf>
    <xf numFmtId="168" fontId="0" fillId="0" borderId="81" xfId="0" applyNumberFormat="1" applyBorder="1"/>
    <xf numFmtId="168" fontId="26" fillId="0" borderId="116" xfId="3" applyNumberFormat="1" applyFont="1" applyFill="1" applyBorder="1" applyAlignment="1">
      <alignment horizontal="right"/>
    </xf>
    <xf numFmtId="168" fontId="0" fillId="12" borderId="116" xfId="0" applyNumberFormat="1" applyFill="1" applyBorder="1" applyAlignment="1">
      <alignment horizontal="right"/>
    </xf>
    <xf numFmtId="168" fontId="0" fillId="0" borderId="108" xfId="0" applyNumberFormat="1" applyBorder="1" applyAlignment="1">
      <alignment horizontal="center"/>
    </xf>
    <xf numFmtId="0" fontId="0" fillId="0" borderId="35" xfId="0" applyBorder="1"/>
    <xf numFmtId="168" fontId="0" fillId="0" borderId="35" xfId="0" applyNumberFormat="1" applyBorder="1" applyAlignment="1">
      <alignment horizontal="right"/>
    </xf>
    <xf numFmtId="168" fontId="0" fillId="29" borderId="48" xfId="0" applyNumberFormat="1" applyFill="1" applyBorder="1" applyAlignment="1">
      <alignment horizontal="right"/>
    </xf>
    <xf numFmtId="168" fontId="0" fillId="8" borderId="87" xfId="0" applyNumberFormat="1" applyFill="1" applyBorder="1" applyAlignment="1">
      <alignment horizontal="center"/>
    </xf>
    <xf numFmtId="168" fontId="0" fillId="0" borderId="43" xfId="0" applyNumberFormat="1" applyBorder="1"/>
    <xf numFmtId="0" fontId="0" fillId="0" borderId="84" xfId="0" applyBorder="1"/>
    <xf numFmtId="0" fontId="0" fillId="0" borderId="79" xfId="0" applyBorder="1"/>
    <xf numFmtId="168" fontId="0" fillId="16" borderId="76" xfId="0" applyNumberFormat="1" applyFill="1" applyBorder="1" applyAlignment="1">
      <alignment horizontal="right" vertical="center"/>
    </xf>
    <xf numFmtId="168" fontId="0" fillId="0" borderId="81" xfId="2" applyNumberFormat="1" applyFont="1" applyBorder="1"/>
    <xf numFmtId="168" fontId="0" fillId="0" borderId="14" xfId="2" applyNumberFormat="1" applyFont="1" applyBorder="1"/>
    <xf numFmtId="168" fontId="26" fillId="12" borderId="119" xfId="2" applyNumberFormat="1" applyFont="1" applyFill="1" applyBorder="1" applyAlignment="1">
      <alignment horizontal="right"/>
    </xf>
    <xf numFmtId="168" fontId="0" fillId="0" borderId="117" xfId="2" applyNumberFormat="1" applyFont="1" applyBorder="1"/>
    <xf numFmtId="168" fontId="0" fillId="0" borderId="118" xfId="2" applyNumberFormat="1" applyFont="1" applyBorder="1"/>
    <xf numFmtId="44" fontId="0" fillId="13" borderId="37" xfId="0" applyNumberFormat="1" applyFill="1" applyBorder="1" applyAlignment="1">
      <alignment horizontal="right"/>
    </xf>
    <xf numFmtId="0" fontId="15" fillId="27" borderId="7" xfId="0" applyFont="1" applyFill="1" applyBorder="1" applyAlignment="1">
      <alignment horizontal="left"/>
    </xf>
    <xf numFmtId="0" fontId="15" fillId="27" borderId="8" xfId="0" applyFont="1" applyFill="1" applyBorder="1" applyAlignment="1">
      <alignment horizontal="left"/>
    </xf>
    <xf numFmtId="10" fontId="4" fillId="0" borderId="0" xfId="0" applyNumberFormat="1" applyFont="1" applyAlignment="1">
      <alignment horizontal="center"/>
    </xf>
    <xf numFmtId="166" fontId="4" fillId="0" borderId="0" xfId="0" applyNumberFormat="1" applyFont="1"/>
    <xf numFmtId="165" fontId="39" fillId="0" borderId="72" xfId="0" applyNumberFormat="1" applyFont="1" applyBorder="1"/>
    <xf numFmtId="0" fontId="8" fillId="0" borderId="120" xfId="0" applyFont="1" applyBorder="1" applyAlignment="1">
      <alignment horizontal="right"/>
    </xf>
    <xf numFmtId="0" fontId="39" fillId="6" borderId="15" xfId="0" applyFont="1" applyFill="1" applyBorder="1" applyAlignment="1">
      <alignment horizontal="right"/>
    </xf>
    <xf numFmtId="165" fontId="39" fillId="19" borderId="17" xfId="0" applyNumberFormat="1" applyFont="1" applyFill="1" applyBorder="1"/>
    <xf numFmtId="0" fontId="8" fillId="0" borderId="71" xfId="0" applyFont="1" applyBorder="1" applyAlignment="1">
      <alignment horizontal="right"/>
    </xf>
    <xf numFmtId="165" fontId="8" fillId="0" borderId="72" xfId="0" applyNumberFormat="1" applyFont="1" applyBorder="1"/>
    <xf numFmtId="44" fontId="4" fillId="0" borderId="26" xfId="2" applyFont="1" applyBorder="1"/>
    <xf numFmtId="165" fontId="4" fillId="0" borderId="26" xfId="0" applyNumberFormat="1" applyFont="1" applyBorder="1" applyAlignment="1">
      <alignment wrapText="1"/>
    </xf>
    <xf numFmtId="0" fontId="4" fillId="0" borderId="121" xfId="0" applyFont="1" applyBorder="1"/>
    <xf numFmtId="10" fontId="4" fillId="8" borderId="50" xfId="0" applyNumberFormat="1" applyFont="1" applyFill="1" applyBorder="1" applyAlignment="1">
      <alignment horizontal="center"/>
    </xf>
    <xf numFmtId="166" fontId="4" fillId="0" borderId="50" xfId="0" applyNumberFormat="1" applyFont="1" applyBorder="1"/>
    <xf numFmtId="44" fontId="4" fillId="0" borderId="50" xfId="0" applyNumberFormat="1" applyFont="1" applyBorder="1"/>
    <xf numFmtId="0" fontId="23" fillId="0" borderId="122" xfId="0" applyFont="1" applyBorder="1" applyAlignment="1">
      <alignment wrapText="1"/>
    </xf>
    <xf numFmtId="0" fontId="4" fillId="0" borderId="123" xfId="0" applyFont="1" applyBorder="1"/>
    <xf numFmtId="0" fontId="4" fillId="7" borderId="95" xfId="0" applyFont="1" applyFill="1" applyBorder="1"/>
    <xf numFmtId="0" fontId="4" fillId="0" borderId="95" xfId="0" applyFont="1" applyBorder="1"/>
    <xf numFmtId="165" fontId="4" fillId="0" borderId="95" xfId="0" applyNumberFormat="1" applyFont="1" applyBorder="1"/>
    <xf numFmtId="166" fontId="4" fillId="0" borderId="102" xfId="0" applyNumberFormat="1" applyFont="1" applyBorder="1"/>
    <xf numFmtId="10" fontId="4" fillId="0" borderId="95" xfId="0" applyNumberFormat="1" applyFont="1" applyBorder="1" applyAlignment="1">
      <alignment horizontal="center"/>
    </xf>
    <xf numFmtId="166" fontId="4" fillId="0" borderId="95" xfId="0" applyNumberFormat="1" applyFont="1" applyBorder="1"/>
    <xf numFmtId="0" fontId="4" fillId="0" borderId="20" xfId="0" applyFont="1" applyBorder="1"/>
    <xf numFmtId="165" fontId="4" fillId="0" borderId="20" xfId="0" applyNumberFormat="1" applyFont="1" applyBorder="1"/>
    <xf numFmtId="0" fontId="4" fillId="0" borderId="124" xfId="0" applyFont="1" applyBorder="1"/>
    <xf numFmtId="165" fontId="4" fillId="0" borderId="5" xfId="0" applyNumberFormat="1" applyFont="1" applyBorder="1"/>
    <xf numFmtId="165" fontId="4" fillId="0" borderId="50" xfId="0" applyNumberFormat="1" applyFont="1" applyBorder="1" applyAlignment="1">
      <alignment wrapText="1"/>
    </xf>
    <xf numFmtId="44" fontId="4" fillId="0" borderId="50" xfId="2" applyFont="1" applyFill="1" applyBorder="1"/>
    <xf numFmtId="0" fontId="5" fillId="6" borderId="123" xfId="0" applyFont="1" applyFill="1" applyBorder="1" applyAlignment="1">
      <alignment horizontal="center"/>
    </xf>
    <xf numFmtId="0" fontId="5" fillId="6" borderId="95" xfId="0" applyFont="1" applyFill="1" applyBorder="1" applyAlignment="1">
      <alignment horizontal="center"/>
    </xf>
    <xf numFmtId="0" fontId="5" fillId="6" borderId="95" xfId="0" applyFont="1" applyFill="1" applyBorder="1" applyAlignment="1">
      <alignment horizontal="center" wrapText="1"/>
    </xf>
    <xf numFmtId="0" fontId="5" fillId="11" borderId="95" xfId="0" applyFont="1" applyFill="1" applyBorder="1" applyAlignment="1">
      <alignment horizontal="center" wrapText="1"/>
    </xf>
    <xf numFmtId="165" fontId="5" fillId="11" borderId="95" xfId="0" applyNumberFormat="1" applyFont="1" applyFill="1" applyBorder="1" applyAlignment="1">
      <alignment horizontal="center" wrapText="1"/>
    </xf>
    <xf numFmtId="0" fontId="5" fillId="0" borderId="16" xfId="0" applyFont="1" applyBorder="1"/>
    <xf numFmtId="10" fontId="15" fillId="13" borderId="0" xfId="0" applyNumberFormat="1" applyFont="1" applyFill="1"/>
    <xf numFmtId="165" fontId="5" fillId="13" borderId="0" xfId="0" applyNumberFormat="1" applyFont="1" applyFill="1"/>
    <xf numFmtId="0" fontId="8" fillId="11" borderId="19" xfId="0" applyFont="1" applyFill="1" applyBorder="1"/>
    <xf numFmtId="165" fontId="0" fillId="0" borderId="0" xfId="0" applyNumberFormat="1" applyAlignment="1">
      <alignment wrapText="1"/>
    </xf>
    <xf numFmtId="165" fontId="0" fillId="0" borderId="16" xfId="0" applyNumberFormat="1" applyBorder="1" applyAlignment="1">
      <alignment wrapText="1"/>
    </xf>
    <xf numFmtId="165" fontId="0" fillId="0" borderId="100" xfId="0" applyNumberFormat="1" applyBorder="1"/>
    <xf numFmtId="165" fontId="0" fillId="0" borderId="54" xfId="0" applyNumberFormat="1" applyBorder="1"/>
    <xf numFmtId="165" fontId="0" fillId="0" borderId="11" xfId="0" applyNumberFormat="1" applyBorder="1" applyAlignment="1">
      <alignment wrapText="1"/>
    </xf>
    <xf numFmtId="170" fontId="0" fillId="0" borderId="16" xfId="0" applyNumberFormat="1" applyBorder="1"/>
    <xf numFmtId="0" fontId="8" fillId="9" borderId="0" xfId="0" applyFont="1" applyFill="1"/>
    <xf numFmtId="165" fontId="8" fillId="9" borderId="0" xfId="0" applyNumberFormat="1" applyFont="1" applyFill="1" applyAlignment="1">
      <alignment wrapText="1"/>
    </xf>
    <xf numFmtId="0" fontId="8" fillId="9" borderId="0" xfId="0" applyFont="1" applyFill="1" applyAlignment="1">
      <alignment wrapText="1"/>
    </xf>
    <xf numFmtId="10" fontId="8" fillId="0" borderId="0" xfId="0" applyNumberFormat="1" applyFont="1" applyAlignment="1">
      <alignment horizontal="center"/>
    </xf>
    <xf numFmtId="0" fontId="8" fillId="0" borderId="17" xfId="0" applyFont="1" applyBorder="1" applyAlignment="1">
      <alignment horizontal="center"/>
    </xf>
    <xf numFmtId="10" fontId="8" fillId="9" borderId="0" xfId="0" applyNumberFormat="1" applyFont="1" applyFill="1" applyAlignment="1">
      <alignment wrapText="1"/>
    </xf>
    <xf numFmtId="10" fontId="8" fillId="0" borderId="16" xfId="0" applyNumberFormat="1" applyFont="1" applyBorder="1"/>
    <xf numFmtId="0" fontId="21" fillId="0" borderId="16" xfId="0" applyFont="1" applyBorder="1"/>
    <xf numFmtId="10" fontId="8" fillId="0" borderId="2" xfId="0" applyNumberFormat="1" applyFont="1" applyBorder="1"/>
    <xf numFmtId="10" fontId="8" fillId="0" borderId="45" xfId="0" applyNumberFormat="1" applyFont="1" applyBorder="1"/>
    <xf numFmtId="9" fontId="8" fillId="0" borderId="0" xfId="8" applyFont="1" applyBorder="1"/>
    <xf numFmtId="165" fontId="8" fillId="0" borderId="0" xfId="0" applyNumberFormat="1" applyFont="1" applyAlignment="1">
      <alignment horizontal="right"/>
    </xf>
    <xf numFmtId="0" fontId="8" fillId="0" borderId="11" xfId="0" applyFont="1" applyBorder="1" applyAlignment="1">
      <alignment horizontal="center"/>
    </xf>
    <xf numFmtId="0" fontId="8" fillId="0" borderId="17" xfId="0" applyFont="1" applyBorder="1"/>
    <xf numFmtId="0" fontId="18" fillId="0" borderId="74" xfId="0" applyFont="1" applyBorder="1" applyAlignment="1">
      <alignment wrapText="1"/>
    </xf>
    <xf numFmtId="0" fontId="30" fillId="0" borderId="62" xfId="0" applyFont="1" applyBorder="1" applyAlignment="1">
      <alignment horizontal="left" wrapText="1"/>
    </xf>
    <xf numFmtId="0" fontId="23" fillId="0" borderId="0" xfId="0" applyFont="1" applyAlignment="1">
      <alignment horizontal="left" wrapText="1"/>
    </xf>
    <xf numFmtId="0" fontId="30" fillId="0" borderId="77" xfId="0" applyFont="1" applyBorder="1" applyAlignment="1">
      <alignment wrapText="1"/>
    </xf>
    <xf numFmtId="0" fontId="26" fillId="0" borderId="21" xfId="3" applyNumberFormat="1" applyFont="1" applyBorder="1" applyAlignment="1">
      <alignment horizontal="left"/>
    </xf>
    <xf numFmtId="0" fontId="4" fillId="0" borderId="4" xfId="0" applyFont="1" applyBorder="1"/>
    <xf numFmtId="168" fontId="27" fillId="8" borderId="0" xfId="0" applyNumberFormat="1" applyFont="1" applyFill="1" applyAlignment="1">
      <alignment horizontal="left"/>
    </xf>
    <xf numFmtId="168" fontId="0" fillId="0" borderId="40" xfId="0" applyNumberFormat="1" applyBorder="1" applyAlignment="1">
      <alignment horizontal="right"/>
    </xf>
    <xf numFmtId="168" fontId="26" fillId="0" borderId="57" xfId="3" applyNumberFormat="1" applyFont="1" applyBorder="1" applyAlignment="1">
      <alignment horizontal="right"/>
    </xf>
    <xf numFmtId="0" fontId="42" fillId="0" borderId="90" xfId="0" applyFont="1" applyBorder="1" applyAlignment="1">
      <alignment wrapText="1"/>
    </xf>
    <xf numFmtId="0" fontId="45" fillId="0" borderId="0" xfId="0" applyFont="1" applyAlignment="1">
      <alignment horizontal="center"/>
    </xf>
    <xf numFmtId="0" fontId="45" fillId="0" borderId="11" xfId="0" applyFont="1" applyBorder="1" applyAlignment="1">
      <alignment horizontal="center"/>
    </xf>
    <xf numFmtId="0" fontId="26" fillId="11" borderId="106" xfId="0" applyFont="1" applyFill="1" applyBorder="1" applyAlignment="1">
      <alignment horizontal="center" wrapText="1"/>
    </xf>
    <xf numFmtId="0" fontId="26" fillId="6" borderId="125" xfId="0" applyFont="1" applyFill="1" applyBorder="1" applyAlignment="1">
      <alignment horizontal="center"/>
    </xf>
    <xf numFmtId="0" fontId="26" fillId="6" borderId="82" xfId="0" applyFont="1" applyFill="1" applyBorder="1" applyAlignment="1">
      <alignment horizontal="center"/>
    </xf>
    <xf numFmtId="0" fontId="26" fillId="6" borderId="96" xfId="0" applyFont="1" applyFill="1" applyBorder="1" applyAlignment="1">
      <alignment horizontal="center"/>
    </xf>
    <xf numFmtId="0" fontId="37" fillId="0" borderId="82" xfId="0" applyFont="1" applyBorder="1"/>
    <xf numFmtId="0" fontId="37" fillId="6" borderId="123" xfId="0" applyFont="1" applyFill="1" applyBorder="1" applyAlignment="1">
      <alignment horizontal="center" wrapText="1"/>
    </xf>
    <xf numFmtId="0" fontId="26" fillId="0" borderId="0" xfId="0" applyFont="1" applyAlignment="1">
      <alignment horizontal="center"/>
    </xf>
    <xf numFmtId="0" fontId="0" fillId="28" borderId="0" xfId="0" applyFill="1" applyAlignment="1">
      <alignment horizontal="center"/>
    </xf>
    <xf numFmtId="0" fontId="27" fillId="28" borderId="0" xfId="0" applyFont="1" applyFill="1"/>
    <xf numFmtId="0" fontId="45" fillId="28" borderId="0" xfId="0" applyFont="1" applyFill="1" applyAlignment="1">
      <alignment horizontal="center"/>
    </xf>
    <xf numFmtId="0" fontId="0" fillId="0" borderId="125" xfId="0" applyBorder="1"/>
    <xf numFmtId="0" fontId="26" fillId="0" borderId="125" xfId="0" applyFont="1" applyBorder="1"/>
    <xf numFmtId="0" fontId="7" fillId="0" borderId="104" xfId="0" applyFont="1" applyBorder="1" applyAlignment="1">
      <alignment horizontal="center"/>
    </xf>
    <xf numFmtId="0" fontId="0" fillId="28" borderId="126" xfId="0" applyFill="1" applyBorder="1" applyAlignment="1">
      <alignment horizontal="center"/>
    </xf>
    <xf numFmtId="0" fontId="0" fillId="0" borderId="100" xfId="0" applyBorder="1" applyAlignment="1">
      <alignment horizontal="center"/>
    </xf>
    <xf numFmtId="0" fontId="0" fillId="28" borderId="100" xfId="0" applyFill="1" applyBorder="1" applyAlignment="1">
      <alignment horizontal="center"/>
    </xf>
    <xf numFmtId="0" fontId="0" fillId="0" borderId="54" xfId="0" applyBorder="1" applyAlignment="1">
      <alignment horizontal="center"/>
    </xf>
    <xf numFmtId="0" fontId="7" fillId="0" borderId="54" xfId="0" applyFont="1" applyBorder="1" applyAlignment="1">
      <alignment horizontal="center"/>
    </xf>
    <xf numFmtId="0" fontId="0" fillId="0" borderId="99" xfId="0" applyBorder="1" applyAlignment="1">
      <alignment horizontal="center"/>
    </xf>
    <xf numFmtId="0" fontId="0" fillId="0" borderId="100" xfId="0" applyBorder="1"/>
    <xf numFmtId="0" fontId="5" fillId="0" borderId="94" xfId="0" applyFont="1" applyBorder="1" applyAlignment="1">
      <alignment horizontal="center"/>
    </xf>
    <xf numFmtId="0" fontId="0" fillId="11" borderId="24" xfId="0" applyFill="1" applyBorder="1" applyAlignment="1">
      <alignment horizontal="center" vertical="center" wrapText="1"/>
    </xf>
    <xf numFmtId="0" fontId="47" fillId="0" borderId="0" xfId="0" applyFont="1" applyAlignment="1">
      <alignment horizontal="center"/>
    </xf>
    <xf numFmtId="0" fontId="7" fillId="0" borderId="100" xfId="0" applyFont="1" applyBorder="1" applyAlignment="1">
      <alignment horizontal="center"/>
    </xf>
    <xf numFmtId="0" fontId="48" fillId="0" borderId="0" xfId="0" applyFont="1" applyAlignment="1">
      <alignment horizontal="center"/>
    </xf>
    <xf numFmtId="0" fontId="26" fillId="0" borderId="13" xfId="0" applyFont="1" applyBorder="1" applyAlignment="1">
      <alignment horizontal="center"/>
    </xf>
    <xf numFmtId="0" fontId="26" fillId="24" borderId="18" xfId="0" applyFont="1" applyFill="1" applyBorder="1" applyAlignment="1">
      <alignment horizontal="center"/>
    </xf>
    <xf numFmtId="0" fontId="0" fillId="24" borderId="20" xfId="0" applyFill="1" applyBorder="1" applyAlignment="1">
      <alignment horizontal="center"/>
    </xf>
    <xf numFmtId="0" fontId="26" fillId="24" borderId="20" xfId="0" applyFont="1" applyFill="1" applyBorder="1" applyAlignment="1">
      <alignment horizontal="center"/>
    </xf>
    <xf numFmtId="0" fontId="7" fillId="24" borderId="94" xfId="0" applyFont="1" applyFill="1" applyBorder="1" applyAlignment="1">
      <alignment horizontal="center"/>
    </xf>
    <xf numFmtId="0" fontId="48" fillId="24" borderId="20" xfId="0" applyFont="1" applyFill="1" applyBorder="1" applyAlignment="1">
      <alignment horizontal="center"/>
    </xf>
    <xf numFmtId="0" fontId="26" fillId="28" borderId="0" xfId="0" applyFont="1" applyFill="1" applyAlignment="1">
      <alignment horizontal="center"/>
    </xf>
    <xf numFmtId="0" fontId="0" fillId="28" borderId="14" xfId="0" applyFill="1" applyBorder="1" applyAlignment="1">
      <alignment horizontal="center"/>
    </xf>
    <xf numFmtId="0" fontId="0" fillId="28" borderId="46" xfId="0" applyFill="1" applyBorder="1" applyAlignment="1">
      <alignment horizontal="center"/>
    </xf>
    <xf numFmtId="0" fontId="0" fillId="24" borderId="19" xfId="0" applyFill="1" applyBorder="1" applyAlignment="1">
      <alignment horizontal="center"/>
    </xf>
    <xf numFmtId="0" fontId="0" fillId="0" borderId="107" xfId="0" applyBorder="1" applyAlignment="1">
      <alignment horizontal="center"/>
    </xf>
    <xf numFmtId="0" fontId="0" fillId="0" borderId="105" xfId="0" applyBorder="1" applyAlignment="1">
      <alignment horizontal="center"/>
    </xf>
    <xf numFmtId="0" fontId="0" fillId="0" borderId="51" xfId="0" applyBorder="1" applyAlignment="1">
      <alignment horizontal="center"/>
    </xf>
    <xf numFmtId="0" fontId="37" fillId="24" borderId="94" xfId="0" applyFont="1" applyFill="1" applyBorder="1" applyAlignment="1">
      <alignment horizontal="center"/>
    </xf>
    <xf numFmtId="0" fontId="7" fillId="19" borderId="94" xfId="0" applyFont="1" applyFill="1" applyBorder="1"/>
    <xf numFmtId="0" fontId="0" fillId="17" borderId="59" xfId="0" applyFill="1" applyBorder="1" applyAlignment="1">
      <alignment horizontal="center" wrapText="1"/>
    </xf>
    <xf numFmtId="0" fontId="53" fillId="24" borderId="20" xfId="0" applyFont="1" applyFill="1" applyBorder="1" applyAlignment="1">
      <alignment horizontal="center"/>
    </xf>
    <xf numFmtId="0" fontId="27" fillId="0" borderId="0" xfId="0" applyFont="1" applyAlignment="1">
      <alignment horizontal="center"/>
    </xf>
    <xf numFmtId="0" fontId="43" fillId="0" borderId="16" xfId="0" applyFont="1" applyBorder="1" applyAlignment="1">
      <alignment horizontal="center"/>
    </xf>
    <xf numFmtId="0" fontId="0" fillId="28" borderId="100" xfId="0" applyFill="1" applyBorder="1" applyAlignment="1">
      <alignment horizontal="right"/>
    </xf>
    <xf numFmtId="0" fontId="7" fillId="0" borderId="100" xfId="0" applyFont="1" applyBorder="1"/>
    <xf numFmtId="0" fontId="36" fillId="0" borderId="100" xfId="0" applyFont="1" applyBorder="1" applyAlignment="1">
      <alignment horizontal="right" wrapText="1"/>
    </xf>
    <xf numFmtId="0" fontId="36" fillId="0" borderId="54" xfId="0" applyFont="1" applyBorder="1" applyAlignment="1">
      <alignment horizontal="right" wrapText="1"/>
    </xf>
    <xf numFmtId="0" fontId="36" fillId="0" borderId="99" xfId="0" applyFont="1" applyBorder="1" applyAlignment="1">
      <alignment horizontal="right" wrapText="1"/>
    </xf>
    <xf numFmtId="0" fontId="7" fillId="0" borderId="54" xfId="0" applyFont="1" applyBorder="1"/>
    <xf numFmtId="0" fontId="7" fillId="0" borderId="94" xfId="0" applyFont="1" applyBorder="1"/>
    <xf numFmtId="0" fontId="8" fillId="6" borderId="21" xfId="0" applyFont="1" applyFill="1" applyBorder="1"/>
    <xf numFmtId="44" fontId="8" fillId="6" borderId="0" xfId="2" applyFont="1" applyFill="1" applyBorder="1" applyAlignment="1">
      <alignment horizontal="center"/>
    </xf>
    <xf numFmtId="9" fontId="8" fillId="6" borderId="0" xfId="8" applyFont="1" applyFill="1" applyBorder="1" applyAlignment="1">
      <alignment horizontal="center"/>
    </xf>
    <xf numFmtId="0" fontId="8" fillId="31" borderId="21" xfId="0" applyFont="1" applyFill="1" applyBorder="1"/>
    <xf numFmtId="44" fontId="8" fillId="31" borderId="0" xfId="2" applyFont="1" applyFill="1" applyBorder="1" applyAlignment="1">
      <alignment horizontal="center"/>
    </xf>
    <xf numFmtId="9" fontId="8" fillId="31" borderId="0" xfId="8" applyFont="1" applyFill="1" applyBorder="1" applyAlignment="1">
      <alignment horizontal="center"/>
    </xf>
    <xf numFmtId="165" fontId="0" fillId="0" borderId="0" xfId="0" applyNumberFormat="1" applyAlignment="1">
      <alignment horizontal="center"/>
    </xf>
    <xf numFmtId="0" fontId="38" fillId="0" borderId="0" xfId="0" applyFont="1" applyAlignment="1">
      <alignment horizontal="right"/>
    </xf>
    <xf numFmtId="44" fontId="38" fillId="0" borderId="0" xfId="2" applyFont="1" applyAlignment="1"/>
    <xf numFmtId="9" fontId="0" fillId="0" borderId="4" xfId="8" applyFont="1" applyBorder="1" applyAlignment="1">
      <alignment horizontal="left"/>
    </xf>
    <xf numFmtId="44" fontId="0" fillId="0" borderId="4" xfId="2" applyFont="1" applyBorder="1"/>
    <xf numFmtId="0" fontId="0" fillId="0" borderId="7" xfId="0" applyBorder="1"/>
    <xf numFmtId="0" fontId="0" fillId="0" borderId="1" xfId="0" applyBorder="1"/>
    <xf numFmtId="0" fontId="0" fillId="0" borderId="8" xfId="0" applyBorder="1"/>
    <xf numFmtId="0" fontId="0" fillId="19" borderId="7" xfId="0" applyFill="1" applyBorder="1"/>
    <xf numFmtId="0" fontId="0" fillId="19" borderId="1" xfId="0" applyFill="1" applyBorder="1"/>
    <xf numFmtId="0" fontId="0" fillId="19" borderId="8" xfId="0" applyFill="1" applyBorder="1"/>
    <xf numFmtId="0" fontId="8" fillId="5" borderId="0" xfId="0" applyFont="1" applyFill="1" applyAlignment="1">
      <alignment horizontal="center"/>
    </xf>
    <xf numFmtId="0" fontId="8" fillId="6" borderId="0" xfId="0" applyFont="1" applyFill="1" applyAlignment="1">
      <alignment horizontal="center"/>
    </xf>
    <xf numFmtId="0" fontId="8" fillId="13" borderId="0" xfId="0" applyFont="1" applyFill="1" applyAlignment="1">
      <alignment horizontal="center"/>
    </xf>
    <xf numFmtId="0" fontId="8" fillId="31" borderId="0" xfId="0" applyFont="1" applyFill="1" applyAlignment="1">
      <alignment horizontal="center"/>
    </xf>
    <xf numFmtId="0" fontId="8" fillId="21" borderId="0" xfId="0" applyFont="1" applyFill="1" applyAlignment="1">
      <alignment horizontal="center"/>
    </xf>
    <xf numFmtId="0" fontId="8" fillId="7" borderId="0" xfId="0" applyFont="1" applyFill="1" applyAlignment="1">
      <alignment horizontal="center"/>
    </xf>
    <xf numFmtId="0" fontId="8" fillId="22" borderId="0" xfId="0" applyFont="1" applyFill="1" applyAlignment="1">
      <alignment horizontal="center"/>
    </xf>
    <xf numFmtId="0" fontId="8" fillId="19" borderId="0" xfId="0" applyFont="1" applyFill="1" applyAlignment="1">
      <alignment horizontal="center"/>
    </xf>
    <xf numFmtId="0" fontId="8" fillId="23" borderId="0" xfId="0" applyFont="1" applyFill="1" applyAlignment="1">
      <alignment horizontal="center"/>
    </xf>
    <xf numFmtId="0" fontId="8" fillId="23" borderId="5" xfId="0" applyFont="1" applyFill="1" applyBorder="1" applyAlignment="1">
      <alignment horizontal="center"/>
    </xf>
    <xf numFmtId="0" fontId="8" fillId="5" borderId="91" xfId="0" applyFont="1" applyFill="1" applyBorder="1" applyAlignment="1">
      <alignment horizontal="left"/>
    </xf>
    <xf numFmtId="0" fontId="8" fillId="5" borderId="22" xfId="0" applyFont="1" applyFill="1" applyBorder="1" applyAlignment="1">
      <alignment horizontal="left"/>
    </xf>
    <xf numFmtId="0" fontId="8" fillId="6" borderId="22" xfId="0" applyFont="1" applyFill="1" applyBorder="1" applyAlignment="1">
      <alignment horizontal="left"/>
    </xf>
    <xf numFmtId="0" fontId="8" fillId="13" borderId="22" xfId="0" applyFont="1" applyFill="1" applyBorder="1" applyAlignment="1">
      <alignment horizontal="left"/>
    </xf>
    <xf numFmtId="0" fontId="8" fillId="31" borderId="22" xfId="0" applyFont="1" applyFill="1" applyBorder="1" applyAlignment="1">
      <alignment horizontal="left"/>
    </xf>
    <xf numFmtId="0" fontId="8" fillId="21" borderId="22" xfId="0" applyFont="1" applyFill="1" applyBorder="1" applyAlignment="1">
      <alignment horizontal="left"/>
    </xf>
    <xf numFmtId="0" fontId="8" fillId="7" borderId="22" xfId="0" applyFont="1" applyFill="1" applyBorder="1" applyAlignment="1">
      <alignment horizontal="left"/>
    </xf>
    <xf numFmtId="0" fontId="8" fillId="22" borderId="22" xfId="0" applyFont="1" applyFill="1" applyBorder="1" applyAlignment="1">
      <alignment horizontal="left"/>
    </xf>
    <xf numFmtId="0" fontId="8" fillId="19" borderId="22" xfId="0" applyFont="1" applyFill="1" applyBorder="1" applyAlignment="1">
      <alignment horizontal="left"/>
    </xf>
    <xf numFmtId="0" fontId="8" fillId="23" borderId="22" xfId="0" applyFont="1" applyFill="1" applyBorder="1" applyAlignment="1">
      <alignment horizontal="left"/>
    </xf>
    <xf numFmtId="0" fontId="8" fillId="23" borderId="6" xfId="0" applyFont="1" applyFill="1" applyBorder="1" applyAlignment="1">
      <alignment horizontal="left"/>
    </xf>
    <xf numFmtId="44" fontId="8" fillId="5" borderId="47" xfId="2" applyFont="1" applyFill="1" applyBorder="1" applyAlignment="1">
      <alignment horizontal="center"/>
    </xf>
    <xf numFmtId="44" fontId="8" fillId="5" borderId="31" xfId="2" applyFont="1" applyFill="1" applyBorder="1" applyAlignment="1">
      <alignment horizontal="center"/>
    </xf>
    <xf numFmtId="44" fontId="8" fillId="6" borderId="31" xfId="2" applyFont="1" applyFill="1" applyBorder="1" applyAlignment="1">
      <alignment horizontal="center"/>
    </xf>
    <xf numFmtId="44" fontId="8" fillId="13" borderId="31" xfId="2" applyFont="1" applyFill="1" applyBorder="1" applyAlignment="1">
      <alignment horizontal="center"/>
    </xf>
    <xf numFmtId="44" fontId="8" fillId="31" borderId="31" xfId="2" applyFont="1" applyFill="1" applyBorder="1" applyAlignment="1">
      <alignment horizontal="center"/>
    </xf>
    <xf numFmtId="44" fontId="8" fillId="21" borderId="31" xfId="2" applyFont="1" applyFill="1" applyBorder="1" applyAlignment="1">
      <alignment horizontal="center"/>
    </xf>
    <xf numFmtId="44" fontId="8" fillId="7" borderId="31" xfId="2" applyFont="1" applyFill="1" applyBorder="1" applyAlignment="1">
      <alignment horizontal="center"/>
    </xf>
    <xf numFmtId="44" fontId="8" fillId="22" borderId="31" xfId="2" applyFont="1" applyFill="1" applyBorder="1" applyAlignment="1">
      <alignment horizontal="center"/>
    </xf>
    <xf numFmtId="44" fontId="8" fillId="19" borderId="31" xfId="2" applyFont="1" applyFill="1" applyBorder="1" applyAlignment="1">
      <alignment horizontal="center"/>
    </xf>
    <xf numFmtId="44" fontId="8" fillId="23" borderId="31" xfId="2" applyFont="1" applyFill="1" applyBorder="1" applyAlignment="1">
      <alignment horizontal="center"/>
    </xf>
    <xf numFmtId="44" fontId="8" fillId="23" borderId="50" xfId="2" applyFont="1" applyFill="1" applyBorder="1" applyAlignment="1">
      <alignment horizontal="center"/>
    </xf>
    <xf numFmtId="44" fontId="8" fillId="5" borderId="47" xfId="0" applyNumberFormat="1" applyFont="1" applyFill="1" applyBorder="1"/>
    <xf numFmtId="44" fontId="8" fillId="5" borderId="31" xfId="0" applyNumberFormat="1" applyFont="1" applyFill="1" applyBorder="1"/>
    <xf numFmtId="44" fontId="8" fillId="6" borderId="31" xfId="0" applyNumberFormat="1" applyFont="1" applyFill="1" applyBorder="1"/>
    <xf numFmtId="44" fontId="8" fillId="13" borderId="31" xfId="0" applyNumberFormat="1" applyFont="1" applyFill="1" applyBorder="1"/>
    <xf numFmtId="44" fontId="8" fillId="31" borderId="31" xfId="0" applyNumberFormat="1" applyFont="1" applyFill="1" applyBorder="1"/>
    <xf numFmtId="44" fontId="8" fillId="21" borderId="31" xfId="0" applyNumberFormat="1" applyFont="1" applyFill="1" applyBorder="1"/>
    <xf numFmtId="44" fontId="8" fillId="7" borderId="31" xfId="0" applyNumberFormat="1" applyFont="1" applyFill="1" applyBorder="1"/>
    <xf numFmtId="44" fontId="8" fillId="22" borderId="31" xfId="0" applyNumberFormat="1" applyFont="1" applyFill="1" applyBorder="1"/>
    <xf numFmtId="44" fontId="8" fillId="19" borderId="31" xfId="0" applyNumberFormat="1" applyFont="1" applyFill="1" applyBorder="1"/>
    <xf numFmtId="44" fontId="8" fillId="23" borderId="31" xfId="0" applyNumberFormat="1" applyFont="1" applyFill="1" applyBorder="1"/>
    <xf numFmtId="44" fontId="8" fillId="23" borderId="50" xfId="0" applyNumberFormat="1" applyFont="1" applyFill="1" applyBorder="1"/>
    <xf numFmtId="44" fontId="8" fillId="5" borderId="47" xfId="2" applyFont="1" applyFill="1" applyBorder="1"/>
    <xf numFmtId="44" fontId="8" fillId="5" borderId="31" xfId="2" applyFont="1" applyFill="1" applyBorder="1"/>
    <xf numFmtId="44" fontId="8" fillId="6" borderId="31" xfId="2" applyFont="1" applyFill="1" applyBorder="1"/>
    <xf numFmtId="44" fontId="8" fillId="31" borderId="31" xfId="2" applyFont="1" applyFill="1" applyBorder="1"/>
    <xf numFmtId="44" fontId="8" fillId="21" borderId="31" xfId="2" applyFont="1" applyFill="1" applyBorder="1"/>
    <xf numFmtId="44" fontId="8" fillId="7" borderId="31" xfId="2" applyFont="1" applyFill="1" applyBorder="1"/>
    <xf numFmtId="44" fontId="8" fillId="22" borderId="31" xfId="2" applyFont="1" applyFill="1" applyBorder="1"/>
    <xf numFmtId="44" fontId="8" fillId="19" borderId="31" xfId="2" applyFont="1" applyFill="1" applyBorder="1"/>
    <xf numFmtId="44" fontId="8" fillId="23" borderId="31" xfId="2" applyFont="1" applyFill="1" applyBorder="1"/>
    <xf numFmtId="44" fontId="8" fillId="23" borderId="50" xfId="2" applyFont="1" applyFill="1" applyBorder="1"/>
    <xf numFmtId="10" fontId="0" fillId="0" borderId="5" xfId="8" applyNumberFormat="1" applyFont="1" applyBorder="1" applyAlignment="1">
      <alignment horizontal="center"/>
    </xf>
    <xf numFmtId="10" fontId="0" fillId="0" borderId="0" xfId="8" applyNumberFormat="1" applyFont="1" applyBorder="1" applyAlignment="1">
      <alignment horizontal="center"/>
    </xf>
    <xf numFmtId="10" fontId="0" fillId="0" borderId="22" xfId="8" applyNumberFormat="1" applyFont="1" applyBorder="1" applyAlignment="1">
      <alignment horizontal="right"/>
    </xf>
    <xf numFmtId="10" fontId="0" fillId="0" borderId="22" xfId="8" applyNumberFormat="1" applyFont="1" applyBorder="1"/>
    <xf numFmtId="0" fontId="18" fillId="0" borderId="14" xfId="0" applyFont="1" applyBorder="1" applyAlignment="1">
      <alignment wrapText="1"/>
    </xf>
    <xf numFmtId="0" fontId="8" fillId="0" borderId="88" xfId="0" applyFont="1" applyBorder="1"/>
    <xf numFmtId="0" fontId="0" fillId="0" borderId="69" xfId="0" applyBorder="1"/>
    <xf numFmtId="0" fontId="0" fillId="0" borderId="37" xfId="0" applyBorder="1"/>
    <xf numFmtId="168" fontId="0" fillId="0" borderId="46" xfId="0" applyNumberFormat="1" applyBorder="1"/>
    <xf numFmtId="168" fontId="0" fillId="0" borderId="122" xfId="2" applyNumberFormat="1" applyFont="1" applyBorder="1"/>
    <xf numFmtId="165" fontId="15" fillId="13" borderId="47" xfId="5" applyNumberFormat="1" applyFont="1" applyFill="1" applyBorder="1" applyAlignment="1">
      <alignment horizontal="center" vertical="center" wrapText="1"/>
    </xf>
    <xf numFmtId="165" fontId="15" fillId="13" borderId="46" xfId="5" applyNumberFormat="1" applyFont="1" applyFill="1" applyBorder="1" applyAlignment="1">
      <alignment horizontal="center" vertical="center" wrapText="1"/>
    </xf>
    <xf numFmtId="0" fontId="15" fillId="13" borderId="57" xfId="5" applyFont="1" applyFill="1" applyBorder="1" applyAlignment="1">
      <alignment horizontal="left" vertical="center" wrapText="1"/>
    </xf>
    <xf numFmtId="0" fontId="15" fillId="13" borderId="47" xfId="5" applyFont="1" applyFill="1" applyBorder="1" applyAlignment="1">
      <alignment horizontal="left" vertical="center" wrapText="1"/>
    </xf>
    <xf numFmtId="43" fontId="54" fillId="0" borderId="0" xfId="3" applyFont="1" applyFill="1" applyAlignment="1">
      <alignment wrapText="1"/>
    </xf>
    <xf numFmtId="0" fontId="54" fillId="0" borderId="0" xfId="0" applyFont="1" applyAlignment="1">
      <alignment wrapText="1"/>
    </xf>
    <xf numFmtId="165" fontId="17" fillId="13" borderId="9" xfId="5" applyNumberFormat="1" applyFont="1" applyFill="1" applyBorder="1" applyAlignment="1">
      <alignment horizontal="center" vertical="center" wrapText="1"/>
    </xf>
    <xf numFmtId="165" fontId="17" fillId="13" borderId="25" xfId="5" applyNumberFormat="1" applyFont="1" applyFill="1" applyBorder="1" applyAlignment="1">
      <alignment horizontal="center" vertical="center" wrapText="1"/>
    </xf>
    <xf numFmtId="0" fontId="0" fillId="29" borderId="0" xfId="0" applyFill="1"/>
    <xf numFmtId="0" fontId="0" fillId="6" borderId="0" xfId="0" applyFill="1" applyAlignment="1">
      <alignment horizontal="center"/>
    </xf>
    <xf numFmtId="0" fontId="0" fillId="17" borderId="94" xfId="0" applyFill="1" applyBorder="1" applyAlignment="1">
      <alignment horizontal="center" vertical="center" wrapText="1"/>
    </xf>
    <xf numFmtId="0" fontId="0" fillId="17" borderId="20" xfId="0" applyFill="1" applyBorder="1" applyAlignment="1">
      <alignment horizontal="center" wrapText="1"/>
    </xf>
    <xf numFmtId="0" fontId="0" fillId="14" borderId="94" xfId="0" applyFill="1" applyBorder="1" applyAlignment="1">
      <alignment horizontal="center" wrapText="1"/>
    </xf>
    <xf numFmtId="0" fontId="0" fillId="28" borderId="42" xfId="0" applyFill="1" applyBorder="1" applyAlignment="1">
      <alignment horizontal="center"/>
    </xf>
    <xf numFmtId="0" fontId="0" fillId="28" borderId="54" xfId="0" applyFill="1" applyBorder="1" applyAlignment="1">
      <alignment horizontal="center"/>
    </xf>
    <xf numFmtId="0" fontId="0" fillId="28" borderId="54" xfId="0" applyFill="1" applyBorder="1" applyAlignment="1">
      <alignment horizontal="right"/>
    </xf>
    <xf numFmtId="0" fontId="0" fillId="0" borderId="65" xfId="0" applyBorder="1"/>
    <xf numFmtId="0" fontId="0" fillId="0" borderId="59" xfId="0" applyBorder="1"/>
    <xf numFmtId="0" fontId="0" fillId="9" borderId="108" xfId="0" applyFill="1" applyBorder="1" applyAlignment="1">
      <alignment horizontal="right"/>
    </xf>
    <xf numFmtId="0" fontId="0" fillId="9" borderId="48" xfId="0" applyFill="1" applyBorder="1" applyAlignment="1">
      <alignment horizontal="right"/>
    </xf>
    <xf numFmtId="0" fontId="0" fillId="16" borderId="15" xfId="0" applyFill="1" applyBorder="1" applyAlignment="1">
      <alignment horizontal="right"/>
    </xf>
    <xf numFmtId="0" fontId="0" fillId="16" borderId="17" xfId="0" applyFill="1" applyBorder="1" applyAlignment="1">
      <alignment horizontal="right"/>
    </xf>
    <xf numFmtId="44" fontId="0" fillId="9" borderId="34" xfId="2" applyFont="1" applyFill="1" applyBorder="1"/>
    <xf numFmtId="44" fontId="0" fillId="13" borderId="37" xfId="2" applyFont="1" applyFill="1" applyBorder="1"/>
    <xf numFmtId="0" fontId="0" fillId="13" borderId="49" xfId="0" applyFill="1" applyBorder="1" applyAlignment="1">
      <alignment horizontal="right"/>
    </xf>
    <xf numFmtId="168" fontId="26" fillId="0" borderId="115" xfId="3" applyNumberFormat="1" applyFont="1" applyBorder="1" applyAlignment="1">
      <alignment horizontal="right"/>
    </xf>
    <xf numFmtId="168" fontId="26" fillId="0" borderId="80" xfId="3" applyNumberFormat="1" applyFont="1" applyFill="1" applyBorder="1" applyAlignment="1">
      <alignment horizontal="right"/>
    </xf>
    <xf numFmtId="168" fontId="26" fillId="12" borderId="75" xfId="3" applyNumberFormat="1" applyFont="1" applyFill="1" applyBorder="1" applyAlignment="1">
      <alignment horizontal="right"/>
    </xf>
    <xf numFmtId="168" fontId="26" fillId="0" borderId="127" xfId="3" applyNumberFormat="1" applyFont="1" applyBorder="1" applyAlignment="1">
      <alignment horizontal="right"/>
    </xf>
    <xf numFmtId="168" fontId="26" fillId="0" borderId="44" xfId="3" applyNumberFormat="1" applyFont="1" applyBorder="1" applyAlignment="1">
      <alignment horizontal="right"/>
    </xf>
    <xf numFmtId="0" fontId="8" fillId="0" borderId="128" xfId="0" applyFont="1" applyBorder="1"/>
    <xf numFmtId="168" fontId="8" fillId="0" borderId="122" xfId="2" applyNumberFormat="1" applyFont="1" applyBorder="1"/>
    <xf numFmtId="0" fontId="3" fillId="0" borderId="0" xfId="1" applyNumberFormat="1" applyFont="1" applyFill="1" applyAlignment="1">
      <alignment horizontal="left"/>
    </xf>
    <xf numFmtId="43" fontId="2" fillId="3" borderId="0" xfId="1" applyFont="1" applyFill="1" applyAlignment="1">
      <alignment horizontal="left" wrapText="1"/>
    </xf>
    <xf numFmtId="43" fontId="3" fillId="0" borderId="0" xfId="1" applyFont="1" applyFill="1" applyAlignment="1">
      <alignment horizontal="left"/>
    </xf>
    <xf numFmtId="43" fontId="3" fillId="0" borderId="0" xfId="1" applyFont="1" applyFill="1" applyAlignment="1">
      <alignment horizontal="left" wrapText="1"/>
    </xf>
    <xf numFmtId="43" fontId="2" fillId="6" borderId="1" xfId="1" applyFont="1" applyFill="1" applyBorder="1" applyAlignment="1">
      <alignment horizontal="left"/>
    </xf>
    <xf numFmtId="0" fontId="4" fillId="0" borderId="0" xfId="0" applyFont="1" applyAlignment="1">
      <alignment horizontal="left"/>
    </xf>
    <xf numFmtId="43" fontId="2" fillId="0" borderId="2" xfId="1" applyFont="1" applyFill="1" applyBorder="1" applyAlignment="1">
      <alignment horizontal="left"/>
    </xf>
    <xf numFmtId="43" fontId="2" fillId="0" borderId="0" xfId="1" applyFont="1" applyFill="1" applyAlignment="1">
      <alignment horizontal="left"/>
    </xf>
    <xf numFmtId="43" fontId="2" fillId="5" borderId="1" xfId="1" applyFont="1" applyFill="1" applyBorder="1" applyAlignment="1">
      <alignment horizontal="left"/>
    </xf>
    <xf numFmtId="0" fontId="10" fillId="0" borderId="11" xfId="7" applyFont="1" applyBorder="1" applyAlignment="1">
      <alignment horizontal="left"/>
    </xf>
    <xf numFmtId="0" fontId="10" fillId="0" borderId="0" xfId="7" applyFont="1" applyAlignment="1">
      <alignment horizontal="left"/>
    </xf>
    <xf numFmtId="0" fontId="13" fillId="0" borderId="16" xfId="7" applyFont="1" applyBorder="1" applyAlignment="1">
      <alignment horizontal="left"/>
    </xf>
    <xf numFmtId="0" fontId="0" fillId="9" borderId="35" xfId="0" applyFill="1" applyBorder="1" applyAlignment="1">
      <alignment horizontal="right"/>
    </xf>
    <xf numFmtId="44" fontId="0" fillId="9" borderId="37" xfId="0" applyNumberFormat="1" applyFill="1" applyBorder="1"/>
    <xf numFmtId="168" fontId="0" fillId="16" borderId="79" xfId="0" applyNumberFormat="1" applyFill="1" applyBorder="1" applyAlignment="1">
      <alignment horizontal="right"/>
    </xf>
    <xf numFmtId="168" fontId="26" fillId="16" borderId="81" xfId="3" applyNumberFormat="1" applyFont="1" applyFill="1" applyBorder="1" applyAlignment="1">
      <alignment horizontal="right"/>
    </xf>
    <xf numFmtId="168" fontId="0" fillId="16" borderId="83" xfId="1" applyNumberFormat="1" applyFont="1" applyFill="1" applyBorder="1" applyAlignment="1">
      <alignment horizontal="right"/>
    </xf>
    <xf numFmtId="0" fontId="0" fillId="32" borderId="15" xfId="0" applyFill="1" applyBorder="1" applyAlignment="1">
      <alignment horizontal="right"/>
    </xf>
    <xf numFmtId="168" fontId="0" fillId="32" borderId="35" xfId="0" applyNumberFormat="1" applyFill="1" applyBorder="1" applyAlignment="1">
      <alignment horizontal="center"/>
    </xf>
    <xf numFmtId="168" fontId="0" fillId="32" borderId="37" xfId="0" applyNumberFormat="1" applyFill="1" applyBorder="1" applyAlignment="1">
      <alignment horizontal="right"/>
    </xf>
    <xf numFmtId="168" fontId="52" fillId="32" borderId="105" xfId="2" applyNumberFormat="1" applyFont="1" applyFill="1" applyBorder="1"/>
    <xf numFmtId="168" fontId="0" fillId="32" borderId="49" xfId="0" applyNumberFormat="1" applyFill="1" applyBorder="1"/>
    <xf numFmtId="168" fontId="0" fillId="32" borderId="83" xfId="1" applyNumberFormat="1" applyFont="1" applyFill="1" applyBorder="1" applyAlignment="1">
      <alignment horizontal="right"/>
    </xf>
    <xf numFmtId="168" fontId="0" fillId="32" borderId="76" xfId="0" applyNumberFormat="1" applyFill="1" applyBorder="1" applyAlignment="1">
      <alignment horizontal="right"/>
    </xf>
    <xf numFmtId="168" fontId="0" fillId="32" borderId="76" xfId="0" applyNumberFormat="1" applyFill="1" applyBorder="1" applyAlignment="1">
      <alignment horizontal="right" vertical="center"/>
    </xf>
    <xf numFmtId="42" fontId="0" fillId="32" borderId="76" xfId="0" applyNumberFormat="1" applyFill="1" applyBorder="1" applyAlignment="1">
      <alignment horizontal="right"/>
    </xf>
    <xf numFmtId="168" fontId="0" fillId="32" borderId="111" xfId="0" applyNumberFormat="1" applyFill="1" applyBorder="1"/>
    <xf numFmtId="0" fontId="0" fillId="32" borderId="69" xfId="0" applyFill="1" applyBorder="1"/>
    <xf numFmtId="168" fontId="0" fillId="32" borderId="38" xfId="0" applyNumberFormat="1" applyFill="1" applyBorder="1"/>
    <xf numFmtId="0" fontId="0" fillId="11" borderId="110" xfId="0" applyFill="1" applyBorder="1" applyAlignment="1">
      <alignment horizontal="right"/>
    </xf>
    <xf numFmtId="44" fontId="0" fillId="11" borderId="69" xfId="1" applyNumberFormat="1" applyFont="1" applyFill="1" applyBorder="1" applyAlignment="1">
      <alignment horizontal="right"/>
    </xf>
    <xf numFmtId="0" fontId="0" fillId="11" borderId="33" xfId="0" applyFill="1" applyBorder="1" applyAlignment="1">
      <alignment horizontal="right"/>
    </xf>
    <xf numFmtId="44" fontId="0" fillId="11" borderId="34" xfId="1" applyNumberFormat="1" applyFont="1" applyFill="1" applyBorder="1" applyAlignment="1">
      <alignment horizontal="right"/>
    </xf>
    <xf numFmtId="0" fontId="0" fillId="11" borderId="36" xfId="0" applyFill="1" applyBorder="1" applyAlignment="1">
      <alignment horizontal="right"/>
    </xf>
    <xf numFmtId="0" fontId="0" fillId="11" borderId="35" xfId="0" applyFill="1" applyBorder="1" applyAlignment="1">
      <alignment horizontal="right"/>
    </xf>
    <xf numFmtId="44" fontId="0" fillId="11" borderId="37" xfId="0" applyNumberFormat="1" applyFill="1" applyBorder="1"/>
    <xf numFmtId="0" fontId="0" fillId="11" borderId="109" xfId="0" applyFill="1" applyBorder="1" applyAlignment="1">
      <alignment horizontal="right"/>
    </xf>
    <xf numFmtId="0" fontId="0" fillId="11" borderId="19" xfId="0" applyFill="1" applyBorder="1" applyAlignment="1">
      <alignment horizontal="center"/>
    </xf>
    <xf numFmtId="0" fontId="0" fillId="11" borderId="18" xfId="0" applyFill="1" applyBorder="1" applyAlignment="1">
      <alignment horizontal="center"/>
    </xf>
    <xf numFmtId="168" fontId="27" fillId="11" borderId="114" xfId="1" applyNumberFormat="1" applyFont="1" applyFill="1" applyBorder="1" applyAlignment="1"/>
    <xf numFmtId="0" fontId="0" fillId="11" borderId="113" xfId="0" applyFill="1" applyBorder="1"/>
    <xf numFmtId="168" fontId="0" fillId="16" borderId="68" xfId="0" applyNumberFormat="1" applyFill="1" applyBorder="1" applyAlignment="1">
      <alignment horizontal="right"/>
    </xf>
    <xf numFmtId="168" fontId="0" fillId="16" borderId="69" xfId="0" applyNumberFormat="1" applyFill="1" applyBorder="1" applyAlignment="1">
      <alignment horizontal="right"/>
    </xf>
    <xf numFmtId="168" fontId="0" fillId="16" borderId="39" xfId="0" applyNumberFormat="1" applyFill="1" applyBorder="1" applyAlignment="1">
      <alignment horizontal="right"/>
    </xf>
    <xf numFmtId="168" fontId="0" fillId="16" borderId="41" xfId="0" applyNumberFormat="1" applyFill="1" applyBorder="1" applyAlignment="1">
      <alignment horizontal="right"/>
    </xf>
    <xf numFmtId="168" fontId="27" fillId="9" borderId="71" xfId="0" applyNumberFormat="1" applyFont="1" applyFill="1" applyBorder="1"/>
    <xf numFmtId="168" fontId="27" fillId="9" borderId="72" xfId="0" applyNumberFormat="1" applyFont="1" applyFill="1" applyBorder="1"/>
    <xf numFmtId="44" fontId="0" fillId="0" borderId="0" xfId="2" applyFont="1" applyAlignment="1"/>
    <xf numFmtId="165" fontId="0" fillId="0" borderId="91" xfId="0" applyNumberFormat="1" applyBorder="1" applyAlignment="1">
      <alignment horizontal="center"/>
    </xf>
    <xf numFmtId="165" fontId="0" fillId="0" borderId="22" xfId="0" applyNumberFormat="1" applyBorder="1" applyAlignment="1">
      <alignment horizontal="center"/>
    </xf>
    <xf numFmtId="165" fontId="0" fillId="0" borderId="6" xfId="0" applyNumberFormat="1" applyBorder="1" applyAlignment="1">
      <alignment horizontal="center"/>
    </xf>
    <xf numFmtId="44" fontId="0" fillId="0" borderId="31" xfId="2" applyFont="1" applyBorder="1" applyAlignment="1"/>
    <xf numFmtId="44" fontId="0" fillId="0" borderId="50" xfId="2" applyFont="1" applyBorder="1" applyAlignment="1"/>
    <xf numFmtId="165" fontId="0" fillId="0" borderId="47" xfId="0" applyNumberFormat="1" applyBorder="1" applyAlignment="1">
      <alignment horizontal="center"/>
    </xf>
    <xf numFmtId="165" fontId="0" fillId="0" borderId="31" xfId="0" applyNumberFormat="1" applyBorder="1" applyAlignment="1">
      <alignment horizontal="center"/>
    </xf>
    <xf numFmtId="165" fontId="0" fillId="0" borderId="50" xfId="0" applyNumberFormat="1" applyBorder="1" applyAlignment="1">
      <alignment horizontal="center"/>
    </xf>
    <xf numFmtId="165" fontId="7" fillId="0" borderId="9" xfId="2" applyNumberFormat="1" applyFont="1" applyBorder="1" applyAlignment="1">
      <alignment horizontal="center"/>
    </xf>
    <xf numFmtId="0" fontId="0" fillId="0" borderId="2" xfId="0" applyBorder="1" applyAlignment="1">
      <alignment horizontal="center"/>
    </xf>
    <xf numFmtId="0" fontId="0" fillId="29" borderId="9" xfId="0" applyFill="1" applyBorder="1" applyAlignment="1">
      <alignment horizontal="center"/>
    </xf>
    <xf numFmtId="165" fontId="7" fillId="0" borderId="9" xfId="0" applyNumberFormat="1" applyFont="1" applyBorder="1" applyAlignment="1">
      <alignment horizontal="center"/>
    </xf>
    <xf numFmtId="0" fontId="0" fillId="0" borderId="22" xfId="0" applyBorder="1" applyAlignment="1">
      <alignment horizontal="center"/>
    </xf>
    <xf numFmtId="0" fontId="0" fillId="24" borderId="7" xfId="0" applyFill="1" applyBorder="1"/>
    <xf numFmtId="44" fontId="0" fillId="24" borderId="8" xfId="2" applyFont="1" applyFill="1" applyBorder="1" applyAlignment="1"/>
    <xf numFmtId="165" fontId="0" fillId="29" borderId="9" xfId="0" applyNumberFormat="1" applyFill="1" applyBorder="1" applyAlignment="1">
      <alignment horizontal="center"/>
    </xf>
    <xf numFmtId="165" fontId="0" fillId="16" borderId="9" xfId="0" applyNumberFormat="1" applyFill="1" applyBorder="1" applyAlignment="1">
      <alignment horizontal="center"/>
    </xf>
    <xf numFmtId="0" fontId="0" fillId="9" borderId="42" xfId="0" applyFill="1" applyBorder="1"/>
    <xf numFmtId="44" fontId="0" fillId="9" borderId="91" xfId="2" applyFont="1" applyFill="1" applyBorder="1" applyAlignment="1"/>
    <xf numFmtId="44" fontId="0" fillId="0" borderId="47" xfId="2" applyFont="1" applyBorder="1" applyAlignment="1"/>
    <xf numFmtId="0" fontId="0" fillId="29" borderId="4" xfId="0" applyFill="1" applyBorder="1" applyAlignment="1">
      <alignment horizontal="center"/>
    </xf>
    <xf numFmtId="44" fontId="0" fillId="29" borderId="50" xfId="2" applyFont="1" applyFill="1" applyBorder="1" applyAlignment="1">
      <alignment horizontal="center"/>
    </xf>
    <xf numFmtId="0" fontId="7" fillId="0" borderId="7" xfId="0" applyFont="1" applyBorder="1" applyAlignment="1">
      <alignment horizontal="center"/>
    </xf>
    <xf numFmtId="0" fontId="7" fillId="0" borderId="9" xfId="2" applyNumberFormat="1" applyFont="1" applyBorder="1" applyAlignment="1">
      <alignment horizontal="center"/>
    </xf>
    <xf numFmtId="0" fontId="0" fillId="16" borderId="7" xfId="0" applyFill="1" applyBorder="1" applyAlignment="1">
      <alignment horizontal="center"/>
    </xf>
    <xf numFmtId="44" fontId="0" fillId="16" borderId="9" xfId="2" applyFont="1" applyFill="1" applyBorder="1" applyAlignment="1">
      <alignment horizontal="center"/>
    </xf>
    <xf numFmtId="0" fontId="0" fillId="11" borderId="7" xfId="0" applyFill="1" applyBorder="1"/>
    <xf numFmtId="44" fontId="0" fillId="11" borderId="8" xfId="2" applyFont="1" applyFill="1" applyBorder="1" applyAlignment="1"/>
    <xf numFmtId="165" fontId="0" fillId="32" borderId="9" xfId="0" applyNumberFormat="1" applyFill="1" applyBorder="1" applyAlignment="1">
      <alignment horizontal="center"/>
    </xf>
    <xf numFmtId="0" fontId="0" fillId="32" borderId="7" xfId="0" applyFill="1" applyBorder="1" applyAlignment="1">
      <alignment horizontal="center"/>
    </xf>
    <xf numFmtId="44" fontId="0" fillId="32" borderId="9" xfId="2" applyFont="1" applyFill="1" applyBorder="1" applyAlignment="1">
      <alignment horizontal="center"/>
    </xf>
    <xf numFmtId="0" fontId="7" fillId="0" borderId="9" xfId="0" applyFont="1" applyBorder="1" applyAlignment="1">
      <alignment horizontal="center"/>
    </xf>
    <xf numFmtId="1" fontId="0" fillId="0" borderId="42" xfId="2" applyNumberFormat="1" applyFont="1" applyBorder="1" applyAlignment="1">
      <alignment horizontal="center"/>
    </xf>
    <xf numFmtId="1" fontId="0" fillId="0" borderId="91" xfId="0" applyNumberFormat="1" applyBorder="1" applyAlignment="1">
      <alignment horizontal="center"/>
    </xf>
    <xf numFmtId="1" fontId="0" fillId="0" borderId="21" xfId="2" applyNumberFormat="1" applyFont="1" applyBorder="1" applyAlignment="1">
      <alignment horizontal="center"/>
    </xf>
    <xf numFmtId="0" fontId="0" fillId="0" borderId="47" xfId="0" applyBorder="1" applyAlignment="1">
      <alignment horizontal="center"/>
    </xf>
    <xf numFmtId="0" fontId="0" fillId="0" borderId="31" xfId="0" applyBorder="1" applyAlignment="1">
      <alignment horizontal="center"/>
    </xf>
    <xf numFmtId="165" fontId="0" fillId="0" borderId="42" xfId="2" applyNumberFormat="1" applyFont="1" applyBorder="1" applyAlignment="1">
      <alignment horizontal="center"/>
    </xf>
    <xf numFmtId="165" fontId="0" fillId="0" borderId="21" xfId="2" applyNumberFormat="1" applyFont="1" applyBorder="1" applyAlignment="1">
      <alignment horizontal="center"/>
    </xf>
    <xf numFmtId="165" fontId="0" fillId="0" borderId="4" xfId="2" applyNumberFormat="1" applyFont="1" applyBorder="1" applyAlignment="1">
      <alignment horizontal="center"/>
    </xf>
    <xf numFmtId="0" fontId="0" fillId="14" borderId="9" xfId="0" applyFill="1" applyBorder="1" applyAlignment="1">
      <alignment horizontal="center"/>
    </xf>
    <xf numFmtId="1" fontId="0" fillId="0" borderId="47" xfId="0" applyNumberFormat="1" applyBorder="1" applyAlignment="1">
      <alignment horizontal="center"/>
    </xf>
    <xf numFmtId="1" fontId="0" fillId="0" borderId="31" xfId="0" applyNumberFormat="1" applyBorder="1" applyAlignment="1">
      <alignment horizontal="center"/>
    </xf>
    <xf numFmtId="1" fontId="0" fillId="0" borderId="22" xfId="0" applyNumberFormat="1" applyBorder="1" applyAlignment="1">
      <alignment horizontal="center"/>
    </xf>
    <xf numFmtId="0" fontId="0" fillId="0" borderId="42" xfId="2" applyNumberFormat="1" applyFont="1" applyBorder="1" applyAlignment="1">
      <alignment horizontal="center"/>
    </xf>
    <xf numFmtId="0" fontId="0" fillId="0" borderId="91" xfId="0" applyBorder="1" applyAlignment="1">
      <alignment horizontal="center"/>
    </xf>
    <xf numFmtId="0" fontId="0" fillId="0" borderId="21" xfId="2" applyNumberFormat="1" applyFont="1" applyBorder="1" applyAlignment="1">
      <alignment horizontal="center"/>
    </xf>
    <xf numFmtId="0" fontId="0" fillId="14" borderId="8" xfId="0" applyFill="1" applyBorder="1" applyAlignment="1">
      <alignment horizontal="center"/>
    </xf>
    <xf numFmtId="0" fontId="0" fillId="16" borderId="9" xfId="0" applyFill="1" applyBorder="1" applyAlignment="1">
      <alignment horizontal="center"/>
    </xf>
    <xf numFmtId="44" fontId="0" fillId="33" borderId="7" xfId="2" applyFont="1" applyFill="1" applyBorder="1" applyAlignment="1">
      <alignment horizontal="center"/>
    </xf>
    <xf numFmtId="165" fontId="0" fillId="0" borderId="2" xfId="0" applyNumberFormat="1" applyBorder="1" applyAlignment="1">
      <alignment horizontal="center"/>
    </xf>
    <xf numFmtId="165" fontId="7" fillId="0" borderId="21" xfId="2" applyNumberFormat="1" applyFont="1" applyBorder="1" applyAlignment="1">
      <alignment horizontal="center"/>
    </xf>
    <xf numFmtId="165" fontId="7" fillId="0" borderId="31" xfId="0" applyNumberFormat="1" applyFont="1" applyBorder="1" applyAlignment="1">
      <alignment horizontal="center"/>
    </xf>
    <xf numFmtId="165" fontId="7" fillId="0" borderId="22" xfId="0" applyNumberFormat="1" applyFont="1" applyBorder="1" applyAlignment="1">
      <alignment horizontal="center"/>
    </xf>
    <xf numFmtId="165" fontId="7" fillId="0" borderId="4" xfId="2" applyNumberFormat="1" applyFont="1" applyBorder="1" applyAlignment="1">
      <alignment horizontal="center"/>
    </xf>
    <xf numFmtId="165" fontId="7" fillId="0" borderId="50" xfId="0" applyNumberFormat="1" applyFont="1" applyBorder="1" applyAlignment="1">
      <alignment horizontal="center"/>
    </xf>
    <xf numFmtId="165" fontId="7" fillId="0" borderId="6" xfId="0" applyNumberFormat="1" applyFont="1" applyBorder="1" applyAlignment="1">
      <alignment horizontal="center"/>
    </xf>
    <xf numFmtId="165" fontId="0" fillId="0" borderId="42" xfId="0" applyNumberFormat="1" applyBorder="1" applyAlignment="1">
      <alignment horizontal="center"/>
    </xf>
    <xf numFmtId="9" fontId="30" fillId="13" borderId="78" xfId="0" applyNumberFormat="1" applyFont="1" applyFill="1" applyBorder="1" applyAlignment="1">
      <alignment horizontal="left"/>
    </xf>
    <xf numFmtId="0" fontId="54" fillId="0" borderId="78" xfId="0" applyFont="1" applyBorder="1" applyAlignment="1">
      <alignment wrapText="1"/>
    </xf>
    <xf numFmtId="43" fontId="3" fillId="0" borderId="0" xfId="1" applyFont="1" applyFill="1" applyBorder="1" applyAlignment="1">
      <alignment horizontal="left"/>
    </xf>
    <xf numFmtId="0" fontId="56" fillId="0" borderId="2" xfId="0" applyFont="1" applyBorder="1" applyAlignment="1">
      <alignment horizontal="left"/>
    </xf>
    <xf numFmtId="0" fontId="13" fillId="0" borderId="10" xfId="7" applyFont="1" applyBorder="1" applyAlignment="1">
      <alignment horizontal="left"/>
    </xf>
    <xf numFmtId="0" fontId="15" fillId="0" borderId="13" xfId="7" applyFont="1" applyBorder="1" applyAlignment="1">
      <alignment horizontal="left"/>
    </xf>
    <xf numFmtId="0" fontId="15" fillId="0" borderId="15" xfId="7" applyFont="1" applyBorder="1" applyAlignment="1">
      <alignment horizontal="left"/>
    </xf>
    <xf numFmtId="0" fontId="30" fillId="0" borderId="62" xfId="0" applyFont="1" applyBorder="1"/>
    <xf numFmtId="0" fontId="54" fillId="0" borderId="12" xfId="0" applyFont="1" applyBorder="1" applyAlignment="1">
      <alignment vertical="center" wrapText="1"/>
    </xf>
    <xf numFmtId="9" fontId="18" fillId="0" borderId="78" xfId="0" applyNumberFormat="1" applyFont="1" applyBorder="1" applyAlignment="1">
      <alignment horizontal="left" vertical="center" wrapText="1"/>
    </xf>
    <xf numFmtId="0" fontId="30" fillId="13" borderId="77" xfId="0" applyFont="1" applyFill="1" applyBorder="1" applyAlignment="1">
      <alignment wrapText="1"/>
    </xf>
    <xf numFmtId="0" fontId="9" fillId="13" borderId="0" xfId="0" applyFont="1" applyFill="1" applyAlignment="1">
      <alignment horizontal="center"/>
    </xf>
    <xf numFmtId="10" fontId="9" fillId="13" borderId="0" xfId="0" applyNumberFormat="1" applyFont="1" applyFill="1"/>
    <xf numFmtId="165" fontId="0" fillId="0" borderId="13" xfId="0" applyNumberFormat="1" applyBorder="1"/>
    <xf numFmtId="165" fontId="0" fillId="0" borderId="10" xfId="0" applyNumberFormat="1" applyBorder="1"/>
    <xf numFmtId="165" fontId="0" fillId="0" borderId="15" xfId="0" applyNumberFormat="1" applyBorder="1"/>
    <xf numFmtId="0" fontId="0" fillId="6" borderId="18" xfId="0" applyFill="1" applyBorder="1"/>
    <xf numFmtId="0" fontId="8" fillId="11" borderId="99" xfId="0" applyFont="1" applyFill="1" applyBorder="1"/>
    <xf numFmtId="0" fontId="44" fillId="0" borderId="100" xfId="0" applyFont="1" applyBorder="1" applyAlignment="1">
      <alignment vertical="center" wrapText="1"/>
    </xf>
    <xf numFmtId="0" fontId="38" fillId="0" borderId="100" xfId="0" applyFont="1" applyBorder="1" applyAlignment="1">
      <alignment horizontal="left" wrapText="1"/>
    </xf>
    <xf numFmtId="0" fontId="38" fillId="0" borderId="54" xfId="0" applyFont="1" applyBorder="1" applyAlignment="1">
      <alignment horizontal="left" wrapText="1"/>
    </xf>
    <xf numFmtId="0" fontId="44" fillId="0" borderId="99" xfId="0" applyFont="1" applyBorder="1" applyAlignment="1">
      <alignment vertical="center" wrapText="1"/>
    </xf>
    <xf numFmtId="0" fontId="44" fillId="0" borderId="54" xfId="0" applyFont="1" applyBorder="1" applyAlignment="1">
      <alignment vertical="center" wrapText="1"/>
    </xf>
    <xf numFmtId="0" fontId="38" fillId="0" borderId="94" xfId="0" applyFont="1" applyBorder="1"/>
    <xf numFmtId="0" fontId="38" fillId="0" borderId="99" xfId="0" applyFont="1" applyBorder="1" applyAlignment="1">
      <alignment horizontal="left" wrapText="1"/>
    </xf>
    <xf numFmtId="0" fontId="2" fillId="9" borderId="0" xfId="1" applyNumberFormat="1" applyFont="1" applyFill="1" applyAlignment="1">
      <alignment horizontal="left"/>
    </xf>
    <xf numFmtId="164" fontId="2" fillId="9" borderId="0" xfId="1" applyNumberFormat="1" applyFont="1" applyFill="1" applyAlignment="1">
      <alignment horizontal="left" vertical="center"/>
    </xf>
    <xf numFmtId="0" fontId="2" fillId="11" borderId="0" xfId="1" applyNumberFormat="1" applyFont="1" applyFill="1" applyAlignment="1">
      <alignment horizontal="left"/>
    </xf>
    <xf numFmtId="164" fontId="2" fillId="11" borderId="0" xfId="1" applyNumberFormat="1" applyFont="1" applyFill="1" applyAlignment="1">
      <alignment horizontal="left" vertical="center"/>
    </xf>
    <xf numFmtId="167" fontId="5" fillId="0" borderId="3" xfId="1" applyNumberFormat="1" applyFont="1" applyFill="1" applyBorder="1"/>
    <xf numFmtId="167" fontId="5" fillId="5" borderId="1" xfId="1" applyNumberFormat="1" applyFont="1" applyFill="1" applyBorder="1"/>
    <xf numFmtId="0" fontId="4" fillId="0" borderId="0" xfId="1" applyNumberFormat="1" applyFont="1" applyFill="1" applyBorder="1" applyAlignment="1">
      <alignment horizontal="left"/>
    </xf>
    <xf numFmtId="168" fontId="0" fillId="16" borderId="83" xfId="0" applyNumberFormat="1" applyFill="1" applyBorder="1"/>
    <xf numFmtId="168" fontId="0" fillId="32" borderId="83" xfId="0" applyNumberFormat="1" applyFill="1" applyBorder="1" applyAlignment="1">
      <alignment horizontal="center"/>
    </xf>
    <xf numFmtId="0" fontId="60" fillId="0" borderId="2" xfId="0" applyFont="1" applyBorder="1" applyAlignment="1">
      <alignment horizontal="left"/>
    </xf>
    <xf numFmtId="0" fontId="0" fillId="9" borderId="39" xfId="0" applyFill="1" applyBorder="1" applyAlignment="1">
      <alignment horizontal="right"/>
    </xf>
    <xf numFmtId="44" fontId="0" fillId="9" borderId="41" xfId="0" applyNumberFormat="1" applyFill="1" applyBorder="1"/>
    <xf numFmtId="0" fontId="0" fillId="11" borderId="40" xfId="0" applyFill="1" applyBorder="1" applyAlignment="1">
      <alignment horizontal="right"/>
    </xf>
    <xf numFmtId="44" fontId="0" fillId="11" borderId="41" xfId="0" applyNumberFormat="1" applyFill="1" applyBorder="1"/>
    <xf numFmtId="0" fontId="0" fillId="0" borderId="32" xfId="0" applyBorder="1" applyAlignment="1">
      <alignment horizontal="right"/>
    </xf>
    <xf numFmtId="0" fontId="0" fillId="0" borderId="28" xfId="0" applyBorder="1" applyAlignment="1">
      <alignment horizontal="right"/>
    </xf>
    <xf numFmtId="0" fontId="0" fillId="0" borderId="38" xfId="0" applyBorder="1" applyAlignment="1">
      <alignment horizontal="right"/>
    </xf>
    <xf numFmtId="0" fontId="26" fillId="0" borderId="38" xfId="3" applyNumberFormat="1" applyFont="1" applyBorder="1" applyAlignment="1">
      <alignment horizontal="right"/>
    </xf>
    <xf numFmtId="9" fontId="30" fillId="13" borderId="89" xfId="0" applyNumberFormat="1" applyFont="1" applyFill="1" applyBorder="1" applyAlignment="1">
      <alignment horizontal="left"/>
    </xf>
    <xf numFmtId="0" fontId="30" fillId="13" borderId="89" xfId="0" applyFont="1" applyFill="1" applyBorder="1" applyAlignment="1">
      <alignment horizontal="left"/>
    </xf>
    <xf numFmtId="9" fontId="30" fillId="13" borderId="78" xfId="0" applyNumberFormat="1" applyFont="1" applyFill="1" applyBorder="1" applyAlignment="1">
      <alignment horizontal="left" vertical="center" wrapText="1"/>
    </xf>
    <xf numFmtId="0" fontId="18" fillId="0" borderId="78" xfId="0" applyFont="1" applyBorder="1" applyAlignment="1">
      <alignment vertical="center" wrapText="1"/>
    </xf>
    <xf numFmtId="0" fontId="56" fillId="0" borderId="129" xfId="1" applyNumberFormat="1" applyFont="1" applyFill="1" applyBorder="1" applyAlignment="1">
      <alignment horizontal="left"/>
    </xf>
    <xf numFmtId="0" fontId="56" fillId="0" borderId="0" xfId="1" applyNumberFormat="1" applyFont="1" applyFill="1" applyBorder="1" applyAlignment="1">
      <alignment horizontal="left"/>
    </xf>
    <xf numFmtId="43" fontId="4" fillId="0" borderId="0" xfId="1" applyFont="1"/>
    <xf numFmtId="43" fontId="56" fillId="0" borderId="0" xfId="1" applyFont="1" applyFill="1" applyAlignment="1">
      <alignment horizontal="left"/>
    </xf>
    <xf numFmtId="43" fontId="57" fillId="0" borderId="0" xfId="1" applyFont="1" applyFill="1" applyBorder="1" applyAlignment="1">
      <alignment horizontal="left"/>
    </xf>
    <xf numFmtId="49" fontId="56" fillId="0" borderId="129" xfId="1" applyNumberFormat="1" applyFont="1" applyFill="1" applyBorder="1" applyAlignment="1">
      <alignment horizontal="left"/>
    </xf>
    <xf numFmtId="49" fontId="56" fillId="0" borderId="0" xfId="1" applyNumberFormat="1" applyFont="1" applyFill="1" applyAlignment="1">
      <alignment horizontal="left"/>
    </xf>
    <xf numFmtId="49" fontId="57" fillId="0" borderId="0" xfId="1" applyNumberFormat="1" applyFont="1" applyFill="1" applyBorder="1" applyAlignment="1">
      <alignment horizontal="left"/>
    </xf>
    <xf numFmtId="0" fontId="30" fillId="13" borderId="101" xfId="0" applyFont="1" applyFill="1" applyBorder="1" applyAlignment="1">
      <alignment horizontal="left" wrapText="1"/>
    </xf>
    <xf numFmtId="0" fontId="0" fillId="19" borderId="17" xfId="0" applyFill="1" applyBorder="1" applyAlignment="1">
      <alignment horizontal="right"/>
    </xf>
    <xf numFmtId="0" fontId="0" fillId="19" borderId="15" xfId="0" applyFill="1" applyBorder="1" applyAlignment="1">
      <alignment horizontal="right"/>
    </xf>
    <xf numFmtId="168" fontId="0" fillId="19" borderId="79" xfId="0" applyNumberFormat="1" applyFill="1" applyBorder="1" applyAlignment="1">
      <alignment horizontal="right"/>
    </xf>
    <xf numFmtId="168" fontId="0" fillId="19" borderId="76" xfId="0" applyNumberFormat="1" applyFill="1" applyBorder="1" applyAlignment="1">
      <alignment horizontal="right"/>
    </xf>
    <xf numFmtId="168" fontId="26" fillId="19" borderId="81" xfId="3" applyNumberFormat="1" applyFont="1" applyFill="1" applyBorder="1" applyAlignment="1">
      <alignment horizontal="right"/>
    </xf>
    <xf numFmtId="168" fontId="0" fillId="19" borderId="83" xfId="1" applyNumberFormat="1" applyFont="1" applyFill="1" applyBorder="1" applyAlignment="1">
      <alignment horizontal="right"/>
    </xf>
    <xf numFmtId="168" fontId="0" fillId="19" borderId="83" xfId="0" applyNumberFormat="1" applyFill="1" applyBorder="1"/>
    <xf numFmtId="168" fontId="0" fillId="19" borderId="76" xfId="0" applyNumberFormat="1" applyFill="1" applyBorder="1" applyAlignment="1">
      <alignment horizontal="right" vertical="center"/>
    </xf>
    <xf numFmtId="168" fontId="0" fillId="19" borderId="68" xfId="0" applyNumberFormat="1" applyFill="1" applyBorder="1" applyAlignment="1">
      <alignment horizontal="right"/>
    </xf>
    <xf numFmtId="168" fontId="0" fillId="19" borderId="69" xfId="0" applyNumberFormat="1" applyFill="1" applyBorder="1" applyAlignment="1">
      <alignment horizontal="right"/>
    </xf>
    <xf numFmtId="168" fontId="0" fillId="19" borderId="39" xfId="0" applyNumberFormat="1" applyFill="1" applyBorder="1" applyAlignment="1">
      <alignment horizontal="right"/>
    </xf>
    <xf numFmtId="168" fontId="0" fillId="19" borderId="41" xfId="0" applyNumberFormat="1" applyFill="1" applyBorder="1" applyAlignment="1">
      <alignment horizontal="right"/>
    </xf>
    <xf numFmtId="0" fontId="0" fillId="6" borderId="108" xfId="0" applyFill="1" applyBorder="1" applyAlignment="1">
      <alignment horizontal="right"/>
    </xf>
    <xf numFmtId="44" fontId="0" fillId="6" borderId="34" xfId="2" applyFont="1" applyFill="1" applyBorder="1"/>
    <xf numFmtId="0" fontId="0" fillId="6" borderId="33" xfId="0" applyFill="1" applyBorder="1" applyAlignment="1">
      <alignment horizontal="right"/>
    </xf>
    <xf numFmtId="0" fontId="0" fillId="6" borderId="36" xfId="0" applyFill="1" applyBorder="1" applyAlignment="1">
      <alignment horizontal="right"/>
    </xf>
    <xf numFmtId="0" fontId="0" fillId="6" borderId="35" xfId="0" applyFill="1" applyBorder="1" applyAlignment="1">
      <alignment horizontal="right"/>
    </xf>
    <xf numFmtId="44" fontId="0" fillId="6" borderId="37" xfId="0" applyNumberFormat="1" applyFill="1" applyBorder="1"/>
    <xf numFmtId="0" fontId="0" fillId="6" borderId="39" xfId="0" applyFill="1" applyBorder="1" applyAlignment="1">
      <alignment horizontal="right"/>
    </xf>
    <xf numFmtId="44" fontId="0" fillId="6" borderId="41" xfId="0" applyNumberFormat="1" applyFill="1" applyBorder="1"/>
    <xf numFmtId="0" fontId="0" fillId="6" borderId="48" xfId="0" applyFill="1" applyBorder="1" applyAlignment="1">
      <alignment horizontal="right"/>
    </xf>
    <xf numFmtId="0" fontId="0" fillId="6" borderId="18" xfId="0" applyFill="1" applyBorder="1" applyAlignment="1">
      <alignment horizontal="center"/>
    </xf>
    <xf numFmtId="0" fontId="0" fillId="6" borderId="19" xfId="0" applyFill="1" applyBorder="1" applyAlignment="1">
      <alignment horizontal="center"/>
    </xf>
    <xf numFmtId="168" fontId="27" fillId="6" borderId="71" xfId="0" applyNumberFormat="1" applyFont="1" applyFill="1" applyBorder="1"/>
    <xf numFmtId="168" fontId="27" fillId="6" borderId="72" xfId="0" applyNumberFormat="1" applyFont="1" applyFill="1" applyBorder="1"/>
    <xf numFmtId="166" fontId="4" fillId="0" borderId="26" xfId="0" applyNumberFormat="1" applyFont="1" applyBorder="1" applyAlignment="1">
      <alignment horizontal="right"/>
    </xf>
    <xf numFmtId="1" fontId="4" fillId="0" borderId="0" xfId="0" applyNumberFormat="1" applyFont="1"/>
    <xf numFmtId="168" fontId="3" fillId="0" borderId="31" xfId="2" applyNumberFormat="1" applyFont="1" applyFill="1" applyBorder="1"/>
    <xf numFmtId="168" fontId="2" fillId="0" borderId="47" xfId="2" applyNumberFormat="1" applyFont="1" applyFill="1" applyBorder="1"/>
    <xf numFmtId="168" fontId="2" fillId="0" borderId="31" xfId="2" applyNumberFormat="1" applyFont="1" applyFill="1" applyBorder="1"/>
    <xf numFmtId="168" fontId="4" fillId="0" borderId="31" xfId="2" applyNumberFormat="1" applyFont="1" applyFill="1" applyBorder="1"/>
    <xf numFmtId="168" fontId="3" fillId="13" borderId="31" xfId="2" applyNumberFormat="1" applyFont="1" applyFill="1" applyBorder="1"/>
    <xf numFmtId="0" fontId="5" fillId="13" borderId="0" xfId="0" applyFont="1" applyFill="1" applyAlignment="1">
      <alignment horizontal="center"/>
    </xf>
    <xf numFmtId="0" fontId="4" fillId="13" borderId="47" xfId="0" applyFont="1" applyFill="1" applyBorder="1"/>
    <xf numFmtId="44" fontId="4" fillId="13" borderId="31" xfId="2" applyFont="1" applyFill="1" applyBorder="1"/>
    <xf numFmtId="9" fontId="4" fillId="13" borderId="50" xfId="8" applyFont="1" applyFill="1" applyBorder="1"/>
    <xf numFmtId="170" fontId="30" fillId="13" borderId="78" xfId="0" applyNumberFormat="1" applyFont="1" applyFill="1" applyBorder="1" applyAlignment="1">
      <alignment horizontal="left"/>
    </xf>
    <xf numFmtId="44" fontId="2" fillId="5" borderId="1" xfId="2" applyFont="1" applyFill="1" applyBorder="1"/>
    <xf numFmtId="44" fontId="2" fillId="0" borderId="3" xfId="2" applyFont="1" applyFill="1" applyBorder="1"/>
    <xf numFmtId="0" fontId="5" fillId="16" borderId="9" xfId="2" applyNumberFormat="1" applyFont="1" applyFill="1" applyBorder="1"/>
    <xf numFmtId="168" fontId="2" fillId="19" borderId="47" xfId="2" applyNumberFormat="1" applyFont="1" applyFill="1" applyBorder="1"/>
    <xf numFmtId="1" fontId="2" fillId="19" borderId="9" xfId="2" applyNumberFormat="1" applyFont="1" applyFill="1" applyBorder="1" applyAlignment="1">
      <alignment horizontal="right" wrapText="1"/>
    </xf>
    <xf numFmtId="168" fontId="2" fillId="19" borderId="9" xfId="2" applyNumberFormat="1" applyFont="1" applyFill="1" applyBorder="1"/>
    <xf numFmtId="168" fontId="2" fillId="34" borderId="2" xfId="2" applyNumberFormat="1" applyFont="1" applyFill="1" applyBorder="1"/>
    <xf numFmtId="44" fontId="2" fillId="34" borderId="0" xfId="2" applyFont="1" applyFill="1" applyBorder="1"/>
    <xf numFmtId="44" fontId="4" fillId="0" borderId="31" xfId="2" applyFont="1" applyBorder="1"/>
    <xf numFmtId="44" fontId="5" fillId="19" borderId="47" xfId="0" applyNumberFormat="1" applyFont="1" applyFill="1" applyBorder="1"/>
    <xf numFmtId="44" fontId="2" fillId="19" borderId="31" xfId="2" applyFont="1" applyFill="1" applyBorder="1"/>
    <xf numFmtId="44" fontId="2" fillId="5" borderId="9" xfId="2" applyFont="1" applyFill="1" applyBorder="1"/>
    <xf numFmtId="44" fontId="2" fillId="14" borderId="47" xfId="2" applyFont="1" applyFill="1" applyBorder="1"/>
    <xf numFmtId="44" fontId="2" fillId="14" borderId="50" xfId="2" applyFont="1" applyFill="1" applyBorder="1"/>
    <xf numFmtId="168" fontId="3" fillId="6" borderId="47" xfId="2" applyNumberFormat="1" applyFont="1" applyFill="1" applyBorder="1"/>
    <xf numFmtId="168" fontId="3" fillId="6" borderId="31" xfId="2" applyNumberFormat="1" applyFont="1" applyFill="1" applyBorder="1"/>
    <xf numFmtId="168" fontId="56" fillId="6" borderId="31" xfId="2" applyNumberFormat="1" applyFont="1" applyFill="1" applyBorder="1"/>
    <xf numFmtId="168" fontId="56" fillId="6" borderId="31" xfId="2" applyNumberFormat="1" applyFont="1" applyFill="1" applyBorder="1" applyAlignment="1">
      <alignment horizontal="left"/>
    </xf>
    <xf numFmtId="168" fontId="3" fillId="6" borderId="50" xfId="2" applyNumberFormat="1" applyFont="1" applyFill="1" applyBorder="1"/>
    <xf numFmtId="44" fontId="56" fillId="6" borderId="31" xfId="2" applyFont="1" applyFill="1" applyBorder="1"/>
    <xf numFmtId="44" fontId="56" fillId="6" borderId="31" xfId="2" applyFont="1" applyFill="1" applyBorder="1" applyAlignment="1">
      <alignment horizontal="right"/>
    </xf>
    <xf numFmtId="44" fontId="57" fillId="6" borderId="31" xfId="2" applyFont="1" applyFill="1" applyBorder="1"/>
    <xf numFmtId="44" fontId="56" fillId="11" borderId="0" xfId="2" applyFont="1" applyFill="1" applyBorder="1"/>
    <xf numFmtId="44" fontId="57" fillId="11" borderId="5" xfId="2" applyFont="1" applyFill="1" applyBorder="1"/>
    <xf numFmtId="0" fontId="0" fillId="13" borderId="54" xfId="0" applyFill="1" applyBorder="1" applyAlignment="1">
      <alignment horizontal="center"/>
    </xf>
    <xf numFmtId="0" fontId="0" fillId="0" borderId="0" xfId="0" applyAlignment="1">
      <alignment vertical="center"/>
    </xf>
    <xf numFmtId="0" fontId="0" fillId="14" borderId="65" xfId="0" applyFill="1" applyBorder="1" applyAlignment="1">
      <alignment horizontal="center" vertical="center" wrapText="1"/>
    </xf>
    <xf numFmtId="0" fontId="0" fillId="28" borderId="126" xfId="0" applyFill="1" applyBorder="1" applyAlignment="1">
      <alignment horizontal="right" vertical="center"/>
    </xf>
    <xf numFmtId="0" fontId="0" fillId="0" borderId="100" xfId="0" applyBorder="1" applyAlignment="1">
      <alignment vertical="center"/>
    </xf>
    <xf numFmtId="0" fontId="0" fillId="28" borderId="100" xfId="0" applyFill="1" applyBorder="1" applyAlignment="1">
      <alignment horizontal="right" vertical="center"/>
    </xf>
    <xf numFmtId="0" fontId="7" fillId="19" borderId="94" xfId="0" applyFont="1" applyFill="1" applyBorder="1" applyAlignment="1">
      <alignment vertical="center"/>
    </xf>
    <xf numFmtId="0" fontId="7" fillId="0" borderId="100" xfId="0" applyFont="1" applyBorder="1" applyAlignment="1">
      <alignment vertical="center"/>
    </xf>
    <xf numFmtId="0" fontId="36" fillId="0" borderId="100" xfId="0" applyFont="1" applyBorder="1" applyAlignment="1">
      <alignment horizontal="right" vertical="center" wrapText="1"/>
    </xf>
    <xf numFmtId="0" fontId="36" fillId="0" borderId="54" xfId="0" applyFont="1" applyBorder="1" applyAlignment="1">
      <alignment horizontal="right" vertical="center" wrapText="1"/>
    </xf>
    <xf numFmtId="0" fontId="36" fillId="0" borderId="99" xfId="0" applyFont="1" applyBorder="1" applyAlignment="1">
      <alignment horizontal="right" vertical="center" wrapText="1"/>
    </xf>
    <xf numFmtId="0" fontId="7" fillId="0" borderId="54" xfId="0" applyFont="1" applyBorder="1" applyAlignment="1">
      <alignment vertical="center"/>
    </xf>
    <xf numFmtId="0" fontId="7" fillId="0" borderId="94" xfId="0" applyFont="1" applyBorder="1" applyAlignment="1">
      <alignment vertical="center"/>
    </xf>
    <xf numFmtId="0" fontId="0" fillId="9" borderId="9" xfId="0" applyFill="1" applyBorder="1" applyAlignment="1">
      <alignment horizontal="center" vertical="center"/>
    </xf>
    <xf numFmtId="165" fontId="0" fillId="9" borderId="9" xfId="0" applyNumberFormat="1" applyFill="1" applyBorder="1" applyAlignment="1">
      <alignment horizontal="center" vertical="center"/>
    </xf>
    <xf numFmtId="165" fontId="0" fillId="9" borderId="9" xfId="0" applyNumberFormat="1" applyFill="1" applyBorder="1" applyAlignment="1">
      <alignment horizontal="center" vertical="center" wrapText="1"/>
    </xf>
    <xf numFmtId="0" fontId="0" fillId="9" borderId="9" xfId="0" applyFill="1" applyBorder="1" applyAlignment="1">
      <alignment horizontal="center" vertical="center" wrapText="1"/>
    </xf>
    <xf numFmtId="0" fontId="0" fillId="6" borderId="52" xfId="0" applyFill="1" applyBorder="1" applyAlignment="1">
      <alignment horizontal="center" vertical="center"/>
    </xf>
    <xf numFmtId="0" fontId="0" fillId="6" borderId="23" xfId="0" applyFill="1" applyBorder="1" applyAlignment="1">
      <alignment horizontal="center" vertical="center" wrapText="1"/>
    </xf>
    <xf numFmtId="0" fontId="0" fillId="6" borderId="61" xfId="0" applyFill="1" applyBorder="1" applyAlignment="1">
      <alignment horizontal="center" vertical="center" wrapText="1"/>
    </xf>
    <xf numFmtId="0" fontId="0" fillId="6" borderId="65" xfId="0" applyFill="1" applyBorder="1" applyAlignment="1">
      <alignment horizontal="center" vertical="center" wrapText="1"/>
    </xf>
    <xf numFmtId="0" fontId="0" fillId="6" borderId="59" xfId="0" applyFill="1" applyBorder="1" applyAlignment="1">
      <alignment horizontal="center" vertical="center" wrapText="1"/>
    </xf>
    <xf numFmtId="0" fontId="0" fillId="6" borderId="24" xfId="0" applyFill="1" applyBorder="1" applyAlignment="1">
      <alignment horizontal="center" vertical="center" wrapText="1"/>
    </xf>
    <xf numFmtId="43" fontId="40" fillId="13" borderId="0" xfId="3" applyFont="1" applyFill="1" applyAlignment="1"/>
    <xf numFmtId="169" fontId="15" fillId="13" borderId="0" xfId="5" applyNumberFormat="1" applyFont="1" applyFill="1" applyAlignment="1">
      <alignment horizontal="center"/>
    </xf>
    <xf numFmtId="165" fontId="19" fillId="7" borderId="56" xfId="5" applyNumberFormat="1" applyFont="1" applyFill="1" applyBorder="1" applyAlignment="1">
      <alignment horizontal="center" vertical="center" wrapText="1"/>
    </xf>
    <xf numFmtId="0" fontId="21" fillId="0" borderId="0" xfId="12"/>
    <xf numFmtId="168" fontId="56" fillId="11" borderId="21" xfId="2" applyNumberFormat="1" applyFont="1" applyFill="1" applyBorder="1"/>
    <xf numFmtId="168" fontId="23" fillId="13" borderId="21" xfId="2" applyNumberFormat="1" applyFont="1" applyFill="1" applyBorder="1" applyAlignment="1">
      <alignment wrapText="1"/>
    </xf>
    <xf numFmtId="168" fontId="3" fillId="0" borderId="21" xfId="2" applyNumberFormat="1" applyFont="1" applyFill="1" applyBorder="1"/>
    <xf numFmtId="44" fontId="4" fillId="0" borderId="21" xfId="2" applyFont="1" applyBorder="1"/>
    <xf numFmtId="44" fontId="23" fillId="13" borderId="21" xfId="2" applyFont="1" applyFill="1" applyBorder="1"/>
    <xf numFmtId="44" fontId="5" fillId="0" borderId="21" xfId="2" applyFont="1" applyFill="1" applyBorder="1" applyAlignment="1">
      <alignment horizontal="center" wrapText="1"/>
    </xf>
    <xf numFmtId="0" fontId="4" fillId="0" borderId="21" xfId="0" applyFont="1" applyBorder="1"/>
    <xf numFmtId="0" fontId="28" fillId="0" borderId="21" xfId="0" applyFont="1" applyBorder="1"/>
    <xf numFmtId="166" fontId="23" fillId="0" borderId="21" xfId="2" applyNumberFormat="1" applyFont="1" applyBorder="1" applyAlignment="1">
      <alignment horizontal="left"/>
    </xf>
    <xf numFmtId="0" fontId="23" fillId="0" borderId="21" xfId="0" applyFont="1" applyBorder="1"/>
    <xf numFmtId="44" fontId="23" fillId="13" borderId="21" xfId="2" applyFont="1" applyFill="1" applyBorder="1" applyAlignment="1">
      <alignment wrapText="1"/>
    </xf>
    <xf numFmtId="168" fontId="3" fillId="11" borderId="21" xfId="2" applyNumberFormat="1" applyFont="1" applyFill="1" applyBorder="1"/>
    <xf numFmtId="168" fontId="2" fillId="34" borderId="42" xfId="2" applyNumberFormat="1" applyFont="1" applyFill="1" applyBorder="1"/>
    <xf numFmtId="168" fontId="2" fillId="34" borderId="7" xfId="2" applyNumberFormat="1" applyFont="1" applyFill="1" applyBorder="1"/>
    <xf numFmtId="168" fontId="4" fillId="0" borderId="21" xfId="2" applyNumberFormat="1" applyFont="1" applyFill="1" applyBorder="1"/>
    <xf numFmtId="168" fontId="56" fillId="11" borderId="21" xfId="2" applyNumberFormat="1" applyFont="1" applyFill="1" applyBorder="1" applyAlignment="1">
      <alignment horizontal="left"/>
    </xf>
    <xf numFmtId="168" fontId="3" fillId="13" borderId="21" xfId="2" applyNumberFormat="1" applyFont="1" applyFill="1" applyBorder="1"/>
    <xf numFmtId="168" fontId="3" fillId="11" borderId="4" xfId="2" applyNumberFormat="1" applyFont="1" applyFill="1" applyBorder="1"/>
    <xf numFmtId="168" fontId="4" fillId="0" borderId="31" xfId="2" applyNumberFormat="1" applyFont="1" applyBorder="1"/>
    <xf numFmtId="168" fontId="4" fillId="7" borderId="31" xfId="2" applyNumberFormat="1" applyFont="1" applyFill="1" applyBorder="1"/>
    <xf numFmtId="168" fontId="2" fillId="6" borderId="9" xfId="2" applyNumberFormat="1" applyFont="1" applyFill="1" applyBorder="1"/>
    <xf numFmtId="168" fontId="4" fillId="13" borderId="31" xfId="2" applyNumberFormat="1" applyFont="1" applyFill="1" applyBorder="1"/>
    <xf numFmtId="44" fontId="56" fillId="0" borderId="31" xfId="0" applyNumberFormat="1" applyFont="1" applyBorder="1" applyAlignment="1">
      <alignment horizontal="right"/>
    </xf>
    <xf numFmtId="44" fontId="56" fillId="0" borderId="31" xfId="0" applyNumberFormat="1" applyFont="1" applyBorder="1" applyAlignment="1">
      <alignment horizontal="left" indent="1"/>
    </xf>
    <xf numFmtId="44" fontId="55" fillId="0" borderId="31" xfId="0" applyNumberFormat="1" applyFont="1" applyBorder="1" applyAlignment="1">
      <alignment horizontal="right"/>
    </xf>
    <xf numFmtId="44" fontId="58" fillId="0" borderId="31" xfId="2" applyFont="1" applyFill="1" applyBorder="1"/>
    <xf numFmtId="44" fontId="5" fillId="16" borderId="31" xfId="2" applyFont="1" applyFill="1" applyBorder="1" applyAlignment="1">
      <alignment horizontal="center" vertical="center" wrapText="1"/>
    </xf>
    <xf numFmtId="44" fontId="5" fillId="11" borderId="22" xfId="2" applyFont="1" applyFill="1" applyBorder="1" applyAlignment="1">
      <alignment horizontal="center"/>
    </xf>
    <xf numFmtId="164" fontId="2" fillId="35" borderId="22" xfId="1" applyNumberFormat="1" applyFont="1" applyFill="1" applyBorder="1" applyAlignment="1">
      <alignment horizontal="center" vertical="center" wrapText="1"/>
    </xf>
    <xf numFmtId="0" fontId="5" fillId="35" borderId="9" xfId="2" applyNumberFormat="1" applyFont="1" applyFill="1" applyBorder="1"/>
    <xf numFmtId="168" fontId="2" fillId="35" borderId="47" xfId="2" applyNumberFormat="1" applyFont="1" applyFill="1" applyBorder="1"/>
    <xf numFmtId="44" fontId="59" fillId="0" borderId="134" xfId="0" applyNumberFormat="1" applyFont="1" applyBorder="1" applyAlignment="1">
      <alignment horizontal="right"/>
    </xf>
    <xf numFmtId="44" fontId="4" fillId="0" borderId="4" xfId="2" applyFont="1" applyBorder="1"/>
    <xf numFmtId="43" fontId="2" fillId="0" borderId="31" xfId="1" applyFont="1" applyFill="1" applyBorder="1" applyAlignment="1">
      <alignment horizontal="left" wrapText="1"/>
    </xf>
    <xf numFmtId="168" fontId="4" fillId="9" borderId="21" xfId="2" applyNumberFormat="1" applyFont="1" applyFill="1" applyBorder="1"/>
    <xf numFmtId="168" fontId="5" fillId="16" borderId="42" xfId="2" applyNumberFormat="1" applyFont="1" applyFill="1" applyBorder="1"/>
    <xf numFmtId="168" fontId="4" fillId="0" borderId="42" xfId="2" applyNumberFormat="1" applyFont="1" applyBorder="1"/>
    <xf numFmtId="168" fontId="2" fillId="6" borderId="7" xfId="2" applyNumberFormat="1" applyFont="1" applyFill="1" applyBorder="1"/>
    <xf numFmtId="43" fontId="3" fillId="0" borderId="21" xfId="1" applyFont="1" applyFill="1" applyBorder="1" applyAlignment="1">
      <alignment horizontal="left"/>
    </xf>
    <xf numFmtId="0" fontId="4" fillId="0" borderId="21" xfId="0" applyFont="1" applyBorder="1" applyAlignment="1">
      <alignment horizontal="left"/>
    </xf>
    <xf numFmtId="43" fontId="2" fillId="0" borderId="21" xfId="1" applyFont="1" applyFill="1" applyBorder="1" applyAlignment="1">
      <alignment horizontal="left" wrapText="1"/>
    </xf>
    <xf numFmtId="168" fontId="2" fillId="16" borderId="42" xfId="2" applyNumberFormat="1" applyFont="1" applyFill="1" applyBorder="1"/>
    <xf numFmtId="43" fontId="2" fillId="0" borderId="21" xfId="1" applyFont="1" applyFill="1" applyBorder="1" applyAlignment="1">
      <alignment horizontal="left"/>
    </xf>
    <xf numFmtId="43" fontId="4" fillId="9" borderId="21" xfId="1" applyFont="1" applyFill="1" applyBorder="1"/>
    <xf numFmtId="168" fontId="3" fillId="9" borderId="21" xfId="2" applyNumberFormat="1" applyFont="1" applyFill="1" applyBorder="1"/>
    <xf numFmtId="44" fontId="3" fillId="9" borderId="21" xfId="2" applyFont="1" applyFill="1" applyBorder="1"/>
    <xf numFmtId="44" fontId="4" fillId="9" borderId="21" xfId="2" applyFont="1" applyFill="1" applyBorder="1"/>
    <xf numFmtId="44" fontId="5" fillId="16" borderId="42" xfId="2" applyFont="1" applyFill="1" applyBorder="1"/>
    <xf numFmtId="44" fontId="2" fillId="16" borderId="21" xfId="2" applyFont="1" applyFill="1" applyBorder="1"/>
    <xf numFmtId="44" fontId="2" fillId="5" borderId="7" xfId="2" applyFont="1" applyFill="1" applyBorder="1"/>
    <xf numFmtId="44" fontId="2" fillId="30" borderId="21" xfId="2" applyFont="1" applyFill="1" applyBorder="1"/>
    <xf numFmtId="44" fontId="2" fillId="0" borderId="92" xfId="2" applyFont="1" applyFill="1" applyBorder="1"/>
    <xf numFmtId="0" fontId="23" fillId="0" borderId="21" xfId="0" applyFont="1" applyBorder="1" applyAlignment="1">
      <alignment wrapText="1"/>
    </xf>
    <xf numFmtId="168" fontId="2" fillId="35" borderId="21" xfId="2" applyNumberFormat="1" applyFont="1" applyFill="1" applyBorder="1"/>
    <xf numFmtId="0" fontId="61" fillId="0" borderId="0" xfId="12" applyFont="1" applyAlignment="1">
      <alignment horizontal="center" vertical="center"/>
    </xf>
    <xf numFmtId="0" fontId="62" fillId="36" borderId="135" xfId="12" applyFont="1" applyFill="1" applyBorder="1" applyAlignment="1">
      <alignment horizontal="center" vertical="center" wrapText="1"/>
    </xf>
    <xf numFmtId="0" fontId="63" fillId="36" borderId="136" xfId="12" applyFont="1" applyFill="1" applyBorder="1" applyAlignment="1">
      <alignment horizontal="center" vertical="center" wrapText="1"/>
    </xf>
    <xf numFmtId="0" fontId="64" fillId="0" borderId="137" xfId="12" applyFont="1" applyBorder="1" applyAlignment="1">
      <alignment horizontal="center" vertical="center" wrapText="1"/>
    </xf>
    <xf numFmtId="0" fontId="63" fillId="36" borderId="138" xfId="12" applyFont="1" applyFill="1" applyBorder="1" applyAlignment="1">
      <alignment horizontal="center" vertical="center" wrapText="1"/>
    </xf>
    <xf numFmtId="44" fontId="66" fillId="0" borderId="0" xfId="14" applyNumberFormat="1" applyFont="1"/>
    <xf numFmtId="44" fontId="67" fillId="0" borderId="0" xfId="14" applyNumberFormat="1" applyFont="1"/>
    <xf numFmtId="0" fontId="65" fillId="0" borderId="0" xfId="14"/>
    <xf numFmtId="44" fontId="68" fillId="0" borderId="0" xfId="14" applyNumberFormat="1" applyFont="1"/>
    <xf numFmtId="44" fontId="65" fillId="0" borderId="0" xfId="14" applyNumberFormat="1"/>
    <xf numFmtId="44" fontId="69" fillId="0" borderId="0" xfId="14" applyNumberFormat="1" applyFont="1"/>
    <xf numFmtId="44" fontId="70" fillId="0" borderId="0" xfId="14" applyNumberFormat="1" applyFont="1"/>
    <xf numFmtId="0" fontId="70" fillId="0" borderId="0" xfId="14" applyFont="1"/>
    <xf numFmtId="44" fontId="70" fillId="0" borderId="0" xfId="14" applyNumberFormat="1" applyFont="1" applyAlignment="1">
      <alignment horizontal="left"/>
    </xf>
    <xf numFmtId="49" fontId="70" fillId="0" borderId="0" xfId="14" applyNumberFormat="1" applyFont="1"/>
    <xf numFmtId="0" fontId="67" fillId="0" borderId="0" xfId="14" applyFont="1"/>
    <xf numFmtId="44" fontId="71" fillId="0" borderId="0" xfId="14" applyNumberFormat="1" applyFont="1"/>
    <xf numFmtId="44" fontId="72" fillId="0" borderId="0" xfId="14" applyNumberFormat="1" applyFont="1"/>
    <xf numFmtId="0" fontId="72" fillId="0" borderId="0" xfId="14" applyFont="1"/>
    <xf numFmtId="44" fontId="72" fillId="0" borderId="0" xfId="14" applyNumberFormat="1" applyFont="1" applyAlignment="1">
      <alignment horizontal="left"/>
    </xf>
    <xf numFmtId="0" fontId="72" fillId="0" borderId="0" xfId="14" applyFont="1" applyAlignment="1">
      <alignment horizontal="left"/>
    </xf>
    <xf numFmtId="44" fontId="72" fillId="0" borderId="0" xfId="2" applyFont="1"/>
    <xf numFmtId="0" fontId="73" fillId="13" borderId="137" xfId="0" applyFont="1" applyFill="1" applyBorder="1" applyAlignment="1">
      <alignment vertical="center" wrapText="1"/>
    </xf>
    <xf numFmtId="0" fontId="74" fillId="13" borderId="139" xfId="0" applyFont="1" applyFill="1" applyBorder="1" applyAlignment="1">
      <alignment vertical="center" wrapText="1"/>
    </xf>
    <xf numFmtId="8" fontId="74" fillId="0" borderId="139" xfId="0" applyNumberFormat="1" applyFont="1" applyBorder="1" applyAlignment="1">
      <alignment horizontal="center" wrapText="1"/>
    </xf>
    <xf numFmtId="0" fontId="74" fillId="0" borderId="142" xfId="0" applyFont="1" applyBorder="1" applyAlignment="1">
      <alignment wrapText="1"/>
    </xf>
    <xf numFmtId="0" fontId="74" fillId="0" borderId="139" xfId="0" applyFont="1" applyBorder="1" applyAlignment="1">
      <alignment wrapText="1"/>
    </xf>
    <xf numFmtId="0" fontId="74" fillId="0" borderId="143" xfId="0" applyFont="1" applyBorder="1" applyAlignment="1">
      <alignment wrapText="1"/>
    </xf>
    <xf numFmtId="0" fontId="76" fillId="0" borderId="144" xfId="0" applyFont="1" applyBorder="1" applyAlignment="1">
      <alignment wrapText="1"/>
    </xf>
    <xf numFmtId="10" fontId="76" fillId="37" borderId="145" xfId="0" applyNumberFormat="1" applyFont="1" applyFill="1" applyBorder="1" applyAlignment="1">
      <alignment horizontal="center" wrapText="1"/>
    </xf>
    <xf numFmtId="8" fontId="74" fillId="0" borderId="146" xfId="0" applyNumberFormat="1" applyFont="1" applyBorder="1" applyAlignment="1">
      <alignment horizontal="center" wrapText="1"/>
    </xf>
    <xf numFmtId="8" fontId="74" fillId="38" borderId="145" xfId="0" applyNumberFormat="1" applyFont="1" applyFill="1" applyBorder="1" applyAlignment="1">
      <alignment horizontal="center" wrapText="1"/>
    </xf>
    <xf numFmtId="8" fontId="74" fillId="0" borderId="146" xfId="0" applyNumberFormat="1" applyFont="1" applyBorder="1" applyAlignment="1">
      <alignment horizontal="right" wrapText="1"/>
    </xf>
    <xf numFmtId="8" fontId="74" fillId="0" borderId="145" xfId="0" applyNumberFormat="1" applyFont="1" applyBorder="1" applyAlignment="1">
      <alignment horizontal="right" wrapText="1"/>
    </xf>
    <xf numFmtId="8" fontId="74" fillId="0" borderId="143" xfId="0" applyNumberFormat="1" applyFont="1" applyBorder="1" applyAlignment="1">
      <alignment horizontal="center" wrapText="1"/>
    </xf>
    <xf numFmtId="0" fontId="74" fillId="0" borderId="147" xfId="0" applyFont="1" applyBorder="1" applyAlignment="1">
      <alignment wrapText="1"/>
    </xf>
    <xf numFmtId="0" fontId="74" fillId="39" borderId="148" xfId="0" applyFont="1" applyFill="1" applyBorder="1" applyAlignment="1">
      <alignment wrapText="1"/>
    </xf>
    <xf numFmtId="0" fontId="74" fillId="39" borderId="145" xfId="0" applyFont="1" applyFill="1" applyBorder="1" applyAlignment="1">
      <alignment horizontal="center" wrapText="1"/>
    </xf>
    <xf numFmtId="0" fontId="74" fillId="40" borderId="145" xfId="0" applyFont="1" applyFill="1" applyBorder="1" applyAlignment="1">
      <alignment horizontal="center" wrapText="1"/>
    </xf>
    <xf numFmtId="0" fontId="74" fillId="13" borderId="145" xfId="0" applyFont="1" applyFill="1" applyBorder="1" applyAlignment="1">
      <alignment horizontal="center" wrapText="1"/>
    </xf>
    <xf numFmtId="0" fontId="74" fillId="0" borderId="148" xfId="0" applyFont="1" applyBorder="1" applyAlignment="1">
      <alignment wrapText="1"/>
    </xf>
    <xf numFmtId="8" fontId="74" fillId="0" borderId="148" xfId="0" applyNumberFormat="1" applyFont="1" applyBorder="1" applyAlignment="1">
      <alignment horizontal="right" wrapText="1"/>
    </xf>
    <xf numFmtId="8" fontId="74" fillId="41" borderId="148" xfId="0" applyNumberFormat="1" applyFont="1" applyFill="1" applyBorder="1" applyAlignment="1">
      <alignment horizontal="right" wrapText="1"/>
    </xf>
    <xf numFmtId="10" fontId="74" fillId="41" borderId="148" xfId="0" applyNumberFormat="1" applyFont="1" applyFill="1" applyBorder="1" applyAlignment="1">
      <alignment horizontal="center" wrapText="1"/>
    </xf>
    <xf numFmtId="0" fontId="74" fillId="41" borderId="148" xfId="0" applyFont="1" applyFill="1" applyBorder="1" applyAlignment="1">
      <alignment horizontal="center" wrapText="1"/>
    </xf>
    <xf numFmtId="0" fontId="74" fillId="0" borderId="144" xfId="0" applyFont="1" applyBorder="1" applyAlignment="1">
      <alignment wrapText="1"/>
    </xf>
    <xf numFmtId="0" fontId="74" fillId="0" borderId="145" xfId="0" applyFont="1" applyBorder="1" applyAlignment="1">
      <alignment wrapText="1"/>
    </xf>
    <xf numFmtId="8" fontId="74" fillId="41" borderId="145" xfId="0" applyNumberFormat="1" applyFont="1" applyFill="1" applyBorder="1" applyAlignment="1">
      <alignment horizontal="right" wrapText="1"/>
    </xf>
    <xf numFmtId="10" fontId="74" fillId="41" borderId="145" xfId="0" applyNumberFormat="1" applyFont="1" applyFill="1" applyBorder="1" applyAlignment="1">
      <alignment horizontal="center" wrapText="1"/>
    </xf>
    <xf numFmtId="0" fontId="74" fillId="0" borderId="146" xfId="0" applyFont="1" applyBorder="1" applyAlignment="1">
      <alignment wrapText="1"/>
    </xf>
    <xf numFmtId="10" fontId="76" fillId="42" borderId="145" xfId="0" applyNumberFormat="1" applyFont="1" applyFill="1" applyBorder="1" applyAlignment="1">
      <alignment horizontal="center" wrapText="1"/>
    </xf>
    <xf numFmtId="8" fontId="74" fillId="0" borderId="145" xfId="0" applyNumberFormat="1" applyFont="1" applyBorder="1" applyAlignment="1">
      <alignment horizontal="center" wrapText="1"/>
    </xf>
    <xf numFmtId="0" fontId="73" fillId="13" borderId="144" xfId="0" applyFont="1" applyFill="1" applyBorder="1" applyAlignment="1">
      <alignment vertical="center" wrapText="1"/>
    </xf>
    <xf numFmtId="0" fontId="74" fillId="13" borderId="145" xfId="0" applyFont="1" applyFill="1" applyBorder="1" applyAlignment="1">
      <alignment vertical="center" wrapText="1"/>
    </xf>
    <xf numFmtId="0" fontId="74" fillId="37" borderId="145" xfId="0" applyFont="1" applyFill="1" applyBorder="1" applyAlignment="1">
      <alignment wrapText="1"/>
    </xf>
    <xf numFmtId="10" fontId="76" fillId="0" borderId="146" xfId="0" applyNumberFormat="1" applyFont="1" applyBorder="1" applyAlignment="1">
      <alignment horizontal="right" wrapText="1"/>
    </xf>
    <xf numFmtId="0" fontId="74" fillId="38" borderId="145" xfId="0" applyFont="1" applyFill="1" applyBorder="1" applyAlignment="1">
      <alignment wrapText="1"/>
    </xf>
    <xf numFmtId="0" fontId="74" fillId="0" borderId="143" xfId="0" applyFont="1" applyBorder="1" applyAlignment="1">
      <alignment horizontal="center" wrapText="1"/>
    </xf>
    <xf numFmtId="0" fontId="74" fillId="43" borderId="143" xfId="0" applyFont="1" applyFill="1" applyBorder="1" applyAlignment="1">
      <alignment wrapText="1"/>
    </xf>
    <xf numFmtId="0" fontId="74" fillId="43" borderId="143" xfId="0" applyFont="1" applyFill="1" applyBorder="1" applyAlignment="1">
      <alignment horizontal="center" wrapText="1"/>
    </xf>
    <xf numFmtId="0" fontId="74" fillId="37" borderId="143" xfId="0" applyFont="1" applyFill="1" applyBorder="1" applyAlignment="1">
      <alignment horizontal="center" wrapText="1"/>
    </xf>
    <xf numFmtId="0" fontId="74" fillId="13" borderId="143" xfId="0" applyFont="1" applyFill="1" applyBorder="1" applyAlignment="1">
      <alignment horizontal="center" wrapText="1"/>
    </xf>
    <xf numFmtId="8" fontId="74" fillId="0" borderId="143" xfId="0" applyNumberFormat="1" applyFont="1" applyBorder="1" applyAlignment="1">
      <alignment horizontal="right" wrapText="1"/>
    </xf>
    <xf numFmtId="0" fontId="20" fillId="0" borderId="0" xfId="3" applyNumberFormat="1" applyFont="1" applyAlignment="1">
      <alignment horizontal="center"/>
    </xf>
    <xf numFmtId="167" fontId="20" fillId="0" borderId="0" xfId="3" applyNumberFormat="1" applyFont="1" applyAlignment="1">
      <alignment horizontal="center"/>
    </xf>
    <xf numFmtId="9" fontId="4" fillId="0" borderId="21" xfId="2" applyNumberFormat="1" applyFont="1" applyBorder="1"/>
    <xf numFmtId="168" fontId="3" fillId="6" borderId="21" xfId="2" applyNumberFormat="1" applyFont="1" applyFill="1" applyBorder="1"/>
    <xf numFmtId="168" fontId="4" fillId="13" borderId="22" xfId="2" applyNumberFormat="1" applyFont="1" applyFill="1" applyBorder="1"/>
    <xf numFmtId="168" fontId="4" fillId="0" borderId="22" xfId="2" applyNumberFormat="1" applyFont="1" applyBorder="1"/>
    <xf numFmtId="168" fontId="3" fillId="13" borderId="94" xfId="2" applyNumberFormat="1" applyFont="1" applyFill="1" applyBorder="1"/>
    <xf numFmtId="1" fontId="2" fillId="13" borderId="7" xfId="2" applyNumberFormat="1" applyFont="1" applyFill="1" applyBorder="1" applyAlignment="1">
      <alignment horizontal="right" wrapText="1"/>
    </xf>
    <xf numFmtId="166" fontId="77" fillId="0" borderId="21" xfId="0" applyNumberFormat="1" applyFont="1" applyBorder="1" applyAlignment="1">
      <alignment horizontal="left"/>
    </xf>
    <xf numFmtId="166" fontId="77" fillId="0" borderId="21" xfId="2" applyNumberFormat="1" applyFont="1" applyBorder="1" applyAlignment="1">
      <alignment horizontal="left"/>
    </xf>
    <xf numFmtId="168" fontId="2" fillId="34" borderId="21" xfId="2" applyNumberFormat="1" applyFont="1" applyFill="1" applyBorder="1"/>
    <xf numFmtId="0" fontId="78" fillId="0" borderId="21" xfId="0" applyFont="1" applyBorder="1"/>
    <xf numFmtId="168" fontId="3" fillId="0" borderId="22" xfId="2" applyNumberFormat="1" applyFont="1" applyFill="1" applyBorder="1"/>
    <xf numFmtId="44" fontId="4" fillId="0" borderId="3" xfId="2" applyFont="1" applyBorder="1"/>
    <xf numFmtId="0" fontId="4" fillId="0" borderId="92" xfId="0" applyFont="1" applyBorder="1" applyAlignment="1">
      <alignment horizontal="left"/>
    </xf>
    <xf numFmtId="44" fontId="4" fillId="0" borderId="134" xfId="2" applyFont="1" applyBorder="1"/>
    <xf numFmtId="44" fontId="2" fillId="34" borderId="50" xfId="2" applyFont="1" applyFill="1" applyBorder="1"/>
    <xf numFmtId="166" fontId="77" fillId="13" borderId="21" xfId="0" applyNumberFormat="1" applyFont="1" applyFill="1" applyBorder="1" applyAlignment="1">
      <alignment horizontal="left"/>
    </xf>
    <xf numFmtId="44" fontId="60" fillId="34" borderId="47" xfId="0" applyNumberFormat="1" applyFont="1" applyFill="1" applyBorder="1"/>
    <xf numFmtId="168" fontId="2" fillId="0" borderId="3" xfId="2" applyNumberFormat="1" applyFont="1" applyFill="1" applyBorder="1"/>
    <xf numFmtId="44" fontId="2" fillId="13" borderId="94" xfId="2" applyFont="1" applyFill="1" applyBorder="1"/>
    <xf numFmtId="0" fontId="27" fillId="0" borderId="89" xfId="0" applyFont="1" applyBorder="1" applyAlignment="1">
      <alignment horizontal="left"/>
    </xf>
    <xf numFmtId="0" fontId="0" fillId="13" borderId="124" xfId="0" applyFill="1" applyBorder="1" applyAlignment="1">
      <alignment horizontal="right"/>
    </xf>
    <xf numFmtId="0" fontId="54" fillId="0" borderId="89" xfId="0" applyFont="1" applyBorder="1" applyAlignment="1">
      <alignment horizontal="left"/>
    </xf>
    <xf numFmtId="0" fontId="18" fillId="0" borderId="101" xfId="0" applyFont="1" applyBorder="1" applyAlignment="1">
      <alignment horizontal="left"/>
    </xf>
    <xf numFmtId="0" fontId="30" fillId="13" borderId="94" xfId="0" applyFont="1" applyFill="1" applyBorder="1" applyAlignment="1">
      <alignment horizontal="left" wrapText="1"/>
    </xf>
    <xf numFmtId="44" fontId="2" fillId="13" borderId="9" xfId="2" applyFont="1" applyFill="1" applyBorder="1" applyAlignment="1">
      <alignment horizontal="center" vertical="center" wrapText="1"/>
    </xf>
    <xf numFmtId="0" fontId="30" fillId="13" borderId="12" xfId="0" applyFont="1" applyFill="1" applyBorder="1" applyAlignment="1">
      <alignment horizontal="left" wrapText="1"/>
    </xf>
    <xf numFmtId="166" fontId="23" fillId="0" borderId="21" xfId="0" applyNumberFormat="1" applyFont="1" applyBorder="1" applyAlignment="1">
      <alignment horizontal="left"/>
    </xf>
    <xf numFmtId="3" fontId="79" fillId="44" borderId="131" xfId="0" applyNumberFormat="1" applyFont="1" applyFill="1" applyBorder="1" applyAlignment="1">
      <alignment horizontal="center" vertical="top"/>
    </xf>
    <xf numFmtId="0" fontId="79" fillId="44" borderId="132" xfId="0" applyFont="1" applyFill="1" applyBorder="1" applyAlignment="1">
      <alignment horizontal="center" vertical="top" wrapText="1"/>
    </xf>
    <xf numFmtId="0" fontId="74" fillId="45" borderId="132" xfId="0" applyFont="1" applyFill="1" applyBorder="1" applyAlignment="1">
      <alignment horizontal="center" vertical="top" wrapText="1"/>
    </xf>
    <xf numFmtId="166" fontId="80" fillId="0" borderId="131" xfId="0" applyNumberFormat="1" applyFont="1" applyBorder="1" applyAlignment="1">
      <alignment horizontal="center" vertical="top"/>
    </xf>
    <xf numFmtId="166" fontId="80" fillId="23" borderId="131" xfId="0" applyNumberFormat="1" applyFont="1" applyFill="1" applyBorder="1" applyAlignment="1">
      <alignment horizontal="center" vertical="top"/>
    </xf>
    <xf numFmtId="166" fontId="80" fillId="13" borderId="131" xfId="0" applyNumberFormat="1" applyFont="1" applyFill="1" applyBorder="1" applyAlignment="1">
      <alignment horizontal="center" vertical="top"/>
    </xf>
    <xf numFmtId="166" fontId="74" fillId="0" borderId="131" xfId="0" applyNumberFormat="1" applyFont="1" applyBorder="1" applyAlignment="1">
      <alignment horizontal="center" vertical="top"/>
    </xf>
    <xf numFmtId="166" fontId="74" fillId="13" borderId="131" xfId="0" applyNumberFormat="1" applyFont="1" applyFill="1" applyBorder="1" applyAlignment="1">
      <alignment horizontal="center" vertical="top"/>
    </xf>
    <xf numFmtId="0" fontId="79" fillId="44" borderId="131" xfId="0" applyFont="1" applyFill="1" applyBorder="1" applyAlignment="1">
      <alignment horizontal="center" vertical="top"/>
    </xf>
    <xf numFmtId="167" fontId="79" fillId="44" borderId="132" xfId="0" applyNumberFormat="1" applyFont="1" applyFill="1" applyBorder="1" applyAlignment="1">
      <alignment horizontal="center" vertical="top" wrapText="1"/>
    </xf>
    <xf numFmtId="167" fontId="74" fillId="45" borderId="132" xfId="0" applyNumberFormat="1" applyFont="1" applyFill="1" applyBorder="1" applyAlignment="1">
      <alignment horizontal="center" vertical="top" wrapText="1"/>
    </xf>
    <xf numFmtId="0" fontId="36" fillId="46" borderId="131" xfId="0" applyFont="1" applyFill="1" applyBorder="1" applyAlignment="1">
      <alignment vertical="top" wrapText="1"/>
    </xf>
    <xf numFmtId="0" fontId="36" fillId="47" borderId="131" xfId="0" applyFont="1" applyFill="1" applyBorder="1" applyAlignment="1">
      <alignment vertical="top" wrapText="1"/>
    </xf>
    <xf numFmtId="0" fontId="79" fillId="46" borderId="131" xfId="0" applyFont="1" applyFill="1" applyBorder="1" applyAlignment="1">
      <alignment vertical="top" wrapText="1"/>
    </xf>
    <xf numFmtId="0" fontId="36" fillId="48" borderId="131" xfId="0" applyFont="1" applyFill="1" applyBorder="1" applyAlignment="1">
      <alignment vertical="top" wrapText="1"/>
    </xf>
    <xf numFmtId="167" fontId="79" fillId="44" borderId="133" xfId="0" applyNumberFormat="1" applyFont="1" applyFill="1" applyBorder="1" applyAlignment="1">
      <alignment horizontal="center" vertical="top" wrapText="1"/>
    </xf>
    <xf numFmtId="0" fontId="74" fillId="45" borderId="133" xfId="0" applyFont="1" applyFill="1" applyBorder="1" applyAlignment="1">
      <alignment horizontal="center" vertical="top" wrapText="1"/>
    </xf>
    <xf numFmtId="0" fontId="4" fillId="0" borderId="131" xfId="0" applyFont="1" applyBorder="1" applyAlignment="1">
      <alignment vertical="top" wrapText="1"/>
    </xf>
    <xf numFmtId="0" fontId="74" fillId="0" borderId="131" xfId="0" applyFont="1" applyBorder="1" applyAlignment="1">
      <alignment vertical="top"/>
    </xf>
    <xf numFmtId="0" fontId="74" fillId="23" borderId="131" xfId="0" applyFont="1" applyFill="1" applyBorder="1" applyAlignment="1">
      <alignment vertical="top"/>
    </xf>
    <xf numFmtId="0" fontId="74" fillId="13" borderId="131" xfId="0" applyFont="1" applyFill="1" applyBorder="1" applyAlignment="1">
      <alignment vertical="top"/>
    </xf>
    <xf numFmtId="0" fontId="4" fillId="13" borderId="131" xfId="0" applyFont="1" applyFill="1" applyBorder="1" applyAlignment="1">
      <alignment vertical="top" wrapText="1"/>
    </xf>
    <xf numFmtId="0" fontId="81" fillId="13" borderId="152" xfId="1" applyNumberFormat="1" applyFont="1" applyFill="1" applyBorder="1" applyAlignment="1">
      <alignment horizontal="center"/>
    </xf>
    <xf numFmtId="166" fontId="0" fillId="0" borderId="0" xfId="0" applyNumberFormat="1"/>
    <xf numFmtId="166" fontId="0" fillId="23" borderId="0" xfId="0" applyNumberFormat="1" applyFill="1"/>
    <xf numFmtId="166" fontId="0" fillId="13" borderId="0" xfId="0" applyNumberFormat="1" applyFill="1"/>
    <xf numFmtId="0" fontId="81" fillId="13" borderId="153" xfId="0" applyFont="1" applyFill="1" applyBorder="1" applyAlignment="1">
      <alignment horizontal="center"/>
    </xf>
    <xf numFmtId="0" fontId="0" fillId="23" borderId="0" xfId="0" applyFill="1"/>
    <xf numFmtId="49" fontId="72" fillId="0" borderId="0" xfId="14" applyNumberFormat="1" applyFont="1"/>
    <xf numFmtId="0" fontId="33" fillId="16" borderId="18" xfId="0" applyFont="1" applyFill="1" applyBorder="1" applyAlignment="1">
      <alignment horizontal="center" wrapText="1"/>
    </xf>
    <xf numFmtId="0" fontId="33" fillId="16" borderId="19" xfId="0" applyFont="1" applyFill="1" applyBorder="1" applyAlignment="1">
      <alignment horizontal="center" wrapText="1"/>
    </xf>
    <xf numFmtId="0" fontId="14" fillId="9" borderId="18" xfId="0" applyFont="1" applyFill="1" applyBorder="1" applyAlignment="1">
      <alignment horizontal="center" vertical="center"/>
    </xf>
    <xf numFmtId="0" fontId="14" fillId="9" borderId="19" xfId="0" applyFont="1" applyFill="1" applyBorder="1" applyAlignment="1">
      <alignment horizontal="center" vertical="center"/>
    </xf>
    <xf numFmtId="166" fontId="0" fillId="9" borderId="98" xfId="0" applyNumberFormat="1" applyFill="1" applyBorder="1" applyAlignment="1">
      <alignment horizontal="center"/>
    </xf>
    <xf numFmtId="166" fontId="0" fillId="9" borderId="62" xfId="0" applyNumberFormat="1" applyFill="1" applyBorder="1" applyAlignment="1">
      <alignment horizontal="center"/>
    </xf>
    <xf numFmtId="166" fontId="0" fillId="9" borderId="109" xfId="0" applyNumberFormat="1" applyFill="1" applyBorder="1" applyAlignment="1">
      <alignment horizontal="center"/>
    </xf>
    <xf numFmtId="166" fontId="0" fillId="9" borderId="130" xfId="0" applyNumberFormat="1" applyFill="1" applyBorder="1" applyAlignment="1">
      <alignment horizontal="center"/>
    </xf>
    <xf numFmtId="0" fontId="4" fillId="0" borderId="20" xfId="0" applyFont="1" applyBorder="1" applyAlignment="1">
      <alignment horizontal="center"/>
    </xf>
    <xf numFmtId="0" fontId="4" fillId="0" borderId="19" xfId="0" applyFont="1" applyBorder="1" applyAlignment="1">
      <alignment horizontal="center"/>
    </xf>
    <xf numFmtId="0" fontId="14" fillId="6" borderId="18" xfId="0" applyFont="1" applyFill="1" applyBorder="1" applyAlignment="1">
      <alignment horizontal="center" vertical="center"/>
    </xf>
    <xf numFmtId="0" fontId="14" fillId="6" borderId="19" xfId="0" applyFont="1" applyFill="1" applyBorder="1" applyAlignment="1">
      <alignment horizontal="center" vertical="center"/>
    </xf>
    <xf numFmtId="166" fontId="0" fillId="6" borderId="98" xfId="0" applyNumberFormat="1" applyFill="1" applyBorder="1" applyAlignment="1">
      <alignment horizontal="center"/>
    </xf>
    <xf numFmtId="166" fontId="0" fillId="6" borderId="62" xfId="0" applyNumberFormat="1" applyFill="1" applyBorder="1" applyAlignment="1">
      <alignment horizontal="center"/>
    </xf>
    <xf numFmtId="0" fontId="14" fillId="11" borderId="18" xfId="0" applyFont="1" applyFill="1" applyBorder="1" applyAlignment="1">
      <alignment horizontal="center" vertical="center" wrapText="1"/>
    </xf>
    <xf numFmtId="0" fontId="14" fillId="11" borderId="19" xfId="0" applyFont="1" applyFill="1" applyBorder="1" applyAlignment="1">
      <alignment horizontal="center" vertical="center" wrapText="1"/>
    </xf>
    <xf numFmtId="0" fontId="4" fillId="0" borderId="20" xfId="0" applyFont="1" applyBorder="1" applyAlignment="1">
      <alignment horizontal="center" wrapText="1"/>
    </xf>
    <xf numFmtId="0" fontId="4" fillId="0" borderId="19" xfId="0" applyFont="1" applyBorder="1" applyAlignment="1">
      <alignment horizontal="center" wrapText="1"/>
    </xf>
    <xf numFmtId="0" fontId="33" fillId="32" borderId="18" xfId="0" applyFont="1" applyFill="1" applyBorder="1" applyAlignment="1">
      <alignment horizontal="center" wrapText="1"/>
    </xf>
    <xf numFmtId="0" fontId="33" fillId="32" borderId="19" xfId="0" applyFont="1" applyFill="1" applyBorder="1" applyAlignment="1">
      <alignment horizontal="center" wrapText="1"/>
    </xf>
    <xf numFmtId="166" fontId="0" fillId="6" borderId="109" xfId="0" applyNumberFormat="1" applyFill="1" applyBorder="1" applyAlignment="1">
      <alignment horizontal="center"/>
    </xf>
    <xf numFmtId="166" fontId="0" fillId="6" borderId="130" xfId="0" applyNumberFormat="1" applyFill="1" applyBorder="1" applyAlignment="1">
      <alignment horizontal="center"/>
    </xf>
    <xf numFmtId="166" fontId="0" fillId="11" borderId="98" xfId="0" applyNumberFormat="1" applyFill="1" applyBorder="1" applyAlignment="1">
      <alignment horizontal="center"/>
    </xf>
    <xf numFmtId="166" fontId="0" fillId="11" borderId="62" xfId="0" applyNumberFormat="1" applyFill="1" applyBorder="1" applyAlignment="1">
      <alignment horizontal="center"/>
    </xf>
    <xf numFmtId="0" fontId="33" fillId="19" borderId="18" xfId="0" applyFont="1" applyFill="1" applyBorder="1" applyAlignment="1">
      <alignment horizontal="center" wrapText="1"/>
    </xf>
    <xf numFmtId="0" fontId="33" fillId="19" borderId="19" xfId="0" applyFont="1" applyFill="1" applyBorder="1" applyAlignment="1">
      <alignment horizontal="center" wrapText="1"/>
    </xf>
    <xf numFmtId="166" fontId="31" fillId="25" borderId="9" xfId="0" applyNumberFormat="1" applyFont="1" applyFill="1" applyBorder="1" applyAlignment="1">
      <alignment horizontal="center" wrapText="1"/>
    </xf>
    <xf numFmtId="0" fontId="46" fillId="9" borderId="9" xfId="0" applyFont="1" applyFill="1" applyBorder="1" applyAlignment="1">
      <alignment horizontal="center" vertical="center" textRotation="90" wrapText="1"/>
    </xf>
    <xf numFmtId="166" fontId="31" fillId="11" borderId="9" xfId="0" applyNumberFormat="1" applyFont="1" applyFill="1" applyBorder="1" applyAlignment="1">
      <alignment horizontal="center" wrapText="1"/>
    </xf>
    <xf numFmtId="166" fontId="31" fillId="26" borderId="9" xfId="0" applyNumberFormat="1" applyFont="1" applyFill="1" applyBorder="1" applyAlignment="1">
      <alignment horizontal="center" wrapText="1"/>
    </xf>
    <xf numFmtId="166" fontId="31" fillId="5" borderId="9" xfId="0" applyNumberFormat="1" applyFont="1" applyFill="1" applyBorder="1" applyAlignment="1">
      <alignment horizontal="center" wrapText="1"/>
    </xf>
    <xf numFmtId="166" fontId="31" fillId="6" borderId="9" xfId="0" applyNumberFormat="1" applyFont="1" applyFill="1" applyBorder="1" applyAlignment="1">
      <alignment horizontal="center" wrapText="1"/>
    </xf>
    <xf numFmtId="0" fontId="75" fillId="13" borderId="151" xfId="0" applyFont="1" applyFill="1" applyBorder="1" applyAlignment="1">
      <alignment vertical="center" wrapText="1"/>
    </xf>
    <xf numFmtId="0" fontId="75" fillId="13" borderId="140" xfId="0" applyFont="1" applyFill="1" applyBorder="1" applyAlignment="1">
      <alignment vertical="center" wrapText="1"/>
    </xf>
    <xf numFmtId="0" fontId="75" fillId="13" borderId="141" xfId="0" applyFont="1" applyFill="1" applyBorder="1" applyAlignment="1">
      <alignment vertical="center" wrapText="1"/>
    </xf>
    <xf numFmtId="0" fontId="76" fillId="37" borderId="151" xfId="0" applyFont="1" applyFill="1" applyBorder="1" applyAlignment="1">
      <alignment horizontal="center" wrapText="1"/>
    </xf>
    <xf numFmtId="0" fontId="76" fillId="37" borderId="141" xfId="0" applyFont="1" applyFill="1" applyBorder="1" applyAlignment="1">
      <alignment horizontal="center" wrapText="1"/>
    </xf>
    <xf numFmtId="0" fontId="74" fillId="0" borderId="149" xfId="0" applyFont="1" applyBorder="1" applyAlignment="1">
      <alignment horizontal="center" wrapText="1"/>
    </xf>
    <xf numFmtId="0" fontId="74" fillId="0" borderId="150" xfId="0" applyFont="1" applyBorder="1" applyAlignment="1">
      <alignment horizontal="center" wrapText="1"/>
    </xf>
    <xf numFmtId="0" fontId="76" fillId="42" borderId="151" xfId="0" applyFont="1" applyFill="1" applyBorder="1" applyAlignment="1">
      <alignment horizontal="center" wrapText="1"/>
    </xf>
    <xf numFmtId="0" fontId="76" fillId="42" borderId="141" xfId="0" applyFont="1" applyFill="1" applyBorder="1" applyAlignment="1">
      <alignment horizontal="center" wrapText="1"/>
    </xf>
    <xf numFmtId="0" fontId="30" fillId="13" borderId="13" xfId="0" applyFont="1" applyFill="1" applyBorder="1" applyAlignment="1">
      <alignment horizontal="left" vertical="center" wrapText="1"/>
    </xf>
    <xf numFmtId="0" fontId="30" fillId="13" borderId="0" xfId="0" applyFont="1" applyFill="1" applyAlignment="1">
      <alignment horizontal="left" vertical="center" wrapText="1"/>
    </xf>
    <xf numFmtId="0" fontId="5" fillId="13" borderId="102" xfId="0" applyFont="1" applyFill="1" applyBorder="1" applyAlignment="1">
      <alignment horizontal="center"/>
    </xf>
    <xf numFmtId="0" fontId="5" fillId="13" borderId="19" xfId="0" applyFont="1" applyFill="1" applyBorder="1" applyAlignment="1">
      <alignment horizontal="center"/>
    </xf>
    <xf numFmtId="0" fontId="4" fillId="0" borderId="61" xfId="0" applyFont="1" applyBorder="1" applyAlignment="1">
      <alignment horizontal="center"/>
    </xf>
    <xf numFmtId="0" fontId="4" fillId="0" borderId="60" xfId="0" applyFont="1" applyBorder="1" applyAlignment="1">
      <alignment horizontal="center"/>
    </xf>
    <xf numFmtId="0" fontId="4" fillId="0" borderId="30" xfId="0" applyFont="1" applyBorder="1" applyAlignment="1">
      <alignment horizontal="center"/>
    </xf>
    <xf numFmtId="0" fontId="4" fillId="0" borderId="62" xfId="0" applyFont="1" applyBorder="1" applyAlignment="1">
      <alignment horizontal="center"/>
    </xf>
    <xf numFmtId="2" fontId="4" fillId="0" borderId="104" xfId="0" applyNumberFormat="1" applyFont="1" applyBorder="1" applyAlignment="1">
      <alignment horizontal="center"/>
    </xf>
    <xf numFmtId="2" fontId="4" fillId="0" borderId="17" xfId="0" applyNumberFormat="1" applyFont="1" applyBorder="1" applyAlignment="1">
      <alignment horizontal="center"/>
    </xf>
    <xf numFmtId="0" fontId="20" fillId="14" borderId="23" xfId="5" applyFont="1" applyFill="1" applyBorder="1" applyAlignment="1">
      <alignment horizontal="center" vertical="center"/>
    </xf>
    <xf numFmtId="0" fontId="17" fillId="14" borderId="23" xfId="5" applyFont="1" applyFill="1" applyBorder="1" applyAlignment="1">
      <alignment horizontal="center" vertical="center"/>
    </xf>
    <xf numFmtId="0" fontId="17" fillId="14" borderId="24" xfId="5" applyFont="1" applyFill="1" applyBorder="1" applyAlignment="1">
      <alignment horizontal="center" vertical="center"/>
    </xf>
    <xf numFmtId="0" fontId="20" fillId="14" borderId="58" xfId="5" applyFont="1" applyFill="1" applyBorder="1" applyAlignment="1">
      <alignment horizontal="center" vertical="center"/>
    </xf>
    <xf numFmtId="0" fontId="15" fillId="0" borderId="59" xfId="0" applyFont="1" applyBorder="1" applyAlignment="1">
      <alignment horizontal="center" vertical="center"/>
    </xf>
    <xf numFmtId="0" fontId="15" fillId="0" borderId="60" xfId="0" applyFont="1" applyBorder="1" applyAlignment="1">
      <alignment horizontal="center" vertical="center"/>
    </xf>
    <xf numFmtId="169" fontId="15" fillId="0" borderId="9" xfId="5" applyNumberFormat="1" applyFont="1" applyBorder="1" applyAlignment="1">
      <alignment horizontal="center"/>
    </xf>
    <xf numFmtId="169" fontId="15" fillId="0" borderId="25" xfId="5" applyNumberFormat="1" applyFont="1" applyBorder="1" applyAlignment="1">
      <alignment horizontal="center"/>
    </xf>
    <xf numFmtId="169" fontId="15" fillId="0" borderId="30" xfId="5" applyNumberFormat="1" applyFont="1" applyBorder="1" applyAlignment="1">
      <alignment horizontal="center"/>
    </xf>
    <xf numFmtId="169" fontId="15" fillId="0" borderId="62" xfId="5" applyNumberFormat="1" applyFont="1" applyBorder="1" applyAlignment="1">
      <alignment horizontal="center"/>
    </xf>
    <xf numFmtId="43" fontId="14" fillId="0" borderId="0" xfId="3" applyFont="1" applyFill="1" applyAlignment="1">
      <alignment horizontal="center"/>
    </xf>
    <xf numFmtId="0" fontId="14" fillId="0" borderId="0" xfId="5" applyFont="1" applyAlignment="1">
      <alignment horizontal="center"/>
    </xf>
    <xf numFmtId="169" fontId="15" fillId="0" borderId="0" xfId="5" applyNumberFormat="1" applyFont="1" applyAlignment="1">
      <alignment horizontal="center"/>
    </xf>
    <xf numFmtId="0" fontId="19" fillId="8" borderId="22" xfId="5" applyFont="1" applyFill="1" applyBorder="1" applyAlignment="1">
      <alignment horizontal="center" vertical="center" wrapText="1"/>
    </xf>
    <xf numFmtId="0" fontId="17" fillId="0" borderId="31" xfId="5" applyFont="1" applyBorder="1" applyAlignment="1">
      <alignment horizontal="center" vertical="center" wrapText="1"/>
    </xf>
    <xf numFmtId="0" fontId="17" fillId="0" borderId="21" xfId="5" applyFont="1" applyBorder="1" applyAlignment="1">
      <alignment horizontal="center" vertical="center" wrapText="1"/>
    </xf>
    <xf numFmtId="0" fontId="14" fillId="14" borderId="52" xfId="5" applyFont="1" applyFill="1" applyBorder="1" applyAlignment="1">
      <alignment horizontal="left" vertical="center" wrapText="1"/>
    </xf>
    <xf numFmtId="0" fontId="17" fillId="14" borderId="23" xfId="5" applyFont="1" applyFill="1" applyBorder="1" applyAlignment="1">
      <alignment horizontal="left" vertical="center" wrapText="1"/>
    </xf>
    <xf numFmtId="0" fontId="17" fillId="14" borderId="24" xfId="5" applyFont="1" applyFill="1" applyBorder="1" applyAlignment="1">
      <alignment horizontal="left" vertical="center" wrapText="1"/>
    </xf>
    <xf numFmtId="0" fontId="0" fillId="13" borderId="65" xfId="0" applyFill="1" applyBorder="1" applyAlignment="1">
      <alignment horizontal="center"/>
    </xf>
    <xf numFmtId="0" fontId="30" fillId="13" borderId="101" xfId="0" applyFont="1" applyFill="1" applyBorder="1" applyAlignment="1">
      <alignment horizontal="left"/>
    </xf>
    <xf numFmtId="0" fontId="23" fillId="0" borderId="4" xfId="0" applyFont="1" applyBorder="1"/>
  </cellXfs>
  <cellStyles count="15">
    <cellStyle name="Comma" xfId="1" builtinId="3"/>
    <cellStyle name="Comma 2" xfId="3" xr:uid="{00000000-0005-0000-0000-000001000000}"/>
    <cellStyle name="Comma 2 2" xfId="11" xr:uid="{E752D444-6822-4774-8C9E-084B244AF743}"/>
    <cellStyle name="Currency" xfId="2" builtinId="4"/>
    <cellStyle name="Currency 2" xfId="6" xr:uid="{00000000-0005-0000-0000-000003000000}"/>
    <cellStyle name="Currency 3" xfId="13" xr:uid="{FBDBCCC1-4F62-44E8-9F5B-4BBC0AE326CF}"/>
    <cellStyle name="Hyperlink" xfId="9" builtinId="8"/>
    <cellStyle name="Normal" xfId="0" builtinId="0"/>
    <cellStyle name="Normal 2" xfId="5" xr:uid="{00000000-0005-0000-0000-000005000000}"/>
    <cellStyle name="Normal 2 2" xfId="10" xr:uid="{AA878376-6E46-4DD6-8732-534899146C26}"/>
    <cellStyle name="Normal 2 2 2" xfId="4" xr:uid="{00000000-0005-0000-0000-000006000000}"/>
    <cellStyle name="Normal 3" xfId="7" xr:uid="{00000000-0005-0000-0000-000007000000}"/>
    <cellStyle name="Normal 4" xfId="12" xr:uid="{57C737C2-148B-4EBD-8EC6-DB4CAA4B1992}"/>
    <cellStyle name="Normal 5" xfId="14" xr:uid="{D44C86C9-6205-4285-83DC-1D48D3D06A14}"/>
    <cellStyle name="Percent" xfId="8" builtinId="5"/>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colors>
    <mruColors>
      <color rgb="FFCCFFFF"/>
      <color rgb="FF66FFFF"/>
      <color rgb="FFCCCCFF"/>
      <color rgb="FFFFCC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solidFill>
                  <a:sysClr val="windowText" lastClr="000000"/>
                </a:solidFill>
              </a:rPr>
              <a:t>FHM Budget </a:t>
            </a:r>
          </a:p>
        </c:rich>
      </c:tx>
      <c:layout>
        <c:manualLayout>
          <c:xMode val="edge"/>
          <c:yMode val="edge"/>
          <c:x val="2.594600561177238E-2"/>
          <c:y val="2.4594025308779018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1-BABB-4536-B978-FEC9A719E297}"/>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3-BABB-4536-B978-FEC9A719E297}"/>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15-8352-4644-8E85-DE3D5F3E5B54}"/>
              </c:ext>
            </c:extLst>
          </c:dPt>
          <c:dLbls>
            <c:dLbl>
              <c:idx val="1"/>
              <c:layout>
                <c:manualLayout>
                  <c:x val="2.8907569619310756E-2"/>
                  <c:y val="1.2821651672540865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ABB-4536-B978-FEC9A719E297}"/>
                </c:ext>
              </c:extLst>
            </c:dLbl>
            <c:dLbl>
              <c:idx val="2"/>
              <c:layout>
                <c:manualLayout>
                  <c:x val="2.8058361391694726E-2"/>
                  <c:y val="-4.566210045662121E-3"/>
                </c:manualLayout>
              </c:layout>
              <c:dLblPos val="bestFit"/>
              <c:showLegendKey val="0"/>
              <c:showVal val="0"/>
              <c:showCatName val="0"/>
              <c:showSerName val="0"/>
              <c:showPercent val="1"/>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5-8352-4644-8E85-DE3D5F3E5B54}"/>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0000"/>
                    </a:solidFill>
                    <a:latin typeface="+mn-lt"/>
                    <a:ea typeface="+mn-ea"/>
                    <a:cs typeface="+mn-cs"/>
                  </a:defRPr>
                </a:pPr>
                <a:endParaRPr lang="en-US"/>
              </a:p>
            </c:txPr>
            <c:dLblPos val="inEnd"/>
            <c:showLegendKey val="0"/>
            <c:showVal val="0"/>
            <c:showCatName val="0"/>
            <c:showSerName val="0"/>
            <c:showPercent val="1"/>
            <c:showBubbleSize val="0"/>
            <c:showLeaderLines val="0"/>
            <c:extLst>
              <c:ext xmlns:c15="http://schemas.microsoft.com/office/drawing/2012/chart" uri="{CE6537A1-D6FC-4f65-9D91-7224C49458BB}"/>
            </c:extLst>
          </c:dLbls>
          <c:cat>
            <c:strRef>
              <c:extLst>
                <c:ext xmlns:c15="http://schemas.microsoft.com/office/drawing/2012/chart" uri="{02D57815-91ED-43cb-92C2-25804820EDAC}">
                  <c15:fullRef>
                    <c15:sqref>'FHM Expenses'!$A$33:$A$37</c15:sqref>
                  </c15:fullRef>
                </c:ext>
              </c:extLst>
              <c:f>'FHM Expenses'!$A$34:$A$36</c:f>
              <c:strCache>
                <c:ptCount val="3"/>
                <c:pt idx="0">
                  <c:v> Salaries &amp; Benefits </c:v>
                </c:pt>
                <c:pt idx="1">
                  <c:v> Purchased Services </c:v>
                </c:pt>
                <c:pt idx="2">
                  <c:v> Supplies &amp; Materials </c:v>
                </c:pt>
              </c:strCache>
            </c:strRef>
          </c:cat>
          <c:val>
            <c:numRef>
              <c:extLst>
                <c:ext xmlns:c15="http://schemas.microsoft.com/office/drawing/2012/chart" uri="{02D57815-91ED-43cb-92C2-25804820EDAC}">
                  <c15:fullRef>
                    <c15:sqref>'FHM Expenses'!$D$33:$D$37</c15:sqref>
                  </c15:fullRef>
                </c:ext>
              </c:extLst>
              <c:f>'FHM Expenses'!$D$34:$D$36</c:f>
              <c:numCache>
                <c:formatCode>_("$"* #,##0.00_);_("$"* \(#,##0.00\);_("$"* "-"??_);_(@_)</c:formatCode>
                <c:ptCount val="3"/>
                <c:pt idx="0">
                  <c:v>3600000</c:v>
                </c:pt>
                <c:pt idx="1">
                  <c:v>872000</c:v>
                </c:pt>
                <c:pt idx="2">
                  <c:v>24000</c:v>
                </c:pt>
              </c:numCache>
            </c:numRef>
          </c:val>
          <c:extLst>
            <c:ext xmlns:c15="http://schemas.microsoft.com/office/drawing/2012/chart" uri="{02D57815-91ED-43cb-92C2-25804820EDAC}">
              <c15:categoryFilterExceptions>
                <c15:categoryFilterException>
                  <c15:sqref>'FHM Expenses'!$D$33</c15:sqref>
                  <c15:spPr xmlns:c15="http://schemas.microsoft.com/office/drawing/2012/chart">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15:spPr>
                  <c15:bubble3D val="0"/>
                </c15:categoryFilterException>
                <c15:categoryFilterException>
                  <c15:sqref>'FHM Expenses'!$D$37</c15:sqref>
                  <c15:spPr xmlns:c15="http://schemas.microsoft.com/office/drawing/2012/chart">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15:spPr>
                  <c15:bubble3D val="0"/>
                </c15:categoryFilterException>
              </c15:categoryFilterExceptions>
            </c:ext>
            <c:ext xmlns:c16="http://schemas.microsoft.com/office/drawing/2014/chart" uri="{C3380CC4-5D6E-409C-BE32-E72D297353CC}">
              <c16:uniqueId val="{00000006-BABB-4536-B978-FEC9A719E297}"/>
            </c:ext>
          </c:extLst>
        </c:ser>
        <c:dLbls>
          <c:dLblPos val="inEnd"/>
          <c:showLegendKey val="0"/>
          <c:showVal val="0"/>
          <c:showCatName val="0"/>
          <c:showSerName val="0"/>
          <c:showPercent val="1"/>
          <c:showBubbleSize val="0"/>
          <c:showLeaderLines val="0"/>
        </c:dLbls>
        <c:extLst>
          <c:ext xmlns:c15="http://schemas.microsoft.com/office/drawing/2012/chart" uri="{02D57815-91ED-43cb-92C2-25804820EDAC}">
            <c15:filteredPieSeries>
              <c15: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8-BABB-4536-B978-FEC9A719E297}"/>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BABB-4536-B978-FEC9A719E297}"/>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B-8355-45E2-AA53-BA9EE080A49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ullRef>
                          <c15:sqref>'FHM Expenses'!$A$33:$A$37</c15:sqref>
                        </c15:fullRef>
                        <c15:formulaRef>
                          <c15:sqref>'FHM Expenses'!$A$34:$A$36</c15:sqref>
                        </c15:formulaRef>
                      </c:ext>
                    </c:extLst>
                    <c:strCache>
                      <c:ptCount val="3"/>
                      <c:pt idx="0">
                        <c:v> Salaries &amp; Benefits </c:v>
                      </c:pt>
                      <c:pt idx="1">
                        <c:v> Purchased Services </c:v>
                      </c:pt>
                      <c:pt idx="2">
                        <c:v> Supplies &amp; Materials </c:v>
                      </c:pt>
                    </c:strCache>
                  </c:strRef>
                </c:cat>
                <c:val>
                  <c:numRef>
                    <c:extLst>
                      <c:ext uri="{02D57815-91ED-43cb-92C2-25804820EDAC}">
                        <c15:fullRef>
                          <c15:sqref>'FHM Expenses'!$B$33:$B$36</c15:sqref>
                        </c15:fullRef>
                        <c15:formulaRef>
                          <c15:sqref>'FHM Expenses'!$B$34:$B$36</c15:sqref>
                        </c15:formulaRef>
                      </c:ext>
                    </c:extLst>
                    <c:numCache>
                      <c:formatCode>_("$"* #,##0.00_);_("$"* \(#,##0.00\);_("$"* "-"??_);_(@_)</c:formatCode>
                      <c:ptCount val="3"/>
                    </c:numCache>
                  </c:numRef>
                </c:val>
                <c:extLst>
                  <c:ext uri="{02D57815-91ED-43cb-92C2-25804820EDAC}">
                    <c15:categoryFilterExceptions>
                      <c15:categoryFilterException>
                        <c15:sqref>'FHM Expenses'!$B$33</c15:sqref>
                        <c15:spPr xmlns:c15="http://schemas.microsoft.com/office/drawing/2012/chart">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15:spPr>
                        <c15:bubble3D val="0"/>
                      </c15:categoryFilterException>
                    </c15:categoryFilterExceptions>
                  </c:ext>
                  <c:ext xmlns:c16="http://schemas.microsoft.com/office/drawing/2014/chart" uri="{C3380CC4-5D6E-409C-BE32-E72D297353CC}">
                    <c16:uniqueId val="{0000000D-BABB-4536-B978-FEC9A719E297}"/>
                  </c:ext>
                </c:extLst>
              </c15:ser>
            </c15:filteredPieSeries>
            <c15:filteredPieSeries>
              <c15: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xmlns:c15="http://schemas.microsoft.com/office/drawing/2012/chart">
                    <c:ext xmlns:c16="http://schemas.microsoft.com/office/drawing/2014/chart" uri="{C3380CC4-5D6E-409C-BE32-E72D297353CC}">
                      <c16:uniqueId val="{0000000F-BABB-4536-B978-FEC9A719E297}"/>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11-BABB-4536-B978-FEC9A719E297}"/>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11-8355-45E2-AA53-BA9EE080A498}"/>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c:ext xmlns:c15="http://schemas.microsoft.com/office/drawing/2012/chart" uri="{02D57815-91ED-43cb-92C2-25804820EDAC}">
                        <c15:fullRef>
                          <c15:sqref>'FHM Expenses'!$A$33:$A$37</c15:sqref>
                        </c15:fullRef>
                        <c15:formulaRef>
                          <c15:sqref>'FHM Expenses'!$A$34:$A$36</c15:sqref>
                        </c15:formulaRef>
                      </c:ext>
                    </c:extLst>
                    <c:strCache>
                      <c:ptCount val="3"/>
                      <c:pt idx="0">
                        <c:v> Salaries &amp; Benefits </c:v>
                      </c:pt>
                      <c:pt idx="1">
                        <c:v> Purchased Services </c:v>
                      </c:pt>
                      <c:pt idx="2">
                        <c:v> Supplies &amp; Materials </c:v>
                      </c:pt>
                    </c:strCache>
                  </c:strRef>
                </c:cat>
                <c:val>
                  <c:numRef>
                    <c:extLst>
                      <c:ext xmlns:c15="http://schemas.microsoft.com/office/drawing/2012/chart" uri="{02D57815-91ED-43cb-92C2-25804820EDAC}">
                        <c15:fullRef>
                          <c15:sqref>'FHM Expenses'!$C$33:$C$36</c15:sqref>
                        </c15:fullRef>
                        <c15:formulaRef>
                          <c15:sqref>'FHM Expenses'!$C$34:$C$36</c15:sqref>
                        </c15:formulaRef>
                      </c:ext>
                    </c:extLst>
                    <c:numCache>
                      <c:formatCode>_("$"* #,##0.00_);_("$"* \(#,##0.00\);_("$"* "-"??_);_(@_)</c:formatCode>
                      <c:ptCount val="3"/>
                    </c:numCache>
                  </c:numRef>
                </c:val>
                <c:extLst xmlns:c15="http://schemas.microsoft.com/office/drawing/2012/chart">
                  <c:ext xmlns:c15="http://schemas.microsoft.com/office/drawing/2012/chart" uri="{02D57815-91ED-43cb-92C2-25804820EDAC}">
                    <c15:categoryFilterExceptions>
                      <c15:categoryFilterException>
                        <c15:sqref>'FHM Expenses'!$C$33</c15:sqref>
                        <c15:spPr xmlns:c15="http://schemas.microsoft.com/office/drawing/2012/chart">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15:spPr>
                        <c15:bubble3D val="0"/>
                      </c15:categoryFilterException>
                    </c15:categoryFilterExceptions>
                  </c:ext>
                  <c:ext xmlns:c16="http://schemas.microsoft.com/office/drawing/2014/chart" uri="{C3380CC4-5D6E-409C-BE32-E72D297353CC}">
                    <c16:uniqueId val="{00000014-BABB-4536-B978-FEC9A719E297}"/>
                  </c:ext>
                </c:extLst>
              </c15:ser>
            </c15:filteredPieSeries>
          </c:ext>
        </c:extLst>
      </c:pie3DChart>
      <c:spPr>
        <a:noFill/>
        <a:ln>
          <a:noFill/>
        </a:ln>
        <a:effectLst>
          <a:softEdge rad="12700"/>
        </a:effectLst>
      </c:spPr>
    </c:plotArea>
    <c:legend>
      <c:legendPos val="b"/>
      <c:layout>
        <c:manualLayout>
          <c:xMode val="edge"/>
          <c:yMode val="edge"/>
          <c:x val="2.8058361391694723E-3"/>
          <c:y val="0.8732635817783051"/>
          <c:w val="0.98597081930415265"/>
          <c:h val="8.5640527810735986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a:softEdge rad="0"/>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r>
              <a:rPr lang="en-US">
                <a:solidFill>
                  <a:srgbClr val="000000"/>
                </a:solidFill>
              </a:rPr>
              <a:t>FHM Purchased Services</a:t>
            </a:r>
          </a:p>
        </c:rich>
      </c:tx>
      <c:layout>
        <c:manualLayout>
          <c:xMode val="edge"/>
          <c:yMode val="edge"/>
          <c:x val="2.7069275869403678E-2"/>
          <c:y val="1.9183719513570834E-2"/>
        </c:manualLayout>
      </c:layout>
      <c:overlay val="0"/>
      <c:spPr>
        <a:noFill/>
        <a:ln>
          <a:noFill/>
        </a:ln>
        <a:effectLst/>
      </c:spPr>
      <c:txPr>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1-C834-49CC-BEDD-E8B5422339AB}"/>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3-C834-49CC-BEDD-E8B5422339AB}"/>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5-C834-49CC-BEDD-E8B5422339AB}"/>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0000"/>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'FHM Expenses'!$M$33:$M$35</c:f>
              <c:strCache>
                <c:ptCount val="3"/>
                <c:pt idx="0">
                  <c:v> Jeffco Purchased Services </c:v>
                </c:pt>
                <c:pt idx="1">
                  <c:v>Other Services</c:v>
                </c:pt>
                <c:pt idx="2">
                  <c:v> Facilities </c:v>
                </c:pt>
              </c:strCache>
            </c:strRef>
          </c:cat>
          <c:val>
            <c:numRef>
              <c:f>'FHM Expenses'!$P$33:$P$35</c:f>
              <c:numCache>
                <c:formatCode>_("$"* #,##0.00_);_("$"* \(#,##0.00\);_("$"* "-"??_);_(@_)</c:formatCode>
                <c:ptCount val="3"/>
                <c:pt idx="0">
                  <c:v>387483.52</c:v>
                </c:pt>
                <c:pt idx="1">
                  <c:v>234000</c:v>
                </c:pt>
                <c:pt idx="2">
                  <c:v>250000</c:v>
                </c:pt>
              </c:numCache>
            </c:numRef>
          </c:val>
          <c:extLst>
            <c:ext xmlns:c16="http://schemas.microsoft.com/office/drawing/2014/chart" uri="{C3380CC4-5D6E-409C-BE32-E72D297353CC}">
              <c16:uniqueId val="{00000006-C834-49CC-BEDD-E8B5422339AB}"/>
            </c:ext>
          </c:extLst>
        </c:ser>
        <c:dLbls>
          <c:dLblPos val="inEnd"/>
          <c:showLegendKey val="0"/>
          <c:showVal val="0"/>
          <c:showCatName val="0"/>
          <c:showSerName val="0"/>
          <c:showPercent val="1"/>
          <c:showBubbleSize val="0"/>
          <c:showLeaderLines val="1"/>
        </c:dLbls>
      </c:pie3DChart>
      <c:spPr>
        <a:noFill/>
        <a:ln>
          <a:noFill/>
        </a:ln>
        <a:effectLst/>
      </c:spPr>
    </c:plotArea>
    <c:legend>
      <c:legendPos val="b"/>
      <c:layout>
        <c:manualLayout>
          <c:xMode val="edge"/>
          <c:yMode val="edge"/>
          <c:x val="0.10213367353918723"/>
          <c:y val="0.87937594476908154"/>
          <c:w val="0.8194517975594009"/>
          <c:h val="9.2421993096135177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r>
              <a:rPr lang="en-US">
                <a:solidFill>
                  <a:srgbClr val="000000"/>
                </a:solidFill>
              </a:rPr>
              <a:t>Supplies</a:t>
            </a:r>
            <a:r>
              <a:rPr lang="en-US" baseline="0">
                <a:solidFill>
                  <a:srgbClr val="000000"/>
                </a:solidFill>
              </a:rPr>
              <a:t> and Materials </a:t>
            </a:r>
            <a:endParaRPr lang="en-US">
              <a:solidFill>
                <a:srgbClr val="000000"/>
              </a:solidFill>
            </a:endParaRPr>
          </a:p>
        </c:rich>
      </c:tx>
      <c:layout>
        <c:manualLayout>
          <c:xMode val="edge"/>
          <c:yMode val="edge"/>
          <c:x val="2.2390625727997021E-2"/>
          <c:y val="1.1440644434932432E-2"/>
        </c:manualLayout>
      </c:layout>
      <c:overlay val="0"/>
      <c:spPr>
        <a:noFill/>
        <a:ln>
          <a:noFill/>
        </a:ln>
        <a:effectLst/>
      </c:spPr>
      <c:txPr>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1-8C38-4727-8DEE-3C7CD27A3A54}"/>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3-8C38-4727-8DEE-3C7CD27A3A54}"/>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5-8C38-4727-8DEE-3C7CD27A3A54}"/>
              </c:ext>
            </c:extLst>
          </c:dPt>
          <c:dLbls>
            <c:dLbl>
              <c:idx val="0"/>
              <c:layout>
                <c:manualLayout>
                  <c:x val="-3.6891394492849241E-3"/>
                  <c:y val="1.5777253418029959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C38-4727-8DEE-3C7CD27A3A54}"/>
                </c:ext>
              </c:extLst>
            </c:dLbl>
            <c:dLbl>
              <c:idx val="1"/>
              <c:layout>
                <c:manualLayout>
                  <c:x val="-7.5198248147975585E-2"/>
                  <c:y val="7.0533180341785032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C38-4727-8DEE-3C7CD27A3A54}"/>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0000"/>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'FHM Expenses'!$S$34:$S$36</c:f>
              <c:strCache>
                <c:ptCount val="3"/>
                <c:pt idx="0">
                  <c:v> Copier/Printing </c:v>
                </c:pt>
                <c:pt idx="1">
                  <c:v> Office Supplies </c:v>
                </c:pt>
                <c:pt idx="2">
                  <c:v> Student Supplies  </c:v>
                </c:pt>
              </c:strCache>
            </c:strRef>
          </c:cat>
          <c:val>
            <c:numRef>
              <c:f>'FHM Expenses'!$V$34:$V$36</c:f>
              <c:numCache>
                <c:formatCode>_("$"* #,##0.00_);_("$"* \(#,##0.00\);_("$"* "-"??_);_(@_)</c:formatCode>
                <c:ptCount val="3"/>
                <c:pt idx="0">
                  <c:v>15000</c:v>
                </c:pt>
                <c:pt idx="1">
                  <c:v>1000</c:v>
                </c:pt>
                <c:pt idx="2">
                  <c:v>7500</c:v>
                </c:pt>
              </c:numCache>
            </c:numRef>
          </c:val>
          <c:extLst>
            <c:ext xmlns:c16="http://schemas.microsoft.com/office/drawing/2014/chart" uri="{C3380CC4-5D6E-409C-BE32-E72D297353CC}">
              <c16:uniqueId val="{00000006-8C38-4727-8DEE-3C7CD27A3A54}"/>
            </c:ext>
          </c:extLst>
        </c:ser>
        <c:dLbls>
          <c:dLblPos val="inEnd"/>
          <c:showLegendKey val="0"/>
          <c:showVal val="0"/>
          <c:showCatName val="0"/>
          <c:showSerName val="0"/>
          <c:showPercent val="1"/>
          <c:showBubbleSize val="0"/>
          <c:showLeaderLines val="1"/>
        </c:dLbls>
      </c:pie3D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r>
              <a:rPr lang="en-US">
                <a:solidFill>
                  <a:srgbClr val="000000"/>
                </a:solidFill>
              </a:rPr>
              <a:t>Total</a:t>
            </a:r>
            <a:r>
              <a:rPr lang="en-US" baseline="0">
                <a:solidFill>
                  <a:srgbClr val="000000"/>
                </a:solidFill>
              </a:rPr>
              <a:t> Expenses</a:t>
            </a:r>
            <a:r>
              <a:rPr lang="en-US">
                <a:solidFill>
                  <a:srgbClr val="000000"/>
                </a:solidFill>
              </a:rPr>
              <a:t>: $4,495,000</a:t>
            </a:r>
          </a:p>
        </c:rich>
      </c:tx>
      <c:overlay val="0"/>
      <c:spPr>
        <a:noFill/>
        <a:ln>
          <a:noFill/>
        </a:ln>
        <a:effectLst/>
      </c:spPr>
      <c:txPr>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endParaRPr lang="en-US"/>
        </a:p>
      </c:txPr>
    </c:title>
    <c:autoTitleDeleted val="0"/>
    <c:plotArea>
      <c:layout/>
      <c:barChart>
        <c:barDir val="col"/>
        <c:grouping val="clustered"/>
        <c:varyColors val="0"/>
        <c:ser>
          <c:idx val="0"/>
          <c:order val="0"/>
          <c:tx>
            <c:strRef>
              <c:f>'FHM Expenses'!$A$34</c:f>
              <c:strCache>
                <c:ptCount val="1"/>
                <c:pt idx="0">
                  <c:v> Salaries &amp; Benefits </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Expenses'!$D$34</c:f>
              <c:numCache>
                <c:formatCode>_("$"* #,##0.00_);_("$"* \(#,##0.00\);_("$"* "-"??_);_(@_)</c:formatCode>
                <c:ptCount val="1"/>
                <c:pt idx="0">
                  <c:v>3600000</c:v>
                </c:pt>
              </c:numCache>
            </c:numRef>
          </c:val>
          <c:extLst>
            <c:ext xmlns:c16="http://schemas.microsoft.com/office/drawing/2014/chart" uri="{C3380CC4-5D6E-409C-BE32-E72D297353CC}">
              <c16:uniqueId val="{00000000-60C3-41BC-9EBF-49BFF73FAF64}"/>
            </c:ext>
          </c:extLst>
        </c:ser>
        <c:ser>
          <c:idx val="1"/>
          <c:order val="1"/>
          <c:tx>
            <c:strRef>
              <c:f>'FHM Expenses'!$A$35</c:f>
              <c:strCache>
                <c:ptCount val="1"/>
                <c:pt idx="0">
                  <c:v> Purchased Services </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Expenses'!$D$35</c:f>
              <c:numCache>
                <c:formatCode>_("$"* #,##0.00_);_("$"* \(#,##0.00\);_("$"* "-"??_);_(@_)</c:formatCode>
                <c:ptCount val="1"/>
                <c:pt idx="0">
                  <c:v>872000</c:v>
                </c:pt>
              </c:numCache>
            </c:numRef>
          </c:val>
          <c:extLst>
            <c:ext xmlns:c16="http://schemas.microsoft.com/office/drawing/2014/chart" uri="{C3380CC4-5D6E-409C-BE32-E72D297353CC}">
              <c16:uniqueId val="{00000001-60C3-41BC-9EBF-49BFF73FAF64}"/>
            </c:ext>
          </c:extLst>
        </c:ser>
        <c:ser>
          <c:idx val="2"/>
          <c:order val="2"/>
          <c:tx>
            <c:strRef>
              <c:f>'FHM Expenses'!$A$36</c:f>
              <c:strCache>
                <c:ptCount val="1"/>
                <c:pt idx="0">
                  <c:v> Supplies &amp; Materials </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Expenses'!$D$36</c:f>
              <c:numCache>
                <c:formatCode>_("$"* #,##0.00_);_("$"* \(#,##0.00\);_("$"* "-"??_);_(@_)</c:formatCode>
                <c:ptCount val="1"/>
                <c:pt idx="0">
                  <c:v>24000</c:v>
                </c:pt>
              </c:numCache>
            </c:numRef>
          </c:val>
          <c:extLst>
            <c:ext xmlns:c16="http://schemas.microsoft.com/office/drawing/2014/chart" uri="{C3380CC4-5D6E-409C-BE32-E72D297353CC}">
              <c16:uniqueId val="{00000002-60C3-41BC-9EBF-49BFF73FAF64}"/>
            </c:ext>
          </c:extLst>
        </c:ser>
        <c:dLbls>
          <c:showLegendKey val="0"/>
          <c:showVal val="0"/>
          <c:showCatName val="0"/>
          <c:showSerName val="0"/>
          <c:showPercent val="0"/>
          <c:showBubbleSize val="0"/>
        </c:dLbls>
        <c:gapWidth val="100"/>
        <c:overlap val="-24"/>
        <c:axId val="182766640"/>
        <c:axId val="182766160"/>
      </c:barChart>
      <c:catAx>
        <c:axId val="182766640"/>
        <c:scaling>
          <c:orientation val="minMax"/>
        </c:scaling>
        <c:delete val="1"/>
        <c:axPos val="b"/>
        <c:numFmt formatCode="General" sourceLinked="1"/>
        <c:majorTickMark val="none"/>
        <c:minorTickMark val="none"/>
        <c:tickLblPos val="nextTo"/>
        <c:crossAx val="182766160"/>
        <c:crosses val="autoZero"/>
        <c:auto val="1"/>
        <c:lblAlgn val="ctr"/>
        <c:lblOffset val="100"/>
        <c:noMultiLvlLbl val="0"/>
      </c:catAx>
      <c:valAx>
        <c:axId val="18276616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82766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r>
              <a:rPr lang="en-US">
                <a:solidFill>
                  <a:srgbClr val="000000"/>
                </a:solidFill>
              </a:rPr>
              <a:t>$872,000</a:t>
            </a:r>
          </a:p>
        </c:rich>
      </c:tx>
      <c:layout>
        <c:manualLayout>
          <c:xMode val="edge"/>
          <c:yMode val="edge"/>
          <c:x val="0.39707696823477018"/>
          <c:y val="3.0759356475510587E-2"/>
        </c:manualLayout>
      </c:layout>
      <c:overlay val="0"/>
      <c:spPr>
        <a:noFill/>
        <a:ln>
          <a:noFill/>
        </a:ln>
        <a:effectLst/>
      </c:spPr>
      <c:txPr>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endParaRPr lang="en-US"/>
        </a:p>
      </c:txPr>
    </c:title>
    <c:autoTitleDeleted val="0"/>
    <c:plotArea>
      <c:layout/>
      <c:barChart>
        <c:barDir val="col"/>
        <c:grouping val="clustered"/>
        <c:varyColors val="0"/>
        <c:ser>
          <c:idx val="0"/>
          <c:order val="0"/>
          <c:tx>
            <c:strRef>
              <c:f>'FHM Expenses'!$M$33</c:f>
              <c:strCache>
                <c:ptCount val="1"/>
                <c:pt idx="0">
                  <c:v> Jeffco Purchased Services </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Expenses'!$P$33</c:f>
              <c:numCache>
                <c:formatCode>_("$"* #,##0.00_);_("$"* \(#,##0.00\);_("$"* "-"??_);_(@_)</c:formatCode>
                <c:ptCount val="1"/>
                <c:pt idx="0">
                  <c:v>387483.52</c:v>
                </c:pt>
              </c:numCache>
            </c:numRef>
          </c:val>
          <c:extLst>
            <c:ext xmlns:c16="http://schemas.microsoft.com/office/drawing/2014/chart" uri="{C3380CC4-5D6E-409C-BE32-E72D297353CC}">
              <c16:uniqueId val="{00000000-EAAB-4435-A26D-E7F78BE18E08}"/>
            </c:ext>
          </c:extLst>
        </c:ser>
        <c:ser>
          <c:idx val="1"/>
          <c:order val="1"/>
          <c:tx>
            <c:strRef>
              <c:f>'FHM Expenses'!$M$34</c:f>
              <c:strCache>
                <c:ptCount val="1"/>
                <c:pt idx="0">
                  <c:v>Other Services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Expenses'!$P$34</c:f>
              <c:numCache>
                <c:formatCode>_("$"* #,##0.00_);_("$"* \(#,##0.00\);_("$"* "-"??_);_(@_)</c:formatCode>
                <c:ptCount val="1"/>
                <c:pt idx="0">
                  <c:v>234000</c:v>
                </c:pt>
              </c:numCache>
            </c:numRef>
          </c:val>
          <c:extLst>
            <c:ext xmlns:c16="http://schemas.microsoft.com/office/drawing/2014/chart" uri="{C3380CC4-5D6E-409C-BE32-E72D297353CC}">
              <c16:uniqueId val="{00000001-EAAB-4435-A26D-E7F78BE18E08}"/>
            </c:ext>
          </c:extLst>
        </c:ser>
        <c:ser>
          <c:idx val="2"/>
          <c:order val="2"/>
          <c:tx>
            <c:strRef>
              <c:f>'FHM Expenses'!$M$35</c:f>
              <c:strCache>
                <c:ptCount val="1"/>
                <c:pt idx="0">
                  <c:v> Facilities </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Expenses'!$P$35</c:f>
              <c:numCache>
                <c:formatCode>_("$"* #,##0.00_);_("$"* \(#,##0.00\);_("$"* "-"??_);_(@_)</c:formatCode>
                <c:ptCount val="1"/>
                <c:pt idx="0">
                  <c:v>250000</c:v>
                </c:pt>
              </c:numCache>
            </c:numRef>
          </c:val>
          <c:extLst>
            <c:ext xmlns:c16="http://schemas.microsoft.com/office/drawing/2014/chart" uri="{C3380CC4-5D6E-409C-BE32-E72D297353CC}">
              <c16:uniqueId val="{00000002-EAAB-4435-A26D-E7F78BE18E08}"/>
            </c:ext>
          </c:extLst>
        </c:ser>
        <c:dLbls>
          <c:showLegendKey val="0"/>
          <c:showVal val="0"/>
          <c:showCatName val="0"/>
          <c:showSerName val="0"/>
          <c:showPercent val="0"/>
          <c:showBubbleSize val="0"/>
        </c:dLbls>
        <c:gapWidth val="100"/>
        <c:overlap val="-24"/>
        <c:axId val="476745008"/>
        <c:axId val="476743568"/>
      </c:barChart>
      <c:catAx>
        <c:axId val="476745008"/>
        <c:scaling>
          <c:orientation val="minMax"/>
        </c:scaling>
        <c:delete val="1"/>
        <c:axPos val="b"/>
        <c:majorTickMark val="none"/>
        <c:minorTickMark val="none"/>
        <c:tickLblPos val="nextTo"/>
        <c:crossAx val="476743568"/>
        <c:crosses val="autoZero"/>
        <c:auto val="1"/>
        <c:lblAlgn val="ctr"/>
        <c:lblOffset val="100"/>
        <c:noMultiLvlLbl val="0"/>
      </c:catAx>
      <c:valAx>
        <c:axId val="476743568"/>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476745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r>
              <a:rPr lang="en-US">
                <a:solidFill>
                  <a:srgbClr val="000000"/>
                </a:solidFill>
              </a:rPr>
              <a:t>$23,000</a:t>
            </a:r>
          </a:p>
        </c:rich>
      </c:tx>
      <c:overlay val="0"/>
      <c:spPr>
        <a:noFill/>
        <a:ln>
          <a:noFill/>
        </a:ln>
        <a:effectLst/>
      </c:spPr>
      <c:txPr>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endParaRPr lang="en-US"/>
        </a:p>
      </c:txPr>
    </c:title>
    <c:autoTitleDeleted val="0"/>
    <c:plotArea>
      <c:layout/>
      <c:barChart>
        <c:barDir val="col"/>
        <c:grouping val="clustered"/>
        <c:varyColors val="0"/>
        <c:ser>
          <c:idx val="0"/>
          <c:order val="0"/>
          <c:tx>
            <c:strRef>
              <c:f>'FHM Expenses'!$S$34</c:f>
              <c:strCache>
                <c:ptCount val="1"/>
                <c:pt idx="0">
                  <c:v> Copier/Printing </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Expenses'!$V$34</c:f>
              <c:numCache>
                <c:formatCode>_("$"* #,##0.00_);_("$"* \(#,##0.00\);_("$"* "-"??_);_(@_)</c:formatCode>
                <c:ptCount val="1"/>
                <c:pt idx="0">
                  <c:v>15000</c:v>
                </c:pt>
              </c:numCache>
            </c:numRef>
          </c:val>
          <c:extLst>
            <c:ext xmlns:c16="http://schemas.microsoft.com/office/drawing/2014/chart" uri="{C3380CC4-5D6E-409C-BE32-E72D297353CC}">
              <c16:uniqueId val="{00000000-8507-46DA-BAAF-A1E05E4E4954}"/>
            </c:ext>
          </c:extLst>
        </c:ser>
        <c:ser>
          <c:idx val="1"/>
          <c:order val="1"/>
          <c:tx>
            <c:strRef>
              <c:f>'FHM Expenses'!$S$35</c:f>
              <c:strCache>
                <c:ptCount val="1"/>
                <c:pt idx="0">
                  <c:v> Office Supplies </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Expenses'!$V$35</c:f>
              <c:numCache>
                <c:formatCode>_("$"* #,##0.00_);_("$"* \(#,##0.00\);_("$"* "-"??_);_(@_)</c:formatCode>
                <c:ptCount val="1"/>
                <c:pt idx="0">
                  <c:v>1000</c:v>
                </c:pt>
              </c:numCache>
            </c:numRef>
          </c:val>
          <c:extLst>
            <c:ext xmlns:c16="http://schemas.microsoft.com/office/drawing/2014/chart" uri="{C3380CC4-5D6E-409C-BE32-E72D297353CC}">
              <c16:uniqueId val="{00000001-8507-46DA-BAAF-A1E05E4E4954}"/>
            </c:ext>
          </c:extLst>
        </c:ser>
        <c:ser>
          <c:idx val="2"/>
          <c:order val="2"/>
          <c:tx>
            <c:strRef>
              <c:f>'FHM Expenses'!$S$36</c:f>
              <c:strCache>
                <c:ptCount val="1"/>
                <c:pt idx="0">
                  <c:v> Student Supplies  </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Expenses'!$V$36</c:f>
              <c:numCache>
                <c:formatCode>_("$"* #,##0.00_);_("$"* \(#,##0.00\);_("$"* "-"??_);_(@_)</c:formatCode>
                <c:ptCount val="1"/>
                <c:pt idx="0">
                  <c:v>7500</c:v>
                </c:pt>
              </c:numCache>
            </c:numRef>
          </c:val>
          <c:extLst>
            <c:ext xmlns:c16="http://schemas.microsoft.com/office/drawing/2014/chart" uri="{C3380CC4-5D6E-409C-BE32-E72D297353CC}">
              <c16:uniqueId val="{00000002-8507-46DA-BAAF-A1E05E4E4954}"/>
            </c:ext>
          </c:extLst>
        </c:ser>
        <c:dLbls>
          <c:showLegendKey val="0"/>
          <c:showVal val="0"/>
          <c:showCatName val="0"/>
          <c:showSerName val="0"/>
          <c:showPercent val="0"/>
          <c:showBubbleSize val="0"/>
        </c:dLbls>
        <c:gapWidth val="100"/>
        <c:overlap val="-24"/>
        <c:axId val="89766016"/>
        <c:axId val="89767936"/>
      </c:barChart>
      <c:catAx>
        <c:axId val="89766016"/>
        <c:scaling>
          <c:orientation val="minMax"/>
        </c:scaling>
        <c:delete val="1"/>
        <c:axPos val="b"/>
        <c:majorTickMark val="none"/>
        <c:minorTickMark val="none"/>
        <c:tickLblPos val="nextTo"/>
        <c:crossAx val="89767936"/>
        <c:crosses val="autoZero"/>
        <c:auto val="1"/>
        <c:lblAlgn val="ctr"/>
        <c:lblOffset val="100"/>
        <c:noMultiLvlLbl val="0"/>
      </c:catAx>
      <c:valAx>
        <c:axId val="8976793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89766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sz="1600" b="1">
                <a:solidFill>
                  <a:sysClr val="windowText" lastClr="000000"/>
                </a:solidFill>
              </a:rPr>
              <a:t>2026-2027 </a:t>
            </a:r>
          </a:p>
          <a:p>
            <a:pPr>
              <a:defRPr>
                <a:solidFill>
                  <a:sysClr val="windowText" lastClr="000000"/>
                </a:solidFill>
              </a:defRPr>
            </a:pPr>
            <a:r>
              <a:rPr lang="en-US" sz="1600" b="1" baseline="0">
                <a:solidFill>
                  <a:sysClr val="windowText" lastClr="000000"/>
                </a:solidFill>
              </a:rPr>
              <a:t>Grant Award</a:t>
            </a:r>
            <a:endParaRPr lang="en-US" sz="1600" b="1">
              <a:solidFill>
                <a:sysClr val="windowText" lastClr="000000"/>
              </a:solidFill>
            </a:endParaRPr>
          </a:p>
        </c:rich>
      </c:tx>
      <c:layout>
        <c:manualLayout>
          <c:xMode val="edge"/>
          <c:yMode val="edge"/>
          <c:x val="9.5823696470770502E-3"/>
          <c:y val="1.7792460323246634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3.5135355372615848E-2"/>
          <c:y val="0.25559757160304358"/>
          <c:w val="0.96486464462738419"/>
          <c:h val="0.45947167287796564"/>
        </c:manualLayout>
      </c:layout>
      <c:pie3DChart>
        <c:varyColors val="1"/>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1-A9F0-4384-914C-A7877FA9C39A}"/>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3-A9F0-4384-914C-A7877FA9C39A}"/>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5-A9F0-4384-914C-A7877FA9C39A}"/>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16-A9F0-4384-914C-A7877FA9C39A}"/>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9-091C-4C89-84F1-323BF71961DA}"/>
              </c:ext>
            </c:extLst>
          </c:dPt>
          <c:dLbls>
            <c:dLbl>
              <c:idx val="0"/>
              <c:layout>
                <c:manualLayout>
                  <c:x val="3.5135355372615848E-2"/>
                  <c:y val="-2.5173713116251623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9F0-4384-914C-A7877FA9C39A}"/>
                </c:ext>
              </c:extLst>
            </c:dLbl>
            <c:dLbl>
              <c:idx val="1"/>
              <c:layout>
                <c:manualLayout>
                  <c:x val="8.0499450208397095E-3"/>
                  <c:y val="-1.7273529646381007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9F0-4384-914C-A7877FA9C39A}"/>
                </c:ext>
              </c:extLst>
            </c:dLbl>
            <c:dLbl>
              <c:idx val="2"/>
              <c:layout>
                <c:manualLayout>
                  <c:x val="-3.0336359362087011E-3"/>
                  <c:y val="-9.710026806920132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9F0-4384-914C-A7877FA9C39A}"/>
                </c:ext>
              </c:extLst>
            </c:dLbl>
            <c:dLbl>
              <c:idx val="3"/>
              <c:layout>
                <c:manualLayout>
                  <c:x val="2.8058361391694726E-2"/>
                  <c:y val="-4.566210045662121E-3"/>
                </c:manualLayout>
              </c:layout>
              <c:dLblPos val="bestFit"/>
              <c:showLegendKey val="0"/>
              <c:showVal val="0"/>
              <c:showCatName val="0"/>
              <c:showSerName val="0"/>
              <c:showPercent val="1"/>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16-A9F0-4384-914C-A7877FA9C39A}"/>
                </c:ext>
              </c:extLst>
            </c:dLbl>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rgbClr val="000000"/>
                    </a:solidFill>
                    <a:latin typeface="+mn-lt"/>
                    <a:ea typeface="+mn-ea"/>
                    <a:cs typeface="+mn-cs"/>
                  </a:defRPr>
                </a:pPr>
                <a:endParaRPr lang="en-US"/>
              </a:p>
            </c:txPr>
            <c:dLblPos val="inEnd"/>
            <c:showLegendKey val="0"/>
            <c:showVal val="0"/>
            <c:showCatName val="0"/>
            <c:showSerName val="0"/>
            <c:showPercent val="1"/>
            <c:showBubbleSize val="0"/>
            <c:showLeaderLines val="0"/>
            <c:extLst>
              <c:ext xmlns:c15="http://schemas.microsoft.com/office/drawing/2012/chart" uri="{CE6537A1-D6FC-4f65-9D91-7224C49458BB}"/>
            </c:extLst>
          </c:dLbls>
          <c:cat>
            <c:strRef>
              <c:extLst>
                <c:ext xmlns:c15="http://schemas.microsoft.com/office/drawing/2012/chart" uri="{02D57815-91ED-43cb-92C2-25804820EDAC}">
                  <c15:fullRef>
                    <c15:sqref>'FHM Revenue'!$A$32:$A$37</c15:sqref>
                  </c15:fullRef>
                </c:ext>
              </c:extLst>
              <c:f>'FHM Revenue'!$A$33:$A$37</c:f>
              <c:strCache>
                <c:ptCount val="5"/>
                <c:pt idx="0">
                  <c:v> Employee Training </c:v>
                </c:pt>
                <c:pt idx="1">
                  <c:v> Contracted Services </c:v>
                </c:pt>
                <c:pt idx="2">
                  <c:v> Technology </c:v>
                </c:pt>
                <c:pt idx="3">
                  <c:v> Classroom Materials </c:v>
                </c:pt>
                <c:pt idx="4">
                  <c:v>Curriculum</c:v>
                </c:pt>
              </c:strCache>
            </c:strRef>
          </c:cat>
          <c:val>
            <c:numRef>
              <c:extLst>
                <c:ext xmlns:c15="http://schemas.microsoft.com/office/drawing/2012/chart" uri="{02D57815-91ED-43cb-92C2-25804820EDAC}">
                  <c15:fullRef>
                    <c15:sqref>'FHM Revenue'!$D$32:$D$37</c15:sqref>
                  </c15:fullRef>
                </c:ext>
              </c:extLst>
              <c:f>'FHM Revenue'!$D$33:$D$37</c:f>
              <c:numCache>
                <c:formatCode>_("$"* #,##0.00_);_("$"* \(#,##0.00\);_("$"* "-"??_);_(@_)</c:formatCode>
                <c:ptCount val="5"/>
                <c:pt idx="0">
                  <c:v>43200</c:v>
                </c:pt>
                <c:pt idx="1">
                  <c:v>6000</c:v>
                </c:pt>
                <c:pt idx="2">
                  <c:v>139000</c:v>
                </c:pt>
                <c:pt idx="3">
                  <c:v>192660</c:v>
                </c:pt>
                <c:pt idx="4">
                  <c:v>82335</c:v>
                </c:pt>
              </c:numCache>
            </c:numRef>
          </c:val>
          <c:extLst>
            <c:ext xmlns:c15="http://schemas.microsoft.com/office/drawing/2012/chart" uri="{02D57815-91ED-43cb-92C2-25804820EDAC}">
              <c15:categoryFilterExceptions>
                <c15:categoryFilterException>
                  <c15:sqref>'FHM Revenue'!$D$32</c15:sqref>
                  <c15:spPr xmlns:c15="http://schemas.microsoft.com/office/drawing/2012/chart">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15:spPr>
                  <c15:bubble3D val="0"/>
                </c15:categoryFilterException>
              </c15:categoryFilterExceptions>
            </c:ext>
            <c:ext xmlns:c16="http://schemas.microsoft.com/office/drawing/2014/chart" uri="{C3380CC4-5D6E-409C-BE32-E72D297353CC}">
              <c16:uniqueId val="{00000006-A9F0-4384-914C-A7877FA9C39A}"/>
            </c:ext>
          </c:extLst>
        </c:ser>
        <c:dLbls>
          <c:dLblPos val="inEnd"/>
          <c:showLegendKey val="0"/>
          <c:showVal val="0"/>
          <c:showCatName val="0"/>
          <c:showSerName val="0"/>
          <c:showPercent val="1"/>
          <c:showBubbleSize val="0"/>
          <c:showLeaderLines val="0"/>
        </c:dLbls>
        <c:extLst>
          <c:ext xmlns:c15="http://schemas.microsoft.com/office/drawing/2012/chart" uri="{02D57815-91ED-43cb-92C2-25804820EDAC}">
            <c15:filteredPieSeries>
              <c15: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8-A9F0-4384-914C-A7877FA9C39A}"/>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A-A9F0-4384-914C-A7877FA9C39A}"/>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C-A9F0-4384-914C-A7877FA9C39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ullRef>
                          <c15:sqref>'FHM Revenue'!$A$32:$A$37</c15:sqref>
                        </c15:fullRef>
                        <c15:formulaRef>
                          <c15:sqref>'FHM Revenue'!$A$33:$A$37</c15:sqref>
                        </c15:formulaRef>
                      </c:ext>
                    </c:extLst>
                    <c:strCache>
                      <c:ptCount val="5"/>
                      <c:pt idx="0">
                        <c:v> Employee Training </c:v>
                      </c:pt>
                      <c:pt idx="1">
                        <c:v> Contracted Services </c:v>
                      </c:pt>
                      <c:pt idx="2">
                        <c:v> Technology </c:v>
                      </c:pt>
                      <c:pt idx="3">
                        <c:v> Classroom Materials </c:v>
                      </c:pt>
                      <c:pt idx="4">
                        <c:v>Curriculum</c:v>
                      </c:pt>
                    </c:strCache>
                  </c:strRef>
                </c:cat>
                <c:val>
                  <c:numRef>
                    <c:extLst>
                      <c:ext uri="{02D57815-91ED-43cb-92C2-25804820EDAC}">
                        <c15:fullRef>
                          <c15:sqref>'FHM Revenue'!$B$32:$B$35</c15:sqref>
                        </c15:fullRef>
                        <c15:formulaRef>
                          <c15:sqref>'FHM Revenue'!$B$33:$B$35</c15:sqref>
                        </c15:formulaRef>
                      </c:ext>
                    </c:extLst>
                    <c:numCache>
                      <c:formatCode>_("$"* #,##0.00_);_("$"* \(#,##0.00\);_("$"* "-"??_);_(@_)</c:formatCode>
                      <c:ptCount val="3"/>
                    </c:numCache>
                  </c:numRef>
                </c:val>
                <c:extLst>
                  <c:ext uri="{02D57815-91ED-43cb-92C2-25804820EDAC}">
                    <c15:categoryFilterExceptions>
                      <c15:categoryFilterException>
                        <c15:sqref>'FHM Revenue'!$B$32</c15:sqref>
                        <c15:spPr xmlns:c15="http://schemas.microsoft.com/office/drawing/2012/chart">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15:spPr>
                        <c15:bubble3D val="0"/>
                      </c15:categoryFilterException>
                    </c15:categoryFilterExceptions>
                  </c:ext>
                  <c:ext xmlns:c16="http://schemas.microsoft.com/office/drawing/2014/chart" uri="{C3380CC4-5D6E-409C-BE32-E72D297353CC}">
                    <c16:uniqueId val="{0000000D-A9F0-4384-914C-A7877FA9C39A}"/>
                  </c:ext>
                </c:extLst>
              </c15:ser>
            </c15:filteredPieSeries>
            <c15:filteredPieSeries>
              <c15: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xmlns:c15="http://schemas.microsoft.com/office/drawing/2012/chart">
                    <c:ext xmlns:c16="http://schemas.microsoft.com/office/drawing/2014/chart" uri="{C3380CC4-5D6E-409C-BE32-E72D297353CC}">
                      <c16:uniqueId val="{0000000F-A9F0-4384-914C-A7877FA9C39A}"/>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xmlns:c15="http://schemas.microsoft.com/office/drawing/2012/chart">
                    <c:ext xmlns:c16="http://schemas.microsoft.com/office/drawing/2014/chart" uri="{C3380CC4-5D6E-409C-BE32-E72D297353CC}">
                      <c16:uniqueId val="{00000011-A9F0-4384-914C-A7877FA9C39A}"/>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13-A9F0-4384-914C-A7877FA9C39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c:ext xmlns:c15="http://schemas.microsoft.com/office/drawing/2012/chart" uri="{02D57815-91ED-43cb-92C2-25804820EDAC}">
                        <c15:fullRef>
                          <c15:sqref>'FHM Revenue'!$A$32:$A$37</c15:sqref>
                        </c15:fullRef>
                        <c15:formulaRef>
                          <c15:sqref>'FHM Revenue'!$A$33:$A$37</c15:sqref>
                        </c15:formulaRef>
                      </c:ext>
                    </c:extLst>
                    <c:strCache>
                      <c:ptCount val="5"/>
                      <c:pt idx="0">
                        <c:v> Employee Training </c:v>
                      </c:pt>
                      <c:pt idx="1">
                        <c:v> Contracted Services </c:v>
                      </c:pt>
                      <c:pt idx="2">
                        <c:v> Technology </c:v>
                      </c:pt>
                      <c:pt idx="3">
                        <c:v> Classroom Materials </c:v>
                      </c:pt>
                      <c:pt idx="4">
                        <c:v>Curriculum</c:v>
                      </c:pt>
                    </c:strCache>
                  </c:strRef>
                </c:cat>
                <c:val>
                  <c:numRef>
                    <c:extLst>
                      <c:ext xmlns:c15="http://schemas.microsoft.com/office/drawing/2012/chart" uri="{02D57815-91ED-43cb-92C2-25804820EDAC}">
                        <c15:fullRef>
                          <c15:sqref>'FHM Revenue'!$C$32:$C$35</c15:sqref>
                        </c15:fullRef>
                        <c15:formulaRef>
                          <c15:sqref>'FHM Revenue'!$C$33:$C$35</c15:sqref>
                        </c15:formulaRef>
                      </c:ext>
                    </c:extLst>
                    <c:numCache>
                      <c:formatCode>_("$"* #,##0.00_);_("$"* \(#,##0.00\);_("$"* "-"??_);_(@_)</c:formatCode>
                      <c:ptCount val="3"/>
                    </c:numCache>
                  </c:numRef>
                </c:val>
                <c:extLst xmlns:c15="http://schemas.microsoft.com/office/drawing/2012/chart">
                  <c:ext xmlns:c15="http://schemas.microsoft.com/office/drawing/2012/chart" uri="{02D57815-91ED-43cb-92C2-25804820EDAC}">
                    <c15:categoryFilterExceptions>
                      <c15:categoryFilterException>
                        <c15:sqref>'FHM Revenue'!$C$32</c15:sqref>
                        <c15:spPr xmlns:c15="http://schemas.microsoft.com/office/drawing/2012/chart">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15:spPr>
                        <c15:bubble3D val="0"/>
                      </c15:categoryFilterException>
                    </c15:categoryFilterExceptions>
                  </c:ext>
                  <c:ext xmlns:c16="http://schemas.microsoft.com/office/drawing/2014/chart" uri="{C3380CC4-5D6E-409C-BE32-E72D297353CC}">
                    <c16:uniqueId val="{00000014-A9F0-4384-914C-A7877FA9C39A}"/>
                  </c:ext>
                </c:extLst>
              </c15:ser>
            </c15:filteredPieSeries>
          </c:ext>
        </c:extLst>
      </c:pie3DChart>
      <c:spPr>
        <a:noFill/>
        <a:ln>
          <a:noFill/>
        </a:ln>
        <a:effectLst>
          <a:softEdge rad="12700"/>
        </a:effectLst>
      </c:spPr>
    </c:plotArea>
    <c:legend>
      <c:legendPos val="b"/>
      <c:layout>
        <c:manualLayout>
          <c:xMode val="edge"/>
          <c:yMode val="edge"/>
          <c:x val="9.1940447458936647E-3"/>
          <c:y val="0.80962449146938009"/>
          <c:w val="0.98597081930415265"/>
          <c:h val="0.1897768083447484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a:softEdge rad="0"/>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r>
              <a:rPr lang="en-US">
                <a:solidFill>
                  <a:sysClr val="windowText" lastClr="000000"/>
                </a:solidFill>
              </a:rPr>
              <a:t>FHM Revenue</a:t>
            </a:r>
          </a:p>
        </c:rich>
      </c:tx>
      <c:layout>
        <c:manualLayout>
          <c:xMode val="edge"/>
          <c:yMode val="edge"/>
          <c:x val="2.6297931575939907E-2"/>
          <c:y val="1.5264348825353801E-2"/>
        </c:manualLayout>
      </c:layout>
      <c:overlay val="0"/>
      <c:spPr>
        <a:noFill/>
        <a:ln>
          <a:noFill/>
        </a:ln>
        <a:effectLst/>
      </c:spPr>
      <c:txPr>
        <a:bodyPr rot="0" spcFirstLastPara="1" vertOverflow="ellipsis" vert="horz" wrap="square" anchor="ctr" anchorCtr="1"/>
        <a:lstStyle/>
        <a:p>
          <a:pPr>
            <a:defRPr sz="1600" b="1" i="0" u="none" strike="noStrike" kern="1200" baseline="0">
              <a:solidFill>
                <a:sysClr val="windowText" lastClr="000000"/>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2"/>
          <c:order val="2"/>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1-19CC-4223-9EF5-D721EC21525F}"/>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3-19CC-4223-9EF5-D721EC21525F}"/>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5-19CC-4223-9EF5-D721EC21525F}"/>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7-19CC-4223-9EF5-D721EC21525F}"/>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9-19CC-4223-9EF5-D721EC21525F}"/>
              </c:ext>
            </c:extLst>
          </c:dPt>
          <c:dPt>
            <c:idx val="5"/>
            <c:bubble3D val="0"/>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a:sp3d>
                <a:contourClr>
                  <a:sysClr val="windowText" lastClr="000000"/>
                </a:contourClr>
              </a:sp3d>
            </c:spPr>
            <c:extLst>
              <c:ext xmlns:c16="http://schemas.microsoft.com/office/drawing/2014/chart" uri="{C3380CC4-5D6E-409C-BE32-E72D297353CC}">
                <c16:uniqueId val="{0000000B-19CC-4223-9EF5-D721EC21525F}"/>
              </c:ext>
            </c:extLst>
          </c:dPt>
          <c:dLbls>
            <c:dLbl>
              <c:idx val="0"/>
              <c:layout>
                <c:manualLayout>
                  <c:x val="-8.6226889959095301E-3"/>
                  <c:y val="4.8883533473587969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9CC-4223-9EF5-D721EC21525F}"/>
                </c:ext>
              </c:extLst>
            </c:dLbl>
            <c:dLbl>
              <c:idx val="1"/>
              <c:layout>
                <c:manualLayout>
                  <c:x val="-1.8148294893329791E-2"/>
                  <c:y val="-1.4433771406103416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9CC-4223-9EF5-D721EC21525F}"/>
                </c:ext>
              </c:extLst>
            </c:dLbl>
            <c:dLbl>
              <c:idx val="4"/>
              <c:layout>
                <c:manualLayout>
                  <c:x val="8.440766307471665E-3"/>
                  <c:y val="5.3953743179819659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19CC-4223-9EF5-D721EC21525F}"/>
                </c:ext>
              </c:extLst>
            </c:dLbl>
            <c:dLbl>
              <c:idx val="5"/>
              <c:layout>
                <c:manualLayout>
                  <c:x val="1.8720625903335435E-2"/>
                  <c:y val="-2.5591407309718877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19CC-4223-9EF5-D721EC21525F}"/>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000000"/>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'FHM Revenue'!$G$32:$G$37</c:f>
              <c:strCache>
                <c:ptCount val="6"/>
                <c:pt idx="0">
                  <c:v> UPK </c:v>
                </c:pt>
                <c:pt idx="1">
                  <c:v>Tuition</c:v>
                </c:pt>
                <c:pt idx="2">
                  <c:v>  Mill Levy Override </c:v>
                </c:pt>
                <c:pt idx="3">
                  <c:v>  PPR </c:v>
                </c:pt>
                <c:pt idx="4">
                  <c:v>  SPED Tier A </c:v>
                </c:pt>
                <c:pt idx="5">
                  <c:v> Capital Outlay </c:v>
                </c:pt>
              </c:strCache>
            </c:strRef>
          </c:cat>
          <c:val>
            <c:numRef>
              <c:f>'FHM Revenue'!$J$32:$J$37</c:f>
              <c:numCache>
                <c:formatCode>_("$"* #,##0.00_);_("$"* \(#,##0.00\);_("$"* "-"??_);_(@_)</c:formatCode>
                <c:ptCount val="6"/>
                <c:pt idx="0">
                  <c:v>281079.78000000003</c:v>
                </c:pt>
                <c:pt idx="1">
                  <c:v>528452.04820452991</c:v>
                </c:pt>
                <c:pt idx="2">
                  <c:v>526000</c:v>
                </c:pt>
                <c:pt idx="3">
                  <c:v>3025000</c:v>
                </c:pt>
                <c:pt idx="4">
                  <c:v>83000</c:v>
                </c:pt>
                <c:pt idx="5">
                  <c:v>50311.9</c:v>
                </c:pt>
              </c:numCache>
            </c:numRef>
          </c:val>
          <c:extLst>
            <c:ext xmlns:c16="http://schemas.microsoft.com/office/drawing/2014/chart" uri="{C3380CC4-5D6E-409C-BE32-E72D297353CC}">
              <c16:uniqueId val="{0000000C-19CC-4223-9EF5-D721EC21525F}"/>
            </c:ext>
          </c:extLst>
        </c:ser>
        <c:dLbls>
          <c:dLblPos val="inEnd"/>
          <c:showLegendKey val="0"/>
          <c:showVal val="0"/>
          <c:showCatName val="0"/>
          <c:showSerName val="0"/>
          <c:showPercent val="1"/>
          <c:showBubbleSize val="0"/>
          <c:showLeaderLines val="1"/>
        </c:dLbls>
        <c:extLst>
          <c:ext xmlns:c15="http://schemas.microsoft.com/office/drawing/2012/chart" uri="{02D57815-91ED-43cb-92C2-25804820EDAC}">
            <c15:filteredPieSeries>
              <c15: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0E-19CC-4223-9EF5-D721EC21525F}"/>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10-19CC-4223-9EF5-D721EC21525F}"/>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12-19CC-4223-9EF5-D721EC21525F}"/>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14-19CC-4223-9EF5-D721EC21525F}"/>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c:ext xmlns:c16="http://schemas.microsoft.com/office/drawing/2014/chart" uri="{C3380CC4-5D6E-409C-BE32-E72D297353CC}">
                      <c16:uniqueId val="{00000016-19CC-4223-9EF5-D721EC21525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'FHM Revenue'!$G$32:$G$37</c15:sqref>
                        </c15:formulaRef>
                      </c:ext>
                    </c:extLst>
                    <c:strCache>
                      <c:ptCount val="6"/>
                      <c:pt idx="0">
                        <c:v> UPK </c:v>
                      </c:pt>
                      <c:pt idx="1">
                        <c:v>Tuition</c:v>
                      </c:pt>
                      <c:pt idx="2">
                        <c:v>  Mill Levy Override </c:v>
                      </c:pt>
                      <c:pt idx="3">
                        <c:v>  PPR </c:v>
                      </c:pt>
                      <c:pt idx="4">
                        <c:v>  SPED Tier A </c:v>
                      </c:pt>
                      <c:pt idx="5">
                        <c:v> Capital Outlay </c:v>
                      </c:pt>
                    </c:strCache>
                  </c:strRef>
                </c:cat>
                <c:val>
                  <c:numRef>
                    <c:extLst>
                      <c:ext uri="{02D57815-91ED-43cb-92C2-25804820EDAC}">
                        <c15:formulaRef>
                          <c15:sqref>'FHM Revenue'!$H$32:$H$36</c15:sqref>
                        </c15:formulaRef>
                      </c:ext>
                    </c:extLst>
                    <c:numCache>
                      <c:formatCode>General</c:formatCode>
                      <c:ptCount val="5"/>
                    </c:numCache>
                  </c:numRef>
                </c:val>
                <c:extLst>
                  <c:ext xmlns:c16="http://schemas.microsoft.com/office/drawing/2014/chart" uri="{C3380CC4-5D6E-409C-BE32-E72D297353CC}">
                    <c16:uniqueId val="{00000017-19CC-4223-9EF5-D721EC21525F}"/>
                  </c:ext>
                </c:extLst>
              </c15:ser>
            </c15:filteredPieSeries>
            <c15:filteredPieSeries>
              <c15:ser>
                <c:idx val="1"/>
                <c:order val="1"/>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xmlns:c15="http://schemas.microsoft.com/office/drawing/2012/chart">
                    <c:ext xmlns:c16="http://schemas.microsoft.com/office/drawing/2014/chart" uri="{C3380CC4-5D6E-409C-BE32-E72D297353CC}">
                      <c16:uniqueId val="{00000019-19CC-4223-9EF5-D721EC21525F}"/>
                    </c:ext>
                  </c:extLst>
                </c:dPt>
                <c:dPt>
                  <c:idx val="1"/>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xmlns:c15="http://schemas.microsoft.com/office/drawing/2012/chart">
                    <c:ext xmlns:c16="http://schemas.microsoft.com/office/drawing/2014/chart" uri="{C3380CC4-5D6E-409C-BE32-E72D297353CC}">
                      <c16:uniqueId val="{0000001B-19CC-4223-9EF5-D721EC21525F}"/>
                    </c:ext>
                  </c:extLst>
                </c:dPt>
                <c:dPt>
                  <c:idx val="2"/>
                  <c:bubble3D val="0"/>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xmlns:c15="http://schemas.microsoft.com/office/drawing/2012/chart">
                    <c:ext xmlns:c16="http://schemas.microsoft.com/office/drawing/2014/chart" uri="{C3380CC4-5D6E-409C-BE32-E72D297353CC}">
                      <c16:uniqueId val="{0000001D-19CC-4223-9EF5-D721EC21525F}"/>
                    </c:ext>
                  </c:extLst>
                </c:dPt>
                <c:dPt>
                  <c:idx val="3"/>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xmlns:c15="http://schemas.microsoft.com/office/drawing/2012/chart">
                    <c:ext xmlns:c16="http://schemas.microsoft.com/office/drawing/2014/chart" uri="{C3380CC4-5D6E-409C-BE32-E72D297353CC}">
                      <c16:uniqueId val="{0000001F-19CC-4223-9EF5-D721EC21525F}"/>
                    </c:ext>
                  </c:extLst>
                </c:dPt>
                <c:dPt>
                  <c:idx val="4"/>
                  <c:bubble3D val="0"/>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extLst xmlns:c15="http://schemas.microsoft.com/office/drawing/2012/chart">
                    <c:ext xmlns:c16="http://schemas.microsoft.com/office/drawing/2014/chart" uri="{C3380CC4-5D6E-409C-BE32-E72D297353CC}">
                      <c16:uniqueId val="{00000021-19CC-4223-9EF5-D721EC21525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'FHM Revenue'!$G$32:$G$37</c15:sqref>
                        </c15:formulaRef>
                      </c:ext>
                    </c:extLst>
                    <c:strCache>
                      <c:ptCount val="6"/>
                      <c:pt idx="0">
                        <c:v> UPK </c:v>
                      </c:pt>
                      <c:pt idx="1">
                        <c:v>Tuition</c:v>
                      </c:pt>
                      <c:pt idx="2">
                        <c:v>  Mill Levy Override </c:v>
                      </c:pt>
                      <c:pt idx="3">
                        <c:v>  PPR </c:v>
                      </c:pt>
                      <c:pt idx="4">
                        <c:v>  SPED Tier A </c:v>
                      </c:pt>
                      <c:pt idx="5">
                        <c:v> Capital Outlay </c:v>
                      </c:pt>
                    </c:strCache>
                  </c:strRef>
                </c:cat>
                <c:val>
                  <c:numRef>
                    <c:extLst xmlns:c15="http://schemas.microsoft.com/office/drawing/2012/chart">
                      <c:ext xmlns:c15="http://schemas.microsoft.com/office/drawing/2012/chart" uri="{02D57815-91ED-43cb-92C2-25804820EDAC}">
                        <c15:formulaRef>
                          <c15:sqref>'FHM Revenue'!$I$32:$I$36</c15:sqref>
                        </c15:formulaRef>
                      </c:ext>
                    </c:extLst>
                    <c:numCache>
                      <c:formatCode>General</c:formatCode>
                      <c:ptCount val="5"/>
                    </c:numCache>
                  </c:numRef>
                </c:val>
                <c:extLst xmlns:c15="http://schemas.microsoft.com/office/drawing/2012/chart">
                  <c:ext xmlns:c16="http://schemas.microsoft.com/office/drawing/2014/chart" uri="{C3380CC4-5D6E-409C-BE32-E72D297353CC}">
                    <c16:uniqueId val="{00000022-19CC-4223-9EF5-D721EC21525F}"/>
                  </c:ext>
                </c:extLst>
              </c15:ser>
            </c15:filteredPieSeries>
          </c:ext>
        </c:extLst>
      </c:pie3DChart>
      <c:spPr>
        <a:noFill/>
        <a:ln>
          <a:noFill/>
        </a:ln>
        <a:effectLst/>
      </c:spPr>
    </c:plotArea>
    <c:legend>
      <c:legendPos val="b"/>
      <c:layout>
        <c:manualLayout>
          <c:xMode val="edge"/>
          <c:yMode val="edge"/>
          <c:x val="5.589606950406182E-2"/>
          <c:y val="0.77327027326454278"/>
          <c:w val="0.90551354753984481"/>
          <c:h val="0.1692578768842994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r>
              <a:rPr lang="en-US">
                <a:solidFill>
                  <a:srgbClr val="000000"/>
                </a:solidFill>
              </a:rPr>
              <a:t>2026-2027</a:t>
            </a:r>
            <a:r>
              <a:rPr lang="en-US" baseline="0">
                <a:solidFill>
                  <a:srgbClr val="000000"/>
                </a:solidFill>
              </a:rPr>
              <a:t> Award</a:t>
            </a:r>
            <a:r>
              <a:rPr lang="en-US">
                <a:solidFill>
                  <a:srgbClr val="000000"/>
                </a:solidFill>
              </a:rPr>
              <a:t>: $496,395</a:t>
            </a:r>
          </a:p>
        </c:rich>
      </c:tx>
      <c:layout>
        <c:manualLayout>
          <c:xMode val="edge"/>
          <c:yMode val="edge"/>
          <c:x val="0.17423132941135341"/>
          <c:y val="3.4362135941093483E-2"/>
        </c:manualLayout>
      </c:layout>
      <c:overlay val="0"/>
      <c:spPr>
        <a:noFill/>
        <a:ln>
          <a:noFill/>
        </a:ln>
        <a:effectLst/>
      </c:spPr>
      <c:txPr>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endParaRPr lang="en-US"/>
        </a:p>
      </c:txPr>
    </c:title>
    <c:autoTitleDeleted val="0"/>
    <c:plotArea>
      <c:layout/>
      <c:barChart>
        <c:barDir val="col"/>
        <c:grouping val="clustered"/>
        <c:varyColors val="0"/>
        <c:ser>
          <c:idx val="0"/>
          <c:order val="0"/>
          <c:tx>
            <c:strRef>
              <c:f>'FHM Revenue'!$A$33</c:f>
              <c:strCache>
                <c:ptCount val="1"/>
                <c:pt idx="0">
                  <c:v> Employee Training </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Revenue'!$D$33</c:f>
              <c:numCache>
                <c:formatCode>_("$"* #,##0.00_);_("$"* \(#,##0.00\);_("$"* "-"??_);_(@_)</c:formatCode>
                <c:ptCount val="1"/>
                <c:pt idx="0">
                  <c:v>43200</c:v>
                </c:pt>
              </c:numCache>
            </c:numRef>
          </c:val>
          <c:extLst>
            <c:ext xmlns:c16="http://schemas.microsoft.com/office/drawing/2014/chart" uri="{C3380CC4-5D6E-409C-BE32-E72D297353CC}">
              <c16:uniqueId val="{00000000-A7FA-42C6-A7AE-867A6DB681A1}"/>
            </c:ext>
          </c:extLst>
        </c:ser>
        <c:ser>
          <c:idx val="1"/>
          <c:order val="1"/>
          <c:tx>
            <c:strRef>
              <c:f>'FHM Revenue'!$A$34</c:f>
              <c:strCache>
                <c:ptCount val="1"/>
                <c:pt idx="0">
                  <c:v> Contracted Services </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Revenue'!$D$34</c:f>
              <c:numCache>
                <c:formatCode>_("$"* #,##0.00_);_("$"* \(#,##0.00\);_("$"* "-"??_);_(@_)</c:formatCode>
                <c:ptCount val="1"/>
                <c:pt idx="0">
                  <c:v>6000</c:v>
                </c:pt>
              </c:numCache>
            </c:numRef>
          </c:val>
          <c:extLst>
            <c:ext xmlns:c16="http://schemas.microsoft.com/office/drawing/2014/chart" uri="{C3380CC4-5D6E-409C-BE32-E72D297353CC}">
              <c16:uniqueId val="{00000001-A7FA-42C6-A7AE-867A6DB681A1}"/>
            </c:ext>
          </c:extLst>
        </c:ser>
        <c:ser>
          <c:idx val="2"/>
          <c:order val="2"/>
          <c:tx>
            <c:strRef>
              <c:f>'FHM Revenue'!$A$35</c:f>
              <c:strCache>
                <c:ptCount val="1"/>
                <c:pt idx="0">
                  <c:v> Technology </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Revenue'!$D$35</c:f>
              <c:numCache>
                <c:formatCode>_("$"* #,##0.00_);_("$"* \(#,##0.00\);_("$"* "-"??_);_(@_)</c:formatCode>
                <c:ptCount val="1"/>
                <c:pt idx="0">
                  <c:v>139000</c:v>
                </c:pt>
              </c:numCache>
            </c:numRef>
          </c:val>
          <c:extLst>
            <c:ext xmlns:c16="http://schemas.microsoft.com/office/drawing/2014/chart" uri="{C3380CC4-5D6E-409C-BE32-E72D297353CC}">
              <c16:uniqueId val="{00000002-A7FA-42C6-A7AE-867A6DB681A1}"/>
            </c:ext>
          </c:extLst>
        </c:ser>
        <c:ser>
          <c:idx val="3"/>
          <c:order val="3"/>
          <c:tx>
            <c:strRef>
              <c:f>'FHM Revenue'!$A$36</c:f>
              <c:strCache>
                <c:ptCount val="1"/>
                <c:pt idx="0">
                  <c:v> Classroom Materials </c:v>
                </c:pt>
              </c:strCache>
            </c:strRef>
          </c:tx>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Pt>
            <c:idx val="0"/>
            <c:invertIfNegative val="0"/>
            <c:bubble3D val="0"/>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extLst>
              <c:ext xmlns:c16="http://schemas.microsoft.com/office/drawing/2014/chart" uri="{C3380CC4-5D6E-409C-BE32-E72D297353CC}">
                <c16:uniqueId val="{00000007-A7FA-42C6-A7AE-867A6DB681A1}"/>
              </c:ext>
            </c:extLst>
          </c:dPt>
          <c:val>
            <c:numRef>
              <c:f>'FHM Revenue'!$D$36</c:f>
              <c:numCache>
                <c:formatCode>_("$"* #,##0.00_);_("$"* \(#,##0.00\);_("$"* "-"??_);_(@_)</c:formatCode>
                <c:ptCount val="1"/>
                <c:pt idx="0">
                  <c:v>192660</c:v>
                </c:pt>
              </c:numCache>
            </c:numRef>
          </c:val>
          <c:extLst>
            <c:ext xmlns:c16="http://schemas.microsoft.com/office/drawing/2014/chart" uri="{C3380CC4-5D6E-409C-BE32-E72D297353CC}">
              <c16:uniqueId val="{00000005-A7FA-42C6-A7AE-867A6DB681A1}"/>
            </c:ext>
          </c:extLst>
        </c:ser>
        <c:ser>
          <c:idx val="4"/>
          <c:order val="4"/>
          <c:tx>
            <c:strRef>
              <c:f>'FHM Revenue'!$A$37</c:f>
              <c:strCache>
                <c:ptCount val="1"/>
                <c:pt idx="0">
                  <c:v>Curriculum</c:v>
                </c:pt>
              </c:strCache>
            </c:strRef>
          </c:tx>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Revenue'!$D$37</c:f>
              <c:numCache>
                <c:formatCode>_("$"* #,##0.00_);_("$"* \(#,##0.00\);_("$"* "-"??_);_(@_)</c:formatCode>
                <c:ptCount val="1"/>
                <c:pt idx="0">
                  <c:v>82335</c:v>
                </c:pt>
              </c:numCache>
            </c:numRef>
          </c:val>
          <c:extLst>
            <c:ext xmlns:c16="http://schemas.microsoft.com/office/drawing/2014/chart" uri="{C3380CC4-5D6E-409C-BE32-E72D297353CC}">
              <c16:uniqueId val="{00000006-A7FA-42C6-A7AE-867A6DB681A1}"/>
            </c:ext>
          </c:extLst>
        </c:ser>
        <c:dLbls>
          <c:showLegendKey val="0"/>
          <c:showVal val="0"/>
          <c:showCatName val="0"/>
          <c:showSerName val="0"/>
          <c:showPercent val="0"/>
          <c:showBubbleSize val="0"/>
        </c:dLbls>
        <c:gapWidth val="100"/>
        <c:overlap val="-24"/>
        <c:axId val="182766640"/>
        <c:axId val="182766160"/>
      </c:barChart>
      <c:catAx>
        <c:axId val="182766640"/>
        <c:scaling>
          <c:orientation val="minMax"/>
        </c:scaling>
        <c:delete val="1"/>
        <c:axPos val="b"/>
        <c:numFmt formatCode="General" sourceLinked="1"/>
        <c:majorTickMark val="none"/>
        <c:minorTickMark val="none"/>
        <c:tickLblPos val="nextTo"/>
        <c:crossAx val="182766160"/>
        <c:crosses val="autoZero"/>
        <c:auto val="1"/>
        <c:lblAlgn val="ctr"/>
        <c:lblOffset val="100"/>
        <c:noMultiLvlLbl val="0"/>
      </c:catAx>
      <c:valAx>
        <c:axId val="18276616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82766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r>
              <a:rPr lang="en-US">
                <a:solidFill>
                  <a:srgbClr val="000000"/>
                </a:solidFill>
              </a:rPr>
              <a:t>Total</a:t>
            </a:r>
            <a:r>
              <a:rPr lang="en-US" baseline="0">
                <a:solidFill>
                  <a:srgbClr val="000000"/>
                </a:solidFill>
              </a:rPr>
              <a:t> </a:t>
            </a:r>
            <a:r>
              <a:rPr lang="en-US">
                <a:solidFill>
                  <a:srgbClr val="000000"/>
                </a:solidFill>
              </a:rPr>
              <a:t>Revenue: $4,493,000 </a:t>
            </a:r>
          </a:p>
        </c:rich>
      </c:tx>
      <c:overlay val="0"/>
      <c:spPr>
        <a:noFill/>
        <a:ln>
          <a:noFill/>
        </a:ln>
        <a:effectLst/>
      </c:spPr>
      <c:txPr>
        <a:bodyPr rot="0" spcFirstLastPara="1" vertOverflow="ellipsis" vert="horz" wrap="square" anchor="ctr" anchorCtr="1"/>
        <a:lstStyle/>
        <a:p>
          <a:pPr>
            <a:defRPr sz="1600" b="1" i="0" u="none" strike="noStrike" kern="1200" baseline="0">
              <a:solidFill>
                <a:srgbClr val="000000"/>
              </a:solidFill>
              <a:latin typeface="+mn-lt"/>
              <a:ea typeface="+mn-ea"/>
              <a:cs typeface="+mn-cs"/>
            </a:defRPr>
          </a:pPr>
          <a:endParaRPr lang="en-US"/>
        </a:p>
      </c:txPr>
    </c:title>
    <c:autoTitleDeleted val="0"/>
    <c:plotArea>
      <c:layout/>
      <c:barChart>
        <c:barDir val="col"/>
        <c:grouping val="clustered"/>
        <c:varyColors val="0"/>
        <c:ser>
          <c:idx val="0"/>
          <c:order val="0"/>
          <c:tx>
            <c:strRef>
              <c:f>'FHM Revenue'!$G$32</c:f>
              <c:strCache>
                <c:ptCount val="1"/>
                <c:pt idx="0">
                  <c:v> UPK </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Revenue'!$J$32</c:f>
              <c:numCache>
                <c:formatCode>_("$"* #,##0.00_);_("$"* \(#,##0.00\);_("$"* "-"??_);_(@_)</c:formatCode>
                <c:ptCount val="1"/>
                <c:pt idx="0">
                  <c:v>281079.78000000003</c:v>
                </c:pt>
              </c:numCache>
            </c:numRef>
          </c:val>
          <c:extLst>
            <c:ext xmlns:c16="http://schemas.microsoft.com/office/drawing/2014/chart" uri="{C3380CC4-5D6E-409C-BE32-E72D297353CC}">
              <c16:uniqueId val="{00000000-1368-4971-B680-CF89C4CB49F4}"/>
            </c:ext>
          </c:extLst>
        </c:ser>
        <c:ser>
          <c:idx val="1"/>
          <c:order val="1"/>
          <c:tx>
            <c:strRef>
              <c:f>'FHM Revenue'!$G$33</c:f>
              <c:strCache>
                <c:ptCount val="1"/>
                <c:pt idx="0">
                  <c:v>Tuition</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Revenue'!$J$33</c:f>
              <c:numCache>
                <c:formatCode>_("$"* #,##0.00_);_("$"* \(#,##0.00\);_("$"* "-"??_);_(@_)</c:formatCode>
                <c:ptCount val="1"/>
                <c:pt idx="0">
                  <c:v>528452.04820452991</c:v>
                </c:pt>
              </c:numCache>
            </c:numRef>
          </c:val>
          <c:extLst>
            <c:ext xmlns:c16="http://schemas.microsoft.com/office/drawing/2014/chart" uri="{C3380CC4-5D6E-409C-BE32-E72D297353CC}">
              <c16:uniqueId val="{00000001-1368-4971-B680-CF89C4CB49F4}"/>
            </c:ext>
          </c:extLst>
        </c:ser>
        <c:ser>
          <c:idx val="2"/>
          <c:order val="2"/>
          <c:tx>
            <c:strRef>
              <c:f>'FHM Revenue'!$G$34</c:f>
              <c:strCache>
                <c:ptCount val="1"/>
                <c:pt idx="0">
                  <c:v>  Mill Levy Override </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Revenue'!$J$34</c:f>
              <c:numCache>
                <c:formatCode>_("$"* #,##0.00_);_("$"* \(#,##0.00\);_("$"* "-"??_);_(@_)</c:formatCode>
                <c:ptCount val="1"/>
                <c:pt idx="0">
                  <c:v>526000</c:v>
                </c:pt>
              </c:numCache>
            </c:numRef>
          </c:val>
          <c:extLst>
            <c:ext xmlns:c16="http://schemas.microsoft.com/office/drawing/2014/chart" uri="{C3380CC4-5D6E-409C-BE32-E72D297353CC}">
              <c16:uniqueId val="{00000002-1368-4971-B680-CF89C4CB49F4}"/>
            </c:ext>
          </c:extLst>
        </c:ser>
        <c:ser>
          <c:idx val="3"/>
          <c:order val="3"/>
          <c:tx>
            <c:strRef>
              <c:f>'FHM Revenue'!$G$35</c:f>
              <c:strCache>
                <c:ptCount val="1"/>
                <c:pt idx="0">
                  <c:v>  PPR </c:v>
                </c:pt>
              </c:strCache>
            </c:strRef>
          </c:tx>
          <c:spPr>
            <a:gradFill rotWithShape="1">
              <a:gsLst>
                <a:gs pos="0">
                  <a:schemeClr val="accent1">
                    <a:lumMod val="60000"/>
                    <a:satMod val="103000"/>
                    <a:lumMod val="102000"/>
                    <a:tint val="94000"/>
                  </a:schemeClr>
                </a:gs>
                <a:gs pos="50000">
                  <a:schemeClr val="accent1">
                    <a:lumMod val="60000"/>
                    <a:satMod val="110000"/>
                    <a:lumMod val="100000"/>
                    <a:shade val="100000"/>
                  </a:schemeClr>
                </a:gs>
                <a:gs pos="100000">
                  <a:schemeClr val="accent1">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Revenue'!$J$35</c:f>
              <c:numCache>
                <c:formatCode>_("$"* #,##0.00_);_("$"* \(#,##0.00\);_("$"* "-"??_);_(@_)</c:formatCode>
                <c:ptCount val="1"/>
                <c:pt idx="0">
                  <c:v>3025000</c:v>
                </c:pt>
              </c:numCache>
            </c:numRef>
          </c:val>
          <c:extLst>
            <c:ext xmlns:c16="http://schemas.microsoft.com/office/drawing/2014/chart" uri="{C3380CC4-5D6E-409C-BE32-E72D297353CC}">
              <c16:uniqueId val="{00000003-1368-4971-B680-CF89C4CB49F4}"/>
            </c:ext>
          </c:extLst>
        </c:ser>
        <c:ser>
          <c:idx val="4"/>
          <c:order val="4"/>
          <c:tx>
            <c:strRef>
              <c:f>'FHM Revenue'!$G$36</c:f>
              <c:strCache>
                <c:ptCount val="1"/>
                <c:pt idx="0">
                  <c:v>  SPED Tier A </c:v>
                </c:pt>
              </c:strCache>
            </c:strRef>
          </c:tx>
          <c:spPr>
            <a:gradFill rotWithShape="1">
              <a:gsLst>
                <a:gs pos="0">
                  <a:schemeClr val="accent3">
                    <a:lumMod val="60000"/>
                    <a:satMod val="103000"/>
                    <a:lumMod val="102000"/>
                    <a:tint val="94000"/>
                  </a:schemeClr>
                </a:gs>
                <a:gs pos="50000">
                  <a:schemeClr val="accent3">
                    <a:lumMod val="60000"/>
                    <a:satMod val="110000"/>
                    <a:lumMod val="100000"/>
                    <a:shade val="100000"/>
                  </a:schemeClr>
                </a:gs>
                <a:gs pos="100000">
                  <a:schemeClr val="accent3">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Revenue'!$J$36</c:f>
              <c:numCache>
                <c:formatCode>_("$"* #,##0.00_);_("$"* \(#,##0.00\);_("$"* "-"??_);_(@_)</c:formatCode>
                <c:ptCount val="1"/>
                <c:pt idx="0">
                  <c:v>83000</c:v>
                </c:pt>
              </c:numCache>
            </c:numRef>
          </c:val>
          <c:extLst>
            <c:ext xmlns:c16="http://schemas.microsoft.com/office/drawing/2014/chart" uri="{C3380CC4-5D6E-409C-BE32-E72D297353CC}">
              <c16:uniqueId val="{00000004-1368-4971-B680-CF89C4CB49F4}"/>
            </c:ext>
          </c:extLst>
        </c:ser>
        <c:ser>
          <c:idx val="5"/>
          <c:order val="5"/>
          <c:tx>
            <c:strRef>
              <c:f>'FHM Revenue'!$G$37</c:f>
              <c:strCache>
                <c:ptCount val="1"/>
                <c:pt idx="0">
                  <c:v> Capital Outlay </c:v>
                </c:pt>
              </c:strCache>
            </c:strRef>
          </c:tx>
          <c:spPr>
            <a:gradFill rotWithShape="1">
              <a:gsLst>
                <a:gs pos="0">
                  <a:schemeClr val="accent5">
                    <a:lumMod val="60000"/>
                    <a:satMod val="103000"/>
                    <a:lumMod val="102000"/>
                    <a:tint val="94000"/>
                  </a:schemeClr>
                </a:gs>
                <a:gs pos="50000">
                  <a:schemeClr val="accent5">
                    <a:lumMod val="60000"/>
                    <a:satMod val="110000"/>
                    <a:lumMod val="100000"/>
                    <a:shade val="100000"/>
                  </a:schemeClr>
                </a:gs>
                <a:gs pos="100000">
                  <a:schemeClr val="accent5">
                    <a:lumMod val="60000"/>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val>
            <c:numRef>
              <c:f>'FHM Revenue'!$J$37</c:f>
              <c:numCache>
                <c:formatCode>_("$"* #,##0.00_);_("$"* \(#,##0.00\);_("$"* "-"??_);_(@_)</c:formatCode>
                <c:ptCount val="1"/>
                <c:pt idx="0">
                  <c:v>50311.9</c:v>
                </c:pt>
              </c:numCache>
            </c:numRef>
          </c:val>
          <c:extLst>
            <c:ext xmlns:c16="http://schemas.microsoft.com/office/drawing/2014/chart" uri="{C3380CC4-5D6E-409C-BE32-E72D297353CC}">
              <c16:uniqueId val="{00000005-1368-4971-B680-CF89C4CB49F4}"/>
            </c:ext>
          </c:extLst>
        </c:ser>
        <c:dLbls>
          <c:showLegendKey val="0"/>
          <c:showVal val="0"/>
          <c:showCatName val="0"/>
          <c:showSerName val="0"/>
          <c:showPercent val="0"/>
          <c:showBubbleSize val="0"/>
        </c:dLbls>
        <c:gapWidth val="100"/>
        <c:overlap val="-24"/>
        <c:axId val="1588739760"/>
        <c:axId val="1588738320"/>
      </c:barChart>
      <c:catAx>
        <c:axId val="1588739760"/>
        <c:scaling>
          <c:orientation val="minMax"/>
        </c:scaling>
        <c:delete val="1"/>
        <c:axPos val="b"/>
        <c:numFmt formatCode="General" sourceLinked="1"/>
        <c:majorTickMark val="none"/>
        <c:minorTickMark val="none"/>
        <c:tickLblPos val="nextTo"/>
        <c:crossAx val="1588738320"/>
        <c:crosses val="autoZero"/>
        <c:auto val="1"/>
        <c:lblAlgn val="ctr"/>
        <c:lblOffset val="100"/>
        <c:noMultiLvlLbl val="0"/>
      </c:catAx>
      <c:valAx>
        <c:axId val="1588738320"/>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crossAx val="1588739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2</xdr:rowOff>
    </xdr:from>
    <xdr:to>
      <xdr:col>4</xdr:col>
      <xdr:colOff>722313</xdr:colOff>
      <xdr:row>11</xdr:row>
      <xdr:rowOff>15875</xdr:rowOff>
    </xdr:to>
    <xdr:graphicFrame macro="">
      <xdr:nvGraphicFramePr>
        <xdr:cNvPr id="2" name="Chart 1">
          <a:extLst>
            <a:ext uri="{FF2B5EF4-FFF2-40B4-BE49-F238E27FC236}">
              <a16:creationId xmlns:a16="http://schemas.microsoft.com/office/drawing/2014/main" id="{C35ABAE3-5DEC-43E2-ABBB-4C05D81ED8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943927</xdr:colOff>
      <xdr:row>0</xdr:row>
      <xdr:rowOff>30799</xdr:rowOff>
    </xdr:from>
    <xdr:to>
      <xdr:col>10</xdr:col>
      <xdr:colOff>183515</xdr:colOff>
      <xdr:row>11</xdr:row>
      <xdr:rowOff>46674</xdr:rowOff>
    </xdr:to>
    <xdr:graphicFrame macro="">
      <xdr:nvGraphicFramePr>
        <xdr:cNvPr id="4" name="Chart 3">
          <a:extLst>
            <a:ext uri="{FF2B5EF4-FFF2-40B4-BE49-F238E27FC236}">
              <a16:creationId xmlns:a16="http://schemas.microsoft.com/office/drawing/2014/main" id="{BABB33FF-3A43-4193-8080-DC2DDF686F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1072515</xdr:colOff>
      <xdr:row>0</xdr:row>
      <xdr:rowOff>0</xdr:rowOff>
    </xdr:from>
    <xdr:to>
      <xdr:col>15</xdr:col>
      <xdr:colOff>204470</xdr:colOff>
      <xdr:row>11</xdr:row>
      <xdr:rowOff>23813</xdr:rowOff>
    </xdr:to>
    <xdr:graphicFrame macro="">
      <xdr:nvGraphicFramePr>
        <xdr:cNvPr id="5" name="Chart 4">
          <a:extLst>
            <a:ext uri="{FF2B5EF4-FFF2-40B4-BE49-F238E27FC236}">
              <a16:creationId xmlns:a16="http://schemas.microsoft.com/office/drawing/2014/main" id="{43A5925A-9FFD-41AE-AC7D-6DF8F3B8BA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11</xdr:row>
      <xdr:rowOff>76993</xdr:rowOff>
    </xdr:from>
    <xdr:to>
      <xdr:col>4</xdr:col>
      <xdr:colOff>722313</xdr:colOff>
      <xdr:row>25</xdr:row>
      <xdr:rowOff>119063</xdr:rowOff>
    </xdr:to>
    <xdr:graphicFrame macro="">
      <xdr:nvGraphicFramePr>
        <xdr:cNvPr id="6" name="Chart 5">
          <a:extLst>
            <a:ext uri="{FF2B5EF4-FFF2-40B4-BE49-F238E27FC236}">
              <a16:creationId xmlns:a16="http://schemas.microsoft.com/office/drawing/2014/main" id="{0E17F52C-023E-45EA-9BCC-2D2F2C2A8C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728663</xdr:colOff>
      <xdr:row>11</xdr:row>
      <xdr:rowOff>69371</xdr:rowOff>
    </xdr:from>
    <xdr:to>
      <xdr:col>9</xdr:col>
      <xdr:colOff>1149350</xdr:colOff>
      <xdr:row>25</xdr:row>
      <xdr:rowOff>127316</xdr:rowOff>
    </xdr:to>
    <xdr:graphicFrame macro="">
      <xdr:nvGraphicFramePr>
        <xdr:cNvPr id="8" name="Chart 7">
          <a:extLst>
            <a:ext uri="{FF2B5EF4-FFF2-40B4-BE49-F238E27FC236}">
              <a16:creationId xmlns:a16="http://schemas.microsoft.com/office/drawing/2014/main" id="{35426245-B828-45A3-BE44-D94E3EECC9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1156336</xdr:colOff>
      <xdr:row>11</xdr:row>
      <xdr:rowOff>67786</xdr:rowOff>
    </xdr:from>
    <xdr:to>
      <xdr:col>15</xdr:col>
      <xdr:colOff>288290</xdr:colOff>
      <xdr:row>25</xdr:row>
      <xdr:rowOff>133668</xdr:rowOff>
    </xdr:to>
    <xdr:graphicFrame macro="">
      <xdr:nvGraphicFramePr>
        <xdr:cNvPr id="9" name="Chart 8">
          <a:extLst>
            <a:ext uri="{FF2B5EF4-FFF2-40B4-BE49-F238E27FC236}">
              <a16:creationId xmlns:a16="http://schemas.microsoft.com/office/drawing/2014/main" id="{976C6C6A-D583-4EC7-AE43-BEA7756626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0</xdr:row>
      <xdr:rowOff>2</xdr:rowOff>
    </xdr:from>
    <xdr:to>
      <xdr:col>4</xdr:col>
      <xdr:colOff>722313</xdr:colOff>
      <xdr:row>11</xdr:row>
      <xdr:rowOff>152400</xdr:rowOff>
    </xdr:to>
    <xdr:graphicFrame macro="">
      <xdr:nvGraphicFramePr>
        <xdr:cNvPr id="2" name="Chart 1">
          <a:extLst>
            <a:ext uri="{FF2B5EF4-FFF2-40B4-BE49-F238E27FC236}">
              <a16:creationId xmlns:a16="http://schemas.microsoft.com/office/drawing/2014/main" id="{00B07B13-1566-42B9-8538-A9C229E5F0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854075</xdr:colOff>
      <xdr:row>0</xdr:row>
      <xdr:rowOff>0</xdr:rowOff>
    </xdr:from>
    <xdr:to>
      <xdr:col>10</xdr:col>
      <xdr:colOff>293687</xdr:colOff>
      <xdr:row>11</xdr:row>
      <xdr:rowOff>175260</xdr:rowOff>
    </xdr:to>
    <xdr:graphicFrame macro="">
      <xdr:nvGraphicFramePr>
        <xdr:cNvPr id="3" name="Chart 2">
          <a:extLst>
            <a:ext uri="{FF2B5EF4-FFF2-40B4-BE49-F238E27FC236}">
              <a16:creationId xmlns:a16="http://schemas.microsoft.com/office/drawing/2014/main" id="{0D6B219E-A8C0-4AFD-B9AB-1094DFB3E7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12</xdr:row>
      <xdr:rowOff>84613</xdr:rowOff>
    </xdr:from>
    <xdr:to>
      <xdr:col>4</xdr:col>
      <xdr:colOff>722313</xdr:colOff>
      <xdr:row>26</xdr:row>
      <xdr:rowOff>149543</xdr:rowOff>
    </xdr:to>
    <xdr:graphicFrame macro="">
      <xdr:nvGraphicFramePr>
        <xdr:cNvPr id="6" name="Chart 5">
          <a:extLst>
            <a:ext uri="{FF2B5EF4-FFF2-40B4-BE49-F238E27FC236}">
              <a16:creationId xmlns:a16="http://schemas.microsoft.com/office/drawing/2014/main" id="{FFB3CAA5-C4D1-459B-B4FC-6588F3481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851217</xdr:colOff>
      <xdr:row>12</xdr:row>
      <xdr:rowOff>92233</xdr:rowOff>
    </xdr:from>
    <xdr:to>
      <xdr:col>10</xdr:col>
      <xdr:colOff>287656</xdr:colOff>
      <xdr:row>26</xdr:row>
      <xdr:rowOff>165098</xdr:rowOff>
    </xdr:to>
    <xdr:graphicFrame macro="">
      <xdr:nvGraphicFramePr>
        <xdr:cNvPr id="7" name="Chart 6">
          <a:extLst>
            <a:ext uri="{FF2B5EF4-FFF2-40B4-BE49-F238E27FC236}">
              <a16:creationId xmlns:a16="http://schemas.microsoft.com/office/drawing/2014/main" id="{BE3F68E8-F22C-46F4-A294-1C560BEBB8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82938</xdr:colOff>
      <xdr:row>2</xdr:row>
      <xdr:rowOff>137160</xdr:rowOff>
    </xdr:from>
    <xdr:to>
      <xdr:col>16</xdr:col>
      <xdr:colOff>381000</xdr:colOff>
      <xdr:row>32</xdr:row>
      <xdr:rowOff>7620</xdr:rowOff>
    </xdr:to>
    <xdr:pic>
      <xdr:nvPicPr>
        <xdr:cNvPr id="5" name="Picture 4">
          <a:extLst>
            <a:ext uri="{FF2B5EF4-FFF2-40B4-BE49-F238E27FC236}">
              <a16:creationId xmlns:a16="http://schemas.microsoft.com/office/drawing/2014/main" id="{7EE172B0-B36D-426D-ACC5-F4D21988BE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3318" y="502920"/>
          <a:ext cx="6020682" cy="5875020"/>
        </a:xfrm>
        <a:prstGeom prst="rect">
          <a:avLst/>
        </a:prstGeom>
        <a:solidFill>
          <a:srgbClr val="FFFF00"/>
        </a:solidFill>
      </xdr:spPr>
    </xdr:pic>
    <xdr:clientData/>
  </xdr:twoCellAnchor>
  <xdr:twoCellAnchor editAs="oneCell">
    <xdr:from>
      <xdr:col>0</xdr:col>
      <xdr:colOff>45720</xdr:colOff>
      <xdr:row>35</xdr:row>
      <xdr:rowOff>152400</xdr:rowOff>
    </xdr:from>
    <xdr:to>
      <xdr:col>9</xdr:col>
      <xdr:colOff>190500</xdr:colOff>
      <xdr:row>44</xdr:row>
      <xdr:rowOff>154085</xdr:rowOff>
    </xdr:to>
    <xdr:pic>
      <xdr:nvPicPr>
        <xdr:cNvPr id="7" name="Picture 6">
          <a:extLst>
            <a:ext uri="{FF2B5EF4-FFF2-40B4-BE49-F238E27FC236}">
              <a16:creationId xmlns:a16="http://schemas.microsoft.com/office/drawing/2014/main" id="{ADECCCA9-5DFD-9CA1-160C-778A172BAFD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720" y="7071360"/>
          <a:ext cx="7772400" cy="1647605"/>
        </a:xfrm>
        <a:prstGeom prst="rect">
          <a:avLst/>
        </a:prstGeom>
      </xdr:spPr>
    </xdr:pic>
    <xdr:clientData/>
  </xdr:twoCellAnchor>
  <xdr:twoCellAnchor editAs="oneCell">
    <xdr:from>
      <xdr:col>0</xdr:col>
      <xdr:colOff>83820</xdr:colOff>
      <xdr:row>46</xdr:row>
      <xdr:rowOff>38100</xdr:rowOff>
    </xdr:from>
    <xdr:to>
      <xdr:col>5</xdr:col>
      <xdr:colOff>754380</xdr:colOff>
      <xdr:row>80</xdr:row>
      <xdr:rowOff>173855</xdr:rowOff>
    </xdr:to>
    <xdr:pic>
      <xdr:nvPicPr>
        <xdr:cNvPr id="9" name="Picture 8">
          <a:extLst>
            <a:ext uri="{FF2B5EF4-FFF2-40B4-BE49-F238E27FC236}">
              <a16:creationId xmlns:a16="http://schemas.microsoft.com/office/drawing/2014/main" id="{B67CB7B5-49BD-7C2D-8B3C-03D567293A0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3820" y="8968740"/>
          <a:ext cx="5090160" cy="6353675"/>
        </a:xfrm>
        <a:prstGeom prst="rect">
          <a:avLst/>
        </a:prstGeom>
      </xdr:spPr>
    </xdr:pic>
    <xdr:clientData/>
  </xdr:twoCellAnchor>
  <xdr:twoCellAnchor>
    <xdr:from>
      <xdr:col>13</xdr:col>
      <xdr:colOff>640080</xdr:colOff>
      <xdr:row>28</xdr:row>
      <xdr:rowOff>106680</xdr:rowOff>
    </xdr:from>
    <xdr:to>
      <xdr:col>14</xdr:col>
      <xdr:colOff>297180</xdr:colOff>
      <xdr:row>29</xdr:row>
      <xdr:rowOff>114300</xdr:rowOff>
    </xdr:to>
    <xdr:sp macro="" textlink="">
      <xdr:nvSpPr>
        <xdr:cNvPr id="14" name="TextBox 13">
          <a:extLst>
            <a:ext uri="{FF2B5EF4-FFF2-40B4-BE49-F238E27FC236}">
              <a16:creationId xmlns:a16="http://schemas.microsoft.com/office/drawing/2014/main" id="{8B79F5DC-0A06-006C-37AA-149B94863232}"/>
            </a:ext>
          </a:extLst>
        </xdr:cNvPr>
        <xdr:cNvSpPr txBox="1"/>
      </xdr:nvSpPr>
      <xdr:spPr>
        <a:xfrm>
          <a:off x="11186160" y="5745480"/>
          <a:ext cx="426720" cy="190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lvl="0" algn="l"/>
          <a:r>
            <a:rPr lang="en-US" sz="700">
              <a:ln>
                <a:noFill/>
              </a:ln>
              <a:solidFill>
                <a:srgbClr val="FF0000"/>
              </a:solidFill>
            </a:rPr>
            <a:t>FHM</a:t>
          </a:r>
        </a:p>
      </xdr:txBody>
    </xdr:sp>
    <xdr:clientData/>
  </xdr:twoCellAnchor>
  <xdr:twoCellAnchor editAs="oneCell">
    <xdr:from>
      <xdr:col>6</xdr:col>
      <xdr:colOff>1163</xdr:colOff>
      <xdr:row>45</xdr:row>
      <xdr:rowOff>175261</xdr:rowOff>
    </xdr:from>
    <xdr:to>
      <xdr:col>12</xdr:col>
      <xdr:colOff>620068</xdr:colOff>
      <xdr:row>81</xdr:row>
      <xdr:rowOff>129541</xdr:rowOff>
    </xdr:to>
    <xdr:pic>
      <xdr:nvPicPr>
        <xdr:cNvPr id="11" name="Picture 10">
          <a:extLst>
            <a:ext uri="{FF2B5EF4-FFF2-40B4-BE49-F238E27FC236}">
              <a16:creationId xmlns:a16="http://schemas.microsoft.com/office/drawing/2014/main" id="{7D96F0F7-72A7-5416-C473-C5C276C81DF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319923" y="8923021"/>
          <a:ext cx="5099465" cy="6537960"/>
        </a:xfrm>
        <a:prstGeom prst="rect">
          <a:avLst/>
        </a:prstGeom>
      </xdr:spPr>
    </xdr:pic>
    <xdr:clientData/>
  </xdr:twoCellAnchor>
  <xdr:twoCellAnchor editAs="oneCell">
    <xdr:from>
      <xdr:col>17</xdr:col>
      <xdr:colOff>7620</xdr:colOff>
      <xdr:row>3</xdr:row>
      <xdr:rowOff>114300</xdr:rowOff>
    </xdr:from>
    <xdr:to>
      <xdr:col>27</xdr:col>
      <xdr:colOff>38100</xdr:colOff>
      <xdr:row>13</xdr:row>
      <xdr:rowOff>96460</xdr:rowOff>
    </xdr:to>
    <xdr:pic>
      <xdr:nvPicPr>
        <xdr:cNvPr id="13" name="Picture 12">
          <a:extLst>
            <a:ext uri="{FF2B5EF4-FFF2-40B4-BE49-F238E27FC236}">
              <a16:creationId xmlns:a16="http://schemas.microsoft.com/office/drawing/2014/main" id="{3C54733D-360C-4A9A-23FB-A69720D45F0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2733020" y="662940"/>
          <a:ext cx="6217920" cy="23291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1019175</xdr:colOff>
      <xdr:row>0</xdr:row>
      <xdr:rowOff>19050</xdr:rowOff>
    </xdr:from>
    <xdr:to>
      <xdr:col>1</xdr:col>
      <xdr:colOff>1786889</xdr:colOff>
      <xdr:row>5</xdr:row>
      <xdr:rowOff>80535</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1266825" y="19050"/>
          <a:ext cx="761999" cy="8126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1019175</xdr:colOff>
      <xdr:row>0</xdr:row>
      <xdr:rowOff>19050</xdr:rowOff>
    </xdr:from>
    <xdr:to>
      <xdr:col>1</xdr:col>
      <xdr:colOff>1781174</xdr:colOff>
      <xdr:row>5</xdr:row>
      <xdr:rowOff>82440</xdr:rowOff>
    </xdr:to>
    <xdr:pic>
      <xdr:nvPicPr>
        <xdr:cNvPr id="2" name="Picture 1">
          <a:extLst>
            <a:ext uri="{FF2B5EF4-FFF2-40B4-BE49-F238E27FC236}">
              <a16:creationId xmlns:a16="http://schemas.microsoft.com/office/drawing/2014/main" id="{DD0AAD21-85D0-47CD-BC42-53C2942F7ABB}"/>
            </a:ext>
          </a:extLst>
        </xdr:cNvPr>
        <xdr:cNvPicPr>
          <a:picLocks noChangeAspect="1"/>
        </xdr:cNvPicPr>
      </xdr:nvPicPr>
      <xdr:blipFill>
        <a:blip xmlns:r="http://schemas.openxmlformats.org/officeDocument/2006/relationships" r:embed="rId1"/>
        <a:stretch>
          <a:fillRect/>
        </a:stretch>
      </xdr:blipFill>
      <xdr:spPr>
        <a:xfrm>
          <a:off x="1263015" y="19050"/>
          <a:ext cx="761999" cy="8101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1019175</xdr:colOff>
      <xdr:row>0</xdr:row>
      <xdr:rowOff>19050</xdr:rowOff>
    </xdr:from>
    <xdr:to>
      <xdr:col>1</xdr:col>
      <xdr:colOff>1781174</xdr:colOff>
      <xdr:row>5</xdr:row>
      <xdr:rowOff>82440</xdr:rowOff>
    </xdr:to>
    <xdr:pic>
      <xdr:nvPicPr>
        <xdr:cNvPr id="7" name="Picture 6">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1"/>
        <a:stretch>
          <a:fillRect/>
        </a:stretch>
      </xdr:blipFill>
      <xdr:spPr>
        <a:xfrm>
          <a:off x="1257300" y="19050"/>
          <a:ext cx="761999" cy="82539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mohr_coloradoleague/Downloads/FY24%20&amp;%20FY25%20CCSP%20Budget%20Template%20(unlocked).xlsx" TargetMode="External"/><Relationship Id="rId2" Type="http://schemas.openxmlformats.org/officeDocument/2006/relationships/externalLinkPath" Target="file:///C:\Users\dmohr_coloradoleague\Downloads\FY24%20&amp;%20FY25%20CCSP%20Budget%20Template%20(unlocked).xlsx" TargetMode="External"/><Relationship Id="rId1" Type="http://schemas.openxmlformats.org/officeDocument/2006/relationships/externalLinkPath" Target="/Users/dmohr_coloradoleague/Downloads/FY24%20&amp;%20FY25%20CCSP%20Budget%20Template%20(unlocked).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173921E/Box/Admin%20Share/Finance/Working%20Folder/FY27%20Charter%20Budget%20Template_5.14.26.xlsx" TargetMode="External"/><Relationship Id="rId2" Type="http://schemas.openxmlformats.org/officeDocument/2006/relationships/externalLinkPath" Target="file:///C:\Users\173921E\Box\Admin%20Share\Finance\Working%20Folder\FY27%20Charter%20Budget%20Template_5.14.26.xlsx" TargetMode="External"/><Relationship Id="rId1" Type="http://schemas.openxmlformats.org/officeDocument/2006/relationships/externalLinkPath" Target="/Users/173921E/Box/Admin%20Share/Finance/Working%20Folder/FY27%20Charter%20Budget%20Template_5.14.26.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AppData/Local/Microsoft/Olk/Attachments/ooa-b14cc468-6faf-49d6-b3a5-4f89b6c5d4a0/d818409e5a123ed1fe6ea13663632dd15421f35af3a994faff98c0a1da8ee0c0/TJ%20FY%2026'%20Modified%20Budget%209.15.26.xlsx" TargetMode="External"/><Relationship Id="rId2" Type="http://schemas.openxmlformats.org/officeDocument/2006/relationships/externalLinkPath" Target="file:///C:\Users\mallory.hamilton\AppData\Local\Microsoft\Olk\Attachments\ooa-b14cc468-6faf-49d6-b3a5-4f89b6c5d4a0\d818409e5a123ed1fe6ea13663632dd15421f35af3a994faff98c0a1da8ee0c0\TJ%20FY%2026'%20Modified%20Budget%209.15.26.xlsx" TargetMode="External"/><Relationship Id="rId1" Type="http://schemas.openxmlformats.org/officeDocument/2006/relationships/externalLinkPath" Target="/Users/mallory.hamilton/AppData/Local/Microsoft/Olk/Attachments/ooa-b14cc468-6faf-49d6-b3a5-4f89b6c5d4a0/d818409e5a123ed1fe6ea13663632dd15421f35af3a994faff98c0a1da8ee0c0/TJ%20FY%2026'%20Modified%20Budget%209.15.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Instructions-Budget"/>
      <sheetName val="1a-Instructions-Revisions"/>
      <sheetName val="1b-Instructions-AFR"/>
      <sheetName val="1-Instructions"/>
      <sheetName val="2-Cover Page"/>
      <sheetName val="Budget Summary-Year 2 "/>
      <sheetName val="Budget Summary-Year 3 "/>
      <sheetName val="4-Equipment "/>
      <sheetName val="6-AFR Expenditure Detail "/>
      <sheetName val="7-AFR Equipment Detail"/>
      <sheetName val="AFR - FY2021-22"/>
      <sheetName val="3-Budget - AFR Detail "/>
      <sheetName val="4-Budget Summary"/>
      <sheetName val="Error Checking"/>
      <sheetName val="5-NOTES"/>
      <sheetName val="Data Valid"/>
      <sheetName val="Sheet1"/>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1">
          <cell r="D1" t="str">
            <v>Inst. - Salaries (0100)</v>
          </cell>
        </row>
        <row r="2">
          <cell r="D2" t="str">
            <v>Inst. - Employee Benefits (0200)</v>
          </cell>
        </row>
        <row r="3">
          <cell r="D3" t="str">
            <v>Inst. - Purchased Professional &amp; Technical Services (0300)</v>
          </cell>
        </row>
        <row r="4">
          <cell r="D4" t="str">
            <v>Inst. - Other Purchased Services (0500)</v>
          </cell>
        </row>
        <row r="5">
          <cell r="D5" t="str">
            <v>Inst. - Travel, Registration and Entrance (0580)</v>
          </cell>
        </row>
        <row r="6">
          <cell r="D6" t="str">
            <v>Inst. - Supplies (0600)</v>
          </cell>
        </row>
        <row r="7">
          <cell r="D7" t="str">
            <v>Inst. - Capitalized Equipment (0730)</v>
          </cell>
        </row>
        <row r="8">
          <cell r="D8" t="str">
            <v>Inst. - Non-Capitalized Equipment (0735)</v>
          </cell>
        </row>
        <row r="9">
          <cell r="D9" t="str">
            <v>Support - Salaries (0100)</v>
          </cell>
        </row>
        <row r="10">
          <cell r="D10" t="str">
            <v>Support - Employee Benefits (0200)</v>
          </cell>
        </row>
        <row r="11">
          <cell r="D11" t="str">
            <v>Support - Purchased Professional &amp; Technical Services (0300)</v>
          </cell>
        </row>
        <row r="12">
          <cell r="D12" t="str">
            <v>Support - Repairs and Maintenance Service (0430)</v>
          </cell>
        </row>
        <row r="13">
          <cell r="A13" t="str">
            <v>Yes</v>
          </cell>
          <cell r="D13" t="str">
            <v>Support - Other Purchased Services (0500)</v>
          </cell>
        </row>
        <row r="14">
          <cell r="A14" t="str">
            <v>No</v>
          </cell>
          <cell r="D14" t="str">
            <v>Support - Travel, Registration and Entrance (0580)</v>
          </cell>
        </row>
        <row r="15">
          <cell r="D15" t="str">
            <v>Support - Supplies (0600)</v>
          </cell>
        </row>
        <row r="16">
          <cell r="D16" t="str">
            <v>Support - Capitalized Equipment (0730)</v>
          </cell>
        </row>
      </sheetData>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HM Dashboard"/>
      <sheetName val="FHM Budget"/>
      <sheetName val="FHM Financials"/>
      <sheetName val="15% Reserves Calc"/>
      <sheetName val="FY27 Charter Budget Template_5"/>
    </sheetNames>
    <sheetDataSet>
      <sheetData sheetId="0">
        <row r="32">
          <cell r="A32" t="str">
            <v>Expenses Total</v>
          </cell>
        </row>
      </sheetData>
      <sheetData sheetId="1">
        <row r="11">
          <cell r="E11">
            <v>538799.70000000007</v>
          </cell>
        </row>
        <row r="75">
          <cell r="E75">
            <v>250000</v>
          </cell>
        </row>
      </sheetData>
      <sheetData sheetId="2" refreshError="1"/>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1 - ORIGINAL Instructions"/>
      <sheetName val="1 - APPROVED Budget FFY26"/>
      <sheetName val="COA&gt;"/>
      <sheetName val="CDE Accounts"/>
      <sheetName val="Accounts"/>
      <sheetName val="Programs"/>
      <sheetName val="Department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person displayName="Hamilton Mallory" id="{8B62A57F-421D-4566-B154-0C4808BB1B31}" userId="S::Mallory.Hamilton@jeffco.k12.co.us::92404660-0425-428f-a12d-683a48dc230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22" dT="2026-10-13T23:19:35.80" personId="{8B62A57F-421D-4566-B154-0C4808BB1B31}" id="{A4F141F9-2E2A-4FD1-9294-376BCFF0E8B2}">
    <text>Includes new toddler teacher and assistant</text>
  </threadedComment>
  <threadedComment ref="E40" dT="2026-08-13T17:24:34.89" personId="{8B62A57F-421D-4566-B154-0C4808BB1B31}" id="{798A1520-0EDD-4234-8C2B-593396BB37E4}">
    <text>Allocated $58,500 for tech support services</text>
  </threadedComment>
  <threadedComment ref="E45" dT="2026-10-14T05:19:37.28" personId="{8B62A57F-421D-4566-B154-0C4808BB1B31}" id="{D7CCBC2F-18CF-464D-B0A0-B17524BAAEC9}">
    <text>Covers purchase of operating and security software for all school devices</text>
  </threadedComment>
  <threadedComment ref="E46" dT="2026-08-13T19:48:16.89" personId="{8B62A57F-421D-4566-B154-0C4808BB1B31}" id="{F839E474-C28A-4ADF-8189-51FCFFDC4817}">
    <text>Moved % to GSC Grant</text>
  </threadedComment>
  <threadedComment ref="E51" dT="2026-08-13T17:25:49.25" personId="{8B62A57F-421D-4566-B154-0C4808BB1B31}" id="{1CCE8EDC-1D63-4803-9545-A0B35FEC9C8D}">
    <text>Came in $60,000 lower than expected</text>
  </threadedComment>
  <threadedComment ref="E56" dT="2026-08-13T17:26:10.19" personId="{8B62A57F-421D-4566-B154-0C4808BB1B31}" id="{DD7FF4FB-7F9F-4098-954D-422C5515A691}">
    <text>Reallocate to the GSC Grant</text>
  </threadedComment>
  <threadedComment ref="E59" dT="2026-08-13T17:26:18.04" personId="{8B62A57F-421D-4566-B154-0C4808BB1B31}" id="{6186E30C-E450-4C67-AA32-B6970F5AE4FE}">
    <text>Reallocate to the GSC Grant</text>
  </threadedComment>
</ThreadedComments>
</file>

<file path=xl/threadedComments/threadedComment2.xml><?xml version="1.0" encoding="utf-8"?>
<ThreadedComments xmlns="http://schemas.microsoft.com/office/spreadsheetml/2018/threadedcomments" xmlns:x="http://schemas.openxmlformats.org/spreadsheetml/2006/main">
  <threadedComment ref="G8" dT="2025-04-29T16:18:36.64" personId="{8B62A57F-421D-4566-B154-0C4808BB1B31}" id="{E45A0FD1-8660-4929-92FD-F5CEBC20A9EF}">
    <text>Approved FY26 rate:  $6110.43</text>
  </threadedComment>
</ThreadedComments>
</file>

<file path=xl/threadedComments/threadedComment3.xml><?xml version="1.0" encoding="utf-8"?>
<ThreadedComments xmlns="http://schemas.microsoft.com/office/spreadsheetml/2018/threadedcomments" xmlns:x="http://schemas.openxmlformats.org/spreadsheetml/2006/main">
  <threadedComment ref="G8" dT="2025-04-29T16:18:36.64" personId="{8B62A57F-421D-4566-B154-0C4808BB1B31}" id="{722E19B6-75CE-4E8D-BAF8-9D488BC40042}">
    <text>Approved FY26 rate:  $6110.43</text>
  </threadedComment>
</ThreadedComments>
</file>

<file path=xl/threadedComments/threadedComment4.xml><?xml version="1.0" encoding="utf-8"?>
<ThreadedComments xmlns="http://schemas.microsoft.com/office/spreadsheetml/2018/threadedcomments" xmlns:x="http://schemas.openxmlformats.org/spreadsheetml/2006/main">
  <threadedComment ref="G10" dT="2025-04-29T16:18:36.64" personId="{8B62A57F-421D-4566-B154-0C4808BB1B31}" id="{4301DA82-1B45-4BF4-B9CE-7C12BC7F9D7E}">
    <text>Approved FY26 rate:  $6110.43</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www.bls.gov/regions/mountain-plains/news-release/consumerpriceindex_denver.htm"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microsoft.com/office/2017/10/relationships/threadedComment" Target="../threadedComments/threadedComment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79"/>
  <sheetViews>
    <sheetView tabSelected="1" zoomScaleNormal="100" workbookViewId="0">
      <pane ySplit="5" topLeftCell="A6" activePane="bottomLeft" state="frozen"/>
      <selection pane="bottomLeft" sqref="A1:M53"/>
    </sheetView>
  </sheetViews>
  <sheetFormatPr defaultColWidth="9.33203125" defaultRowHeight="14.4" outlineLevelCol="1"/>
  <cols>
    <col min="1" max="1" width="18.33203125" style="40" customWidth="1"/>
    <col min="2" max="2" width="21.6640625" style="40" bestFit="1" customWidth="1"/>
    <col min="3" max="3" width="17.88671875" customWidth="1" outlineLevel="1"/>
    <col min="4" max="4" width="17.5546875" customWidth="1" outlineLevel="1"/>
    <col min="5" max="5" width="31.44140625" customWidth="1" outlineLevel="1"/>
    <col min="6" max="6" width="2.6640625" style="40" customWidth="1"/>
    <col min="7" max="7" width="17.44140625" style="40" hidden="1" customWidth="1" outlineLevel="1"/>
    <col min="8" max="8" width="17.6640625" style="40" hidden="1" customWidth="1" outlineLevel="1"/>
    <col min="9" max="9" width="34.5546875" style="40" hidden="1" customWidth="1" outlineLevel="1"/>
    <col min="10" max="10" width="2.6640625" style="198" customWidth="1" collapsed="1"/>
    <col min="11" max="11" width="22.33203125" style="40" customWidth="1" outlineLevel="1"/>
    <col min="12" max="12" width="23.21875" style="40" customWidth="1" outlineLevel="1"/>
    <col min="13" max="13" width="41.44140625" style="40" customWidth="1" outlineLevel="1"/>
    <col min="14" max="16384" width="9.33203125" style="40"/>
  </cols>
  <sheetData>
    <row r="1" spans="1:13" s="219" customFormat="1" ht="15.6">
      <c r="A1" s="219" t="s">
        <v>551</v>
      </c>
      <c r="B1" s="336"/>
      <c r="I1" s="165"/>
      <c r="J1" s="246"/>
      <c r="K1" s="165"/>
      <c r="L1" s="165"/>
      <c r="M1" s="165"/>
    </row>
    <row r="2" spans="1:13" customFormat="1">
      <c r="J2" s="32"/>
    </row>
    <row r="3" spans="1:13" customFormat="1" ht="15" thickBot="1">
      <c r="H3" s="270"/>
      <c r="J3" s="32"/>
      <c r="L3" s="192" t="s">
        <v>699</v>
      </c>
    </row>
    <row r="4" spans="1:13" customFormat="1" ht="19.2" customHeight="1" thickBot="1">
      <c r="C4" s="1336" t="s">
        <v>634</v>
      </c>
      <c r="D4" s="1337"/>
      <c r="E4" s="646" t="s">
        <v>122</v>
      </c>
      <c r="G4" s="1360" t="s">
        <v>705</v>
      </c>
      <c r="H4" s="1361"/>
      <c r="I4" s="646" t="s">
        <v>122</v>
      </c>
      <c r="J4" s="32"/>
      <c r="K4" s="1354" t="s">
        <v>797</v>
      </c>
      <c r="L4" s="1355"/>
      <c r="M4" s="646" t="s">
        <v>122</v>
      </c>
    </row>
    <row r="5" spans="1:13" customFormat="1" ht="25.95" customHeight="1" thickBot="1">
      <c r="C5" s="1338" t="s">
        <v>821</v>
      </c>
      <c r="D5" s="1339"/>
      <c r="E5" s="56"/>
      <c r="G5" s="1346" t="s">
        <v>706</v>
      </c>
      <c r="H5" s="1347"/>
      <c r="I5" s="56"/>
      <c r="J5" s="271"/>
      <c r="K5" s="1350" t="s">
        <v>635</v>
      </c>
      <c r="L5" s="1351"/>
      <c r="M5" s="56"/>
    </row>
    <row r="6" spans="1:13" customFormat="1">
      <c r="C6" s="897" t="s">
        <v>185</v>
      </c>
      <c r="D6" s="901">
        <v>1857.93</v>
      </c>
      <c r="E6" s="647" t="s">
        <v>134</v>
      </c>
      <c r="G6" s="1085" t="s">
        <v>185</v>
      </c>
      <c r="H6" s="1086">
        <v>2000</v>
      </c>
      <c r="I6" s="647" t="s">
        <v>134</v>
      </c>
      <c r="J6" s="272"/>
      <c r="K6" s="940" t="s">
        <v>617</v>
      </c>
      <c r="L6" s="941">
        <v>2000</v>
      </c>
      <c r="M6" s="1407" t="s">
        <v>802</v>
      </c>
    </row>
    <row r="7" spans="1:13" customFormat="1" ht="16.95" customHeight="1">
      <c r="C7" s="273" t="s">
        <v>241</v>
      </c>
      <c r="D7" s="901">
        <v>0</v>
      </c>
      <c r="E7" s="648" t="s">
        <v>529</v>
      </c>
      <c r="G7" s="1087" t="s">
        <v>241</v>
      </c>
      <c r="H7" s="1086">
        <v>0</v>
      </c>
      <c r="I7" s="648" t="s">
        <v>529</v>
      </c>
      <c r="J7" s="272"/>
      <c r="K7" s="942" t="s">
        <v>241</v>
      </c>
      <c r="L7" s="943">
        <v>8800</v>
      </c>
      <c r="M7" s="648" t="s">
        <v>799</v>
      </c>
    </row>
    <row r="8" spans="1:13" customFormat="1" ht="63.6" customHeight="1">
      <c r="C8" s="274" t="s">
        <v>186</v>
      </c>
      <c r="D8" s="902">
        <v>11385</v>
      </c>
      <c r="E8" s="1072" t="s">
        <v>795</v>
      </c>
      <c r="G8" s="1088" t="s">
        <v>186</v>
      </c>
      <c r="H8" s="902">
        <v>11768.11</v>
      </c>
      <c r="I8" s="1072" t="s">
        <v>661</v>
      </c>
      <c r="J8" s="272"/>
      <c r="K8" s="944" t="s">
        <v>186</v>
      </c>
      <c r="L8" s="676">
        <v>11500</v>
      </c>
      <c r="M8" s="1072" t="s">
        <v>803</v>
      </c>
    </row>
    <row r="9" spans="1:13" customFormat="1">
      <c r="C9" s="923" t="s">
        <v>654</v>
      </c>
      <c r="D9" s="924">
        <v>1840.26</v>
      </c>
      <c r="E9" s="647"/>
      <c r="G9" s="1089" t="s">
        <v>654</v>
      </c>
      <c r="H9" s="1090">
        <v>1840.26</v>
      </c>
      <c r="I9" s="647"/>
      <c r="J9" s="272"/>
      <c r="K9" s="945" t="s">
        <v>654</v>
      </c>
      <c r="L9" s="946">
        <v>1840.26</v>
      </c>
      <c r="M9" s="1302"/>
    </row>
    <row r="10" spans="1:13" customFormat="1">
      <c r="C10" s="1052"/>
      <c r="D10" s="1053"/>
      <c r="E10" s="1299"/>
      <c r="G10" s="1091"/>
      <c r="H10" s="1092"/>
      <c r="I10" s="1299"/>
      <c r="J10" s="272"/>
      <c r="K10" s="1054" t="s">
        <v>798</v>
      </c>
      <c r="L10" s="1055">
        <v>500</v>
      </c>
      <c r="M10" s="1061" t="s">
        <v>856</v>
      </c>
    </row>
    <row r="11" spans="1:13" customFormat="1">
      <c r="C11" s="1052" t="s">
        <v>693</v>
      </c>
      <c r="D11" s="1053">
        <v>382.6</v>
      </c>
      <c r="E11" s="1060" t="s">
        <v>695</v>
      </c>
      <c r="G11" s="1091" t="s">
        <v>693</v>
      </c>
      <c r="H11" s="1092">
        <v>382.6</v>
      </c>
      <c r="I11" s="1060" t="s">
        <v>695</v>
      </c>
      <c r="J11" s="272"/>
      <c r="K11" s="1054" t="s">
        <v>693</v>
      </c>
      <c r="L11" s="1055">
        <v>382.6</v>
      </c>
      <c r="M11" s="1301" t="s">
        <v>801</v>
      </c>
    </row>
    <row r="12" spans="1:13" customFormat="1" ht="15" thickBot="1">
      <c r="A12" s="275" t="s">
        <v>134</v>
      </c>
      <c r="B12" s="276" t="s">
        <v>134</v>
      </c>
      <c r="C12" s="898" t="s">
        <v>187</v>
      </c>
      <c r="D12" s="903">
        <v>290</v>
      </c>
      <c r="E12" s="737"/>
      <c r="G12" s="1093" t="s">
        <v>187</v>
      </c>
      <c r="H12" s="903">
        <v>290</v>
      </c>
      <c r="I12" s="737"/>
      <c r="J12" s="277"/>
      <c r="K12" s="947" t="s">
        <v>187</v>
      </c>
      <c r="L12" s="618">
        <v>290</v>
      </c>
      <c r="M12" s="737"/>
    </row>
    <row r="13" spans="1:13" customFormat="1" ht="16.95" customHeight="1" thickBot="1">
      <c r="A13" s="275"/>
      <c r="B13" s="276"/>
      <c r="C13" s="899" t="s">
        <v>333</v>
      </c>
      <c r="D13" s="900">
        <v>290</v>
      </c>
      <c r="E13" s="738"/>
      <c r="G13" s="1074" t="s">
        <v>333</v>
      </c>
      <c r="H13" s="1073">
        <v>290</v>
      </c>
      <c r="I13" s="738"/>
      <c r="J13" s="277"/>
      <c r="K13" s="928" t="s">
        <v>333</v>
      </c>
      <c r="L13" s="1300">
        <v>263</v>
      </c>
      <c r="M13" s="1303" t="s">
        <v>800</v>
      </c>
    </row>
    <row r="14" spans="1:13" customFormat="1" ht="15" thickBot="1">
      <c r="A14" s="275"/>
      <c r="B14" s="276"/>
      <c r="C14" s="276"/>
      <c r="D14" s="276"/>
      <c r="E14" s="278"/>
      <c r="G14" s="276"/>
      <c r="H14" s="276"/>
      <c r="I14" s="278"/>
      <c r="J14" s="272"/>
      <c r="K14" s="275"/>
      <c r="L14" s="276"/>
      <c r="M14" s="278"/>
    </row>
    <row r="15" spans="1:13" customFormat="1" ht="15" thickBot="1">
      <c r="A15" s="279" t="s">
        <v>134</v>
      </c>
      <c r="B15" s="279"/>
      <c r="C15" s="280" t="s">
        <v>84</v>
      </c>
      <c r="D15" s="281" t="s">
        <v>8</v>
      </c>
      <c r="E15" s="282" t="s">
        <v>122</v>
      </c>
      <c r="G15" s="1094" t="s">
        <v>84</v>
      </c>
      <c r="H15" s="1095" t="s">
        <v>8</v>
      </c>
      <c r="I15" s="282" t="s">
        <v>122</v>
      </c>
      <c r="J15" s="271"/>
      <c r="K15" s="949" t="s">
        <v>84</v>
      </c>
      <c r="L15" s="948" t="s">
        <v>8</v>
      </c>
      <c r="M15" s="282" t="s">
        <v>122</v>
      </c>
    </row>
    <row r="16" spans="1:13" customFormat="1">
      <c r="A16" s="283" t="s">
        <v>188</v>
      </c>
      <c r="B16" s="284" t="s">
        <v>84</v>
      </c>
      <c r="C16" s="310" t="s">
        <v>134</v>
      </c>
      <c r="D16" s="311"/>
      <c r="E16" s="650" t="s">
        <v>134</v>
      </c>
      <c r="G16" s="310" t="s">
        <v>134</v>
      </c>
      <c r="H16" s="311"/>
      <c r="I16" s="650" t="s">
        <v>134</v>
      </c>
      <c r="J16" s="322"/>
      <c r="K16" s="662" t="s">
        <v>134</v>
      </c>
      <c r="L16" s="875"/>
      <c r="M16" s="650" t="s">
        <v>134</v>
      </c>
    </row>
    <row r="17" spans="1:13" customFormat="1">
      <c r="A17" s="283"/>
      <c r="B17" s="1056" t="s">
        <v>616</v>
      </c>
      <c r="C17" s="925">
        <f>ROUNDUP(SUM(D8*D12),-3)</f>
        <v>3302000</v>
      </c>
      <c r="D17" s="313"/>
      <c r="E17" s="650" t="s">
        <v>134</v>
      </c>
      <c r="G17" s="1075">
        <f>ROUNDUP(SUM(H12*H8),-3)</f>
        <v>3413000</v>
      </c>
      <c r="H17" s="313"/>
      <c r="I17" s="650" t="s">
        <v>134</v>
      </c>
      <c r="J17" s="322"/>
      <c r="K17" s="929">
        <f>ROUNDUP(SUM(L13*L8),-3)</f>
        <v>3025000</v>
      </c>
      <c r="L17" s="876"/>
      <c r="M17" s="650" t="s">
        <v>134</v>
      </c>
    </row>
    <row r="18" spans="1:13" customFormat="1" ht="14.4" customHeight="1">
      <c r="A18" s="283"/>
      <c r="B18" s="1056" t="s">
        <v>238</v>
      </c>
      <c r="C18" s="925">
        <f>'GF020'!C8</f>
        <v>464000</v>
      </c>
      <c r="D18" s="313"/>
      <c r="E18" s="736"/>
      <c r="G18" s="1075">
        <f>ROUNDUP(SUM('GF020'!D8),-3)</f>
        <v>400000</v>
      </c>
      <c r="H18" s="313"/>
      <c r="I18" s="736"/>
      <c r="J18" s="322"/>
      <c r="K18" s="929">
        <f>ROUNDUP(SUM('GF020'!E8),-3)</f>
        <v>529000</v>
      </c>
      <c r="L18" s="876"/>
      <c r="M18" s="736"/>
    </row>
    <row r="19" spans="1:13" customFormat="1" ht="14.4" customHeight="1">
      <c r="A19" s="283"/>
      <c r="B19" s="1056" t="s">
        <v>648</v>
      </c>
      <c r="C19" s="925">
        <f>'GF020'!C9</f>
        <v>318000</v>
      </c>
      <c r="D19" s="313"/>
      <c r="E19" s="736"/>
      <c r="G19" s="1075">
        <f>ROUNDUP(SUM('GF020'!D9),-3)</f>
        <v>282000</v>
      </c>
      <c r="H19" s="313"/>
      <c r="I19" s="736"/>
      <c r="J19" s="322"/>
      <c r="K19" s="929">
        <f>ROUNDUP(SUM('GF020'!E9),-3)</f>
        <v>282000</v>
      </c>
      <c r="L19" s="876"/>
      <c r="M19" s="736"/>
    </row>
    <row r="20" spans="1:13" customFormat="1" ht="13.95" customHeight="1">
      <c r="A20" s="283"/>
      <c r="B20" s="1056" t="s">
        <v>601</v>
      </c>
      <c r="C20" s="925">
        <f>ROUNDUP(SUM(D6*D12),-3)</f>
        <v>539000</v>
      </c>
      <c r="D20" s="313"/>
      <c r="E20" s="736"/>
      <c r="G20" s="1075">
        <f>ROUNDUP(SUM(H6*H12),-3)</f>
        <v>580000</v>
      </c>
      <c r="H20" s="313"/>
      <c r="I20" s="736"/>
      <c r="J20" s="322"/>
      <c r="K20" s="929">
        <f>ROUNDUP(SUM(L6*L13),-3)</f>
        <v>526000</v>
      </c>
      <c r="L20" s="876"/>
      <c r="M20" s="736"/>
    </row>
    <row r="21" spans="1:13" customFormat="1" ht="13.2" customHeight="1">
      <c r="A21" s="283"/>
      <c r="B21" s="1056" t="s">
        <v>603</v>
      </c>
      <c r="C21" s="925">
        <f>ROUNDUP(SUM(D9*50),-3)</f>
        <v>93000</v>
      </c>
      <c r="D21" s="313"/>
      <c r="E21" s="736"/>
      <c r="G21" s="1075">
        <f>ROUNDUP(SUM(H9*50),-3)</f>
        <v>93000</v>
      </c>
      <c r="H21" s="313"/>
      <c r="I21" s="736"/>
      <c r="J21" s="322"/>
      <c r="K21" s="929">
        <f>ROUNDUP(SUM(L9*45),-3)</f>
        <v>83000</v>
      </c>
      <c r="L21" s="876"/>
      <c r="M21" s="736"/>
    </row>
    <row r="22" spans="1:13" customFormat="1" ht="13.2" customHeight="1">
      <c r="A22" s="283"/>
      <c r="B22" s="1056" t="s">
        <v>798</v>
      </c>
      <c r="C22" s="925">
        <v>0</v>
      </c>
      <c r="D22" s="313"/>
      <c r="E22" s="736"/>
      <c r="G22" s="1075"/>
      <c r="H22" s="313"/>
      <c r="I22" s="736"/>
      <c r="J22" s="322"/>
      <c r="K22" s="929">
        <v>0</v>
      </c>
      <c r="L22" s="876"/>
      <c r="M22" s="736"/>
    </row>
    <row r="23" spans="1:13" customFormat="1" ht="13.2" customHeight="1">
      <c r="A23" s="283"/>
      <c r="B23" s="1056" t="s">
        <v>694</v>
      </c>
      <c r="C23" s="925">
        <v>0</v>
      </c>
      <c r="D23" s="313"/>
      <c r="E23" s="736"/>
      <c r="G23" s="1075">
        <f>ROUNDUP(SUM(H11*0.5*H12), -3)</f>
        <v>56000</v>
      </c>
      <c r="H23" s="313"/>
      <c r="I23" s="736"/>
      <c r="J23" s="322"/>
      <c r="K23" s="929">
        <f>ROUNDUP(SUM(L11*0.5*L13), -3)</f>
        <v>51000</v>
      </c>
      <c r="L23" s="876"/>
      <c r="M23" s="736"/>
    </row>
    <row r="24" spans="1:13" customFormat="1" ht="24.75" customHeight="1">
      <c r="A24" s="285" t="s">
        <v>618</v>
      </c>
      <c r="B24" s="286" t="s">
        <v>240</v>
      </c>
      <c r="C24" s="312"/>
      <c r="D24" s="323">
        <f>'GF020'!C22</f>
        <v>2765000</v>
      </c>
      <c r="E24" s="1026" t="s">
        <v>682</v>
      </c>
      <c r="G24" s="312"/>
      <c r="H24" s="1076">
        <f>ROUNDUP(SUM('GF020'!D22),-3)</f>
        <v>2785000</v>
      </c>
      <c r="I24" s="1026" t="s">
        <v>682</v>
      </c>
      <c r="J24" s="742"/>
      <c r="K24" s="663"/>
      <c r="L24" s="930">
        <f>ROUNDUP(SUM('GF020'!E22),-3)</f>
        <v>2740000</v>
      </c>
      <c r="M24" s="1062" t="s">
        <v>685</v>
      </c>
    </row>
    <row r="25" spans="1:13" customFormat="1">
      <c r="A25" s="285"/>
      <c r="B25" s="1057" t="s">
        <v>701</v>
      </c>
      <c r="C25" s="312"/>
      <c r="D25" s="323">
        <v>1010000</v>
      </c>
      <c r="E25" s="1017" t="s">
        <v>704</v>
      </c>
      <c r="G25" s="312"/>
      <c r="H25" s="1076">
        <f>ROUNDUP(SUM('GF020'!D26),-3)</f>
        <v>1021000</v>
      </c>
      <c r="I25" s="1017" t="s">
        <v>704</v>
      </c>
      <c r="J25" s="742"/>
      <c r="K25" s="663"/>
      <c r="L25" s="930">
        <f>ROUNDUP(SUM('GF020'!E26),-3)</f>
        <v>860000</v>
      </c>
      <c r="M25" s="1017" t="s">
        <v>820</v>
      </c>
    </row>
    <row r="26" spans="1:13" customFormat="1">
      <c r="A26" s="285"/>
      <c r="B26" s="1057" t="s">
        <v>189</v>
      </c>
      <c r="C26" s="312"/>
      <c r="D26" s="323">
        <f>ROUNDUP(SUM('GF020'!C74+'GF020'!C53-'GF020'!C41),-3)</f>
        <v>634000</v>
      </c>
      <c r="E26" s="1018" t="s">
        <v>660</v>
      </c>
      <c r="G26" s="312"/>
      <c r="H26" s="1076">
        <f>ROUNDUP(SUM('GF020'!D74+'GF020'!D53)-('GF020'!D41),-3)</f>
        <v>733000</v>
      </c>
      <c r="I26" s="1018" t="s">
        <v>660</v>
      </c>
      <c r="J26" s="322"/>
      <c r="K26" s="664"/>
      <c r="L26" s="931">
        <f>ROUNDUP(SUM('GF020'!E53-'GF020'!E41)+('GF020'!E74),-3)</f>
        <v>622000</v>
      </c>
      <c r="M26" s="1018" t="s">
        <v>683</v>
      </c>
    </row>
    <row r="27" spans="1:13" customFormat="1" ht="25.5" customHeight="1">
      <c r="A27" s="285"/>
      <c r="B27" s="1058" t="s">
        <v>602</v>
      </c>
      <c r="C27" s="312"/>
      <c r="D27" s="323">
        <v>250000</v>
      </c>
      <c r="E27" s="1027" t="s">
        <v>680</v>
      </c>
      <c r="G27" s="312"/>
      <c r="H27" s="1076">
        <v>250000</v>
      </c>
      <c r="I27" s="1027" t="s">
        <v>680</v>
      </c>
      <c r="J27" s="322"/>
      <c r="K27" s="743"/>
      <c r="L27" s="930">
        <v>250000</v>
      </c>
      <c r="M27" s="1027" t="s">
        <v>680</v>
      </c>
    </row>
    <row r="28" spans="1:13" customFormat="1">
      <c r="A28" s="287"/>
      <c r="B28" s="1059" t="s">
        <v>190</v>
      </c>
      <c r="C28" s="904"/>
      <c r="D28" s="926">
        <f>'GF020'!C65</f>
        <v>57000</v>
      </c>
      <c r="E28" s="651"/>
      <c r="G28" s="904"/>
      <c r="H28" s="1077">
        <f>ROUNDUP(SUM('GF020'!D65),-3)</f>
        <v>135000</v>
      </c>
      <c r="I28" s="651"/>
      <c r="J28" s="322"/>
      <c r="K28" s="656"/>
      <c r="L28" s="932">
        <f>ROUNDUP(SUM('GF020'!E65), -3)</f>
        <v>24000</v>
      </c>
      <c r="M28" s="739"/>
    </row>
    <row r="29" spans="1:13" customFormat="1">
      <c r="A29" s="287"/>
      <c r="B29" s="740" t="s">
        <v>604</v>
      </c>
      <c r="C29" s="907">
        <v>0</v>
      </c>
      <c r="D29" s="908">
        <v>0</v>
      </c>
      <c r="E29" s="873"/>
      <c r="G29" s="907">
        <v>0</v>
      </c>
      <c r="H29" s="908">
        <v>0</v>
      </c>
      <c r="I29" s="873"/>
      <c r="J29" s="322"/>
      <c r="K29" s="744">
        <v>0</v>
      </c>
      <c r="L29" s="877">
        <v>0</v>
      </c>
      <c r="M29" s="873"/>
    </row>
    <row r="30" spans="1:13" ht="16.2" customHeight="1">
      <c r="B30" s="741" t="s">
        <v>605</v>
      </c>
      <c r="C30" s="909"/>
      <c r="D30" s="910"/>
      <c r="E30" s="874"/>
      <c r="G30" s="909"/>
      <c r="H30" s="910"/>
      <c r="I30" s="874"/>
      <c r="K30" s="51"/>
      <c r="L30" s="878"/>
      <c r="M30" s="874"/>
    </row>
    <row r="31" spans="1:13" customFormat="1">
      <c r="A31" s="287"/>
      <c r="B31" s="288" t="s">
        <v>191</v>
      </c>
      <c r="C31" s="905">
        <f>SUM(C16:C28)</f>
        <v>4716000</v>
      </c>
      <c r="D31" s="906"/>
      <c r="E31" s="330"/>
      <c r="G31" s="905">
        <f>ROUNDUP(SUM(G16:G28), -3)</f>
        <v>4824000</v>
      </c>
      <c r="H31" s="906"/>
      <c r="I31" s="330"/>
      <c r="J31" s="318"/>
      <c r="K31" s="667">
        <f>SUM(K16:K28)</f>
        <v>4496000</v>
      </c>
      <c r="L31" s="655"/>
      <c r="M31" s="330"/>
    </row>
    <row r="32" spans="1:13" customFormat="1">
      <c r="A32" s="285"/>
      <c r="B32" s="289" t="s">
        <v>192</v>
      </c>
      <c r="C32" s="316"/>
      <c r="D32" s="317">
        <f>ROUNDUP(SUM(D24:D31), -3)</f>
        <v>4716000</v>
      </c>
      <c r="E32" s="331"/>
      <c r="G32" s="316"/>
      <c r="H32" s="317">
        <f>ROUNDUP(SUM(H24:H31), -3)</f>
        <v>4924000</v>
      </c>
      <c r="I32" s="331"/>
      <c r="J32" s="318"/>
      <c r="K32" s="665"/>
      <c r="L32" s="666">
        <f>SUM(L24:L31)</f>
        <v>4496000</v>
      </c>
      <c r="M32" s="331"/>
    </row>
    <row r="33" spans="1:13" customFormat="1" ht="15" thickBot="1">
      <c r="A33" s="290"/>
      <c r="B33" s="291" t="s">
        <v>193</v>
      </c>
      <c r="C33" s="1340">
        <f>C31-D32</f>
        <v>0</v>
      </c>
      <c r="D33" s="1341"/>
      <c r="E33" s="332" t="s">
        <v>134</v>
      </c>
      <c r="G33" s="1348">
        <f>G31-H32</f>
        <v>-100000</v>
      </c>
      <c r="H33" s="1349"/>
      <c r="I33" s="332" t="s">
        <v>134</v>
      </c>
      <c r="J33" s="318"/>
      <c r="K33" s="1358">
        <f>K31-L32</f>
        <v>0</v>
      </c>
      <c r="L33" s="1359"/>
      <c r="M33" s="332" t="s">
        <v>134</v>
      </c>
    </row>
    <row r="34" spans="1:13" customFormat="1">
      <c r="B34" s="275"/>
      <c r="C34" s="649"/>
      <c r="D34" s="649"/>
      <c r="E34" s="298"/>
      <c r="G34" s="649"/>
      <c r="H34" s="649"/>
      <c r="I34" s="298"/>
      <c r="J34" s="652"/>
      <c r="K34" s="649"/>
      <c r="L34" s="40"/>
      <c r="M34" s="298"/>
    </row>
    <row r="35" spans="1:13" customFormat="1" ht="7.5" customHeight="1" thickBot="1">
      <c r="C35" s="319"/>
      <c r="D35" s="319"/>
      <c r="E35" s="164"/>
      <c r="G35" s="319"/>
      <c r="H35" s="319"/>
      <c r="I35" s="164"/>
      <c r="J35" s="319"/>
      <c r="K35" s="319"/>
      <c r="L35" s="40"/>
      <c r="M35" s="164"/>
    </row>
    <row r="36" spans="1:13" customFormat="1" ht="24.6" customHeight="1">
      <c r="A36" s="542" t="s">
        <v>194</v>
      </c>
      <c r="B36" s="293" t="s">
        <v>84</v>
      </c>
      <c r="C36" s="927">
        <f>ROUNDUP(SUM('CA020'!C46),-3)</f>
        <v>74000</v>
      </c>
      <c r="D36" s="657"/>
      <c r="E36" s="1025" t="s">
        <v>681</v>
      </c>
      <c r="G36" s="1078">
        <f>ROUNDUP(SUM('CA020'!C46),-3)</f>
        <v>74000</v>
      </c>
      <c r="H36" s="657"/>
      <c r="I36" s="1025" t="s">
        <v>681</v>
      </c>
      <c r="J36" s="318"/>
      <c r="K36" s="933">
        <f>ROUNDUP(SUM('CA020'!C46*0.9),-3)</f>
        <v>66000</v>
      </c>
      <c r="L36" s="657"/>
      <c r="M36" s="1305" t="s">
        <v>823</v>
      </c>
    </row>
    <row r="37" spans="1:13" customFormat="1">
      <c r="A37" s="285" t="s">
        <v>619</v>
      </c>
      <c r="B37" s="543" t="s">
        <v>8</v>
      </c>
      <c r="C37" s="654"/>
      <c r="D37" s="323">
        <f>ROUNDUP(SUM('CA020'!D46), -3)</f>
        <v>74000</v>
      </c>
      <c r="E37" s="329"/>
      <c r="G37" s="654"/>
      <c r="H37" s="1076">
        <f>ROUNDUP(SUM('CA020'!D46),-3)</f>
        <v>74000</v>
      </c>
      <c r="I37" s="329"/>
      <c r="J37" s="322"/>
      <c r="K37" s="654"/>
      <c r="L37" s="934">
        <f>ROUNDUP(SUM('CA020'!D46*0.9),-3)</f>
        <v>66000</v>
      </c>
      <c r="M37" s="329"/>
    </row>
    <row r="38" spans="1:13" customFormat="1">
      <c r="A38" s="285" t="s">
        <v>195</v>
      </c>
      <c r="B38" s="288" t="s">
        <v>191</v>
      </c>
      <c r="C38" s="314">
        <f>SUM(C36:C37)</f>
        <v>74000</v>
      </c>
      <c r="D38" s="653"/>
      <c r="E38" s="330"/>
      <c r="G38" s="314">
        <f>SUM(G36:G37)</f>
        <v>74000</v>
      </c>
      <c r="H38" s="653"/>
      <c r="I38" s="330"/>
      <c r="J38" s="324"/>
      <c r="K38" s="314">
        <f>SUM(K36:K37)</f>
        <v>66000</v>
      </c>
      <c r="L38" s="653"/>
      <c r="M38" s="330"/>
    </row>
    <row r="39" spans="1:13" customFormat="1">
      <c r="A39" s="287"/>
      <c r="B39" s="289" t="s">
        <v>192</v>
      </c>
      <c r="C39" s="658" t="s">
        <v>134</v>
      </c>
      <c r="D39" s="659">
        <f>SUM(D36:D38)</f>
        <v>74000</v>
      </c>
      <c r="E39" s="331"/>
      <c r="G39" s="658" t="s">
        <v>134</v>
      </c>
      <c r="H39" s="659">
        <f>SUM(H36:H38)</f>
        <v>74000</v>
      </c>
      <c r="I39" s="331"/>
      <c r="J39" s="318"/>
      <c r="K39" s="658" t="s">
        <v>134</v>
      </c>
      <c r="L39" s="659">
        <f>SUM(L36:L38)</f>
        <v>66000</v>
      </c>
      <c r="M39" s="331"/>
    </row>
    <row r="40" spans="1:13" customFormat="1" ht="15" thickBot="1">
      <c r="A40" s="290"/>
      <c r="B40" s="291" t="s">
        <v>196</v>
      </c>
      <c r="C40" s="1340">
        <f>SUM(C38-D39)</f>
        <v>0</v>
      </c>
      <c r="D40" s="1341"/>
      <c r="E40" s="332" t="s">
        <v>134</v>
      </c>
      <c r="G40" s="1348">
        <f>SUM(G38-H39)</f>
        <v>0</v>
      </c>
      <c r="H40" s="1349"/>
      <c r="I40" s="332" t="s">
        <v>134</v>
      </c>
      <c r="J40" s="337"/>
      <c r="K40" s="1358">
        <f>SUM(K38-L39)</f>
        <v>0</v>
      </c>
      <c r="L40" s="1359"/>
      <c r="M40" s="332" t="s">
        <v>134</v>
      </c>
    </row>
    <row r="41" spans="1:13" customFormat="1" ht="15" thickBot="1">
      <c r="A41" s="211"/>
      <c r="C41" s="319"/>
      <c r="D41" s="319"/>
      <c r="E41" s="298"/>
      <c r="G41" s="319"/>
      <c r="H41" s="319"/>
      <c r="I41" s="298"/>
      <c r="J41" s="318"/>
      <c r="K41" s="319"/>
      <c r="L41" s="40"/>
      <c r="M41" s="298"/>
    </row>
    <row r="42" spans="1:13" customFormat="1">
      <c r="A42" s="292" t="s">
        <v>620</v>
      </c>
      <c r="B42" s="293" t="s">
        <v>84</v>
      </c>
      <c r="C42" s="1049">
        <f>ROUNDUP(SUM('CC020'!C7),-3)</f>
        <v>308000</v>
      </c>
      <c r="D42" s="325"/>
      <c r="E42" s="745"/>
      <c r="G42" s="1079">
        <f>ROUNDUP(SUM('CC020'!C7),-3)</f>
        <v>308000</v>
      </c>
      <c r="H42" s="325"/>
      <c r="I42" s="745"/>
      <c r="J42" s="318"/>
      <c r="K42" s="1050">
        <f>ROUNDUP(SUM('CC020'!G7),-3)</f>
        <v>277000</v>
      </c>
      <c r="L42" s="668"/>
      <c r="M42" s="745"/>
    </row>
    <row r="43" spans="1:13" customFormat="1" ht="24">
      <c r="A43" s="623" t="s">
        <v>690</v>
      </c>
      <c r="B43" s="620" t="s">
        <v>240</v>
      </c>
      <c r="C43" s="621"/>
      <c r="D43" s="670">
        <f>'CC020'!C9</f>
        <v>198000</v>
      </c>
      <c r="E43" s="1063" t="s">
        <v>531</v>
      </c>
      <c r="G43" s="621"/>
      <c r="H43" s="1080">
        <f>ROUNDUP(SUM('CC020'!C9),-3)</f>
        <v>198000</v>
      </c>
      <c r="I43" s="1063" t="s">
        <v>531</v>
      </c>
      <c r="J43" s="622"/>
      <c r="K43" s="669"/>
      <c r="L43" s="935">
        <f>'CC020'!G9</f>
        <v>154000</v>
      </c>
      <c r="M43" s="1063" t="s">
        <v>531</v>
      </c>
    </row>
    <row r="44" spans="1:13" customFormat="1">
      <c r="A44" s="285"/>
      <c r="B44" s="294" t="s">
        <v>659</v>
      </c>
      <c r="C44" s="321"/>
      <c r="D44" s="323">
        <f>ROUNDUP(SUM(D43*0.37),-3)</f>
        <v>74000</v>
      </c>
      <c r="E44" s="1109">
        <v>0.36499999999999999</v>
      </c>
      <c r="G44" s="321"/>
      <c r="H44" s="1076">
        <f>ROUNDUP(SUM(H43*0.37),-3)</f>
        <v>74000</v>
      </c>
      <c r="I44" s="1109">
        <v>0.36499999999999999</v>
      </c>
      <c r="J44" s="318"/>
      <c r="K44" s="669"/>
      <c r="L44" s="936">
        <f>ROUNDUP(SUM(L43*0.37),-3)</f>
        <v>57000</v>
      </c>
      <c r="M44" s="1109">
        <v>0.36499999999999999</v>
      </c>
    </row>
    <row r="45" spans="1:13" customFormat="1">
      <c r="A45" s="285" t="s">
        <v>621</v>
      </c>
      <c r="B45" s="294" t="s">
        <v>189</v>
      </c>
      <c r="C45" s="321"/>
      <c r="D45" s="313">
        <f>'CC020'!C20</f>
        <v>21000</v>
      </c>
      <c r="E45" s="333"/>
      <c r="G45" s="321"/>
      <c r="H45" s="313">
        <f>'CC020'!C20</f>
        <v>21000</v>
      </c>
      <c r="I45" s="333"/>
      <c r="J45" s="318"/>
      <c r="K45" s="658"/>
      <c r="L45" s="671">
        <f>'CC020'!G20</f>
        <v>21000</v>
      </c>
      <c r="M45" s="333"/>
    </row>
    <row r="46" spans="1:13" customFormat="1">
      <c r="A46" s="287"/>
      <c r="B46" s="295" t="s">
        <v>190</v>
      </c>
      <c r="C46" s="326"/>
      <c r="D46" s="327">
        <f>'CC020'!C23</f>
        <v>5000</v>
      </c>
      <c r="E46" s="334"/>
      <c r="G46" s="326"/>
      <c r="H46" s="327">
        <f>'CC020'!C23</f>
        <v>5000</v>
      </c>
      <c r="I46" s="334"/>
      <c r="J46" s="318"/>
      <c r="K46" s="660"/>
      <c r="L46" s="672">
        <f>'CC020'!G23</f>
        <v>5000</v>
      </c>
      <c r="M46" s="334"/>
    </row>
    <row r="47" spans="1:13" customFormat="1">
      <c r="A47" s="296"/>
      <c r="B47" s="288" t="s">
        <v>191</v>
      </c>
      <c r="C47" s="314">
        <f>C42</f>
        <v>308000</v>
      </c>
      <c r="D47" s="315"/>
      <c r="E47" s="330"/>
      <c r="G47" s="314">
        <f>G42</f>
        <v>308000</v>
      </c>
      <c r="H47" s="315"/>
      <c r="I47" s="330"/>
      <c r="J47" s="318"/>
      <c r="K47" s="675">
        <f>SUM(K42:K46)</f>
        <v>277000</v>
      </c>
      <c r="L47" s="673"/>
      <c r="M47" s="330"/>
    </row>
    <row r="48" spans="1:13" customFormat="1">
      <c r="A48" s="285"/>
      <c r="B48" s="289" t="s">
        <v>192</v>
      </c>
      <c r="C48" s="328"/>
      <c r="D48" s="313">
        <f>SUM(D43:D46)</f>
        <v>298000</v>
      </c>
      <c r="E48" s="331"/>
      <c r="G48" s="328"/>
      <c r="H48" s="313">
        <f>SUM(H43:H46)</f>
        <v>298000</v>
      </c>
      <c r="I48" s="331"/>
      <c r="J48" s="318"/>
      <c r="K48" s="661"/>
      <c r="L48" s="674">
        <f>SUM(L43:L47)</f>
        <v>237000</v>
      </c>
      <c r="M48" s="331"/>
    </row>
    <row r="49" spans="1:13" customFormat="1" ht="15" thickBot="1">
      <c r="A49" s="290"/>
      <c r="B49" s="291" t="s">
        <v>198</v>
      </c>
      <c r="C49" s="1342">
        <f>C47-D48</f>
        <v>10000</v>
      </c>
      <c r="D49" s="1343"/>
      <c r="E49" s="1024"/>
      <c r="G49" s="1356">
        <f>G47-H48</f>
        <v>10000</v>
      </c>
      <c r="H49" s="1357"/>
      <c r="I49" s="1024"/>
      <c r="J49" s="337"/>
      <c r="K49" s="1358">
        <f>K47-L48</f>
        <v>40000</v>
      </c>
      <c r="L49" s="1359"/>
      <c r="M49" s="1024"/>
    </row>
    <row r="50" spans="1:13" customFormat="1" ht="15" thickBot="1">
      <c r="C50" s="319"/>
      <c r="D50" s="319"/>
      <c r="E50" s="298" t="s">
        <v>358</v>
      </c>
      <c r="G50" s="319"/>
      <c r="H50" s="319"/>
      <c r="I50" s="298" t="s">
        <v>358</v>
      </c>
      <c r="J50" s="320"/>
      <c r="K50" s="319"/>
      <c r="L50" s="319"/>
      <c r="M50" s="298" t="s">
        <v>358</v>
      </c>
    </row>
    <row r="51" spans="1:13" customFormat="1">
      <c r="B51" s="275" t="s">
        <v>199</v>
      </c>
      <c r="C51" s="952">
        <f>C31+C38+C47</f>
        <v>5098000</v>
      </c>
      <c r="D51" s="953"/>
      <c r="G51" s="1081">
        <f>G31+G38+G47</f>
        <v>5206000</v>
      </c>
      <c r="H51" s="1082"/>
      <c r="J51" s="320"/>
      <c r="K51" s="937">
        <f>K31+K38+K47</f>
        <v>4839000</v>
      </c>
      <c r="L51" s="938"/>
    </row>
    <row r="52" spans="1:13" customFormat="1">
      <c r="B52" s="275" t="s">
        <v>200</v>
      </c>
      <c r="C52" s="954"/>
      <c r="D52" s="955">
        <f>D32+D39+D48</f>
        <v>5088000</v>
      </c>
      <c r="G52" s="1083"/>
      <c r="H52" s="1084">
        <f>H32+H39+H48</f>
        <v>5296000</v>
      </c>
      <c r="J52" s="320"/>
      <c r="K52" s="939" t="s">
        <v>134</v>
      </c>
      <c r="L52" s="932">
        <f>L32+L39+L48</f>
        <v>4799000</v>
      </c>
    </row>
    <row r="53" spans="1:13" customFormat="1" ht="15" thickBot="1">
      <c r="B53" s="297" t="s">
        <v>201</v>
      </c>
      <c r="C53" s="956">
        <f>SUM(C51-D52)</f>
        <v>10000</v>
      </c>
      <c r="D53" s="957"/>
      <c r="G53" s="1096">
        <f>SUM(G51-H52)</f>
        <v>-90000</v>
      </c>
      <c r="H53" s="1097"/>
      <c r="J53" s="320"/>
      <c r="K53" s="950">
        <f>SUM(K51-L52)</f>
        <v>40000</v>
      </c>
      <c r="L53" s="951"/>
    </row>
    <row r="54" spans="1:13" customFormat="1" ht="15" thickTop="1"/>
    <row r="55" spans="1:13" customFormat="1" ht="21" hidden="1" customHeight="1" thickBot="1">
      <c r="K55" s="1352"/>
      <c r="L55" s="1353"/>
      <c r="M55" s="616">
        <v>145000</v>
      </c>
    </row>
    <row r="56" spans="1:13" customFormat="1" hidden="1"/>
    <row r="57" spans="1:13" customFormat="1" ht="19.2" hidden="1" customHeight="1" thickBot="1">
      <c r="K57" s="1352"/>
      <c r="L57" s="1353"/>
      <c r="M57" s="617">
        <f>L52/12</f>
        <v>399916.66666666669</v>
      </c>
    </row>
    <row r="58" spans="1:13" hidden="1">
      <c r="J58" s="40"/>
    </row>
    <row r="59" spans="1:13" ht="18.600000000000001" hidden="1" customHeight="1" thickBot="1">
      <c r="J59" s="40"/>
      <c r="K59" s="1344"/>
      <c r="L59" s="1345"/>
      <c r="M59" s="615">
        <f>K53/K51</f>
        <v>8.2661706964248811E-3</v>
      </c>
    </row>
    <row r="60" spans="1:13">
      <c r="J60" s="40"/>
    </row>
    <row r="61" spans="1:13">
      <c r="J61" s="40"/>
    </row>
    <row r="62" spans="1:13">
      <c r="J62" s="40"/>
    </row>
    <row r="63" spans="1:13">
      <c r="J63" s="40"/>
    </row>
    <row r="64" spans="1:13">
      <c r="J64" s="40"/>
    </row>
    <row r="65" spans="10:10">
      <c r="J65" s="40"/>
    </row>
    <row r="66" spans="10:10">
      <c r="J66" s="40"/>
    </row>
    <row r="67" spans="10:10">
      <c r="J67" s="40"/>
    </row>
    <row r="68" spans="10:10">
      <c r="J68" s="40"/>
    </row>
    <row r="69" spans="10:10">
      <c r="J69" s="40"/>
    </row>
    <row r="70" spans="10:10">
      <c r="J70" s="40"/>
    </row>
    <row r="71" spans="10:10">
      <c r="J71" s="40"/>
    </row>
    <row r="72" spans="10:10">
      <c r="J72" s="40"/>
    </row>
    <row r="73" spans="10:10">
      <c r="J73" s="40"/>
    </row>
    <row r="74" spans="10:10">
      <c r="J74" s="40"/>
    </row>
    <row r="75" spans="10:10">
      <c r="J75" s="40"/>
    </row>
    <row r="76" spans="10:10">
      <c r="J76" s="40"/>
    </row>
    <row r="77" spans="10:10">
      <c r="J77" s="40"/>
    </row>
    <row r="78" spans="10:10">
      <c r="J78" s="40"/>
    </row>
    <row r="79" spans="10:10">
      <c r="J79" s="40"/>
    </row>
  </sheetData>
  <mergeCells count="18">
    <mergeCell ref="K4:L4"/>
    <mergeCell ref="G49:H49"/>
    <mergeCell ref="K49:L49"/>
    <mergeCell ref="K33:L33"/>
    <mergeCell ref="G4:H4"/>
    <mergeCell ref="K40:L40"/>
    <mergeCell ref="G40:H40"/>
    <mergeCell ref="K59:L59"/>
    <mergeCell ref="G5:H5"/>
    <mergeCell ref="G33:H33"/>
    <mergeCell ref="K5:L5"/>
    <mergeCell ref="K55:L55"/>
    <mergeCell ref="K57:L57"/>
    <mergeCell ref="C4:D4"/>
    <mergeCell ref="C5:D5"/>
    <mergeCell ref="C33:D33"/>
    <mergeCell ref="C40:D40"/>
    <mergeCell ref="C49:D49"/>
  </mergeCells>
  <pageMargins left="0.25" right="0.25" top="0.75" bottom="0.75" header="0.3" footer="0.3"/>
  <pageSetup scale="51"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BF1E-0EBD-4EEB-A3E5-EE33A6C1153A}">
  <sheetPr codeName="Sheet2">
    <pageSetUpPr fitToPage="1"/>
  </sheetPr>
  <dimension ref="A1:I88"/>
  <sheetViews>
    <sheetView zoomScale="130" zoomScaleNormal="130" workbookViewId="0">
      <pane ySplit="4" topLeftCell="A5" activePane="bottomLeft" state="frozen"/>
      <selection pane="bottomLeft" activeCell="H81" sqref="H81"/>
    </sheetView>
  </sheetViews>
  <sheetFormatPr defaultColWidth="9.33203125" defaultRowHeight="13.8" outlineLevelCol="1"/>
  <cols>
    <col min="1" max="1" width="12.88671875" style="916" customWidth="1"/>
    <col min="2" max="2" width="37.44140625" style="916" customWidth="1"/>
    <col min="3" max="3" width="14.33203125" style="916" customWidth="1"/>
    <col min="4" max="4" width="13.6640625" style="6" hidden="1" customWidth="1" outlineLevel="1"/>
    <col min="5" max="5" width="13.6640625" style="6" bestFit="1" customWidth="1" collapsed="1"/>
    <col min="6" max="6" width="13.33203125" style="6" hidden="1" customWidth="1" outlineLevel="1"/>
    <col min="7" max="7" width="35.88671875" style="6" hidden="1" customWidth="1" outlineLevel="1"/>
    <col min="8" max="8" width="52.88671875" style="7" customWidth="1" collapsed="1"/>
    <col min="9" max="9" width="38.5546875" style="7" customWidth="1"/>
    <col min="10" max="10" width="12.44140625" style="7" bestFit="1" customWidth="1"/>
    <col min="11" max="16384" width="9.33203125" style="7"/>
  </cols>
  <sheetData>
    <row r="1" spans="1:8">
      <c r="A1" s="29" t="s">
        <v>587</v>
      </c>
      <c r="B1" s="3"/>
      <c r="C1" s="3"/>
      <c r="D1" s="3"/>
      <c r="E1" s="3"/>
      <c r="F1" s="3"/>
      <c r="G1" s="3"/>
      <c r="H1" s="193"/>
    </row>
    <row r="2" spans="1:8">
      <c r="A2" s="29" t="s">
        <v>588</v>
      </c>
      <c r="B2" s="3"/>
      <c r="C2" s="3"/>
      <c r="D2" s="3"/>
      <c r="E2" s="3"/>
      <c r="F2" s="3"/>
      <c r="G2" s="3"/>
      <c r="H2" s="193"/>
    </row>
    <row r="3" spans="1:8">
      <c r="A3" s="29" t="s">
        <v>679</v>
      </c>
      <c r="B3" s="3"/>
      <c r="C3" s="3"/>
      <c r="D3" s="3"/>
      <c r="E3" s="3"/>
      <c r="F3" s="3"/>
      <c r="G3" s="3"/>
      <c r="H3" s="193"/>
    </row>
    <row r="4" spans="1:8" ht="40.5" customHeight="1">
      <c r="A4" s="912" t="s">
        <v>0</v>
      </c>
      <c r="B4" s="912" t="s">
        <v>1</v>
      </c>
      <c r="C4" s="1187" t="s">
        <v>807</v>
      </c>
      <c r="D4" s="28" t="s">
        <v>637</v>
      </c>
      <c r="E4" s="1304" t="s">
        <v>808</v>
      </c>
      <c r="F4" s="1189" t="s">
        <v>636</v>
      </c>
      <c r="G4" s="1188" t="s">
        <v>716</v>
      </c>
      <c r="H4" s="1105" t="s">
        <v>276</v>
      </c>
    </row>
    <row r="5" spans="1:8">
      <c r="A5" s="1"/>
      <c r="B5" s="1"/>
      <c r="C5" s="1194"/>
      <c r="D5" s="30"/>
      <c r="E5" s="30"/>
      <c r="F5" s="209"/>
      <c r="G5" s="1166"/>
      <c r="H5" s="1167"/>
    </row>
    <row r="6" spans="1:8">
      <c r="A6" s="1" t="s">
        <v>84</v>
      </c>
      <c r="B6" s="1"/>
      <c r="C6" s="1194"/>
      <c r="D6" s="30"/>
      <c r="E6" s="30"/>
      <c r="F6" s="209"/>
      <c r="G6" s="1166"/>
      <c r="H6" s="1167"/>
    </row>
    <row r="7" spans="1:8">
      <c r="A7" s="1"/>
      <c r="B7" s="1" t="s">
        <v>212</v>
      </c>
      <c r="C7" s="1112">
        <v>290</v>
      </c>
      <c r="D7" s="1114">
        <v>290</v>
      </c>
      <c r="E7" s="1285">
        <v>263</v>
      </c>
      <c r="F7" s="1190">
        <v>290</v>
      </c>
      <c r="G7" s="1164"/>
      <c r="H7" s="1170" t="s">
        <v>810</v>
      </c>
    </row>
    <row r="8" spans="1:8">
      <c r="A8" s="911" t="s">
        <v>2</v>
      </c>
      <c r="B8" s="913" t="s">
        <v>479</v>
      </c>
      <c r="C8" s="1195">
        <v>464000</v>
      </c>
      <c r="D8" s="1124">
        <f>'Tuition Per 6 RM Model'!L13</f>
        <v>399712.04820452991</v>
      </c>
      <c r="E8" s="1172">
        <f>'Tuition Per Toddler Model'!L13+'Tuition Per Toddler Model'!J20</f>
        <v>528452.04820452991</v>
      </c>
      <c r="F8" s="1179"/>
      <c r="G8" s="1164"/>
      <c r="H8" s="1170" t="s">
        <v>825</v>
      </c>
    </row>
    <row r="9" spans="1:8">
      <c r="A9" s="911">
        <v>433800</v>
      </c>
      <c r="B9" s="913" t="s">
        <v>648</v>
      </c>
      <c r="C9" s="1195">
        <v>318000</v>
      </c>
      <c r="D9" s="1125">
        <f>'Tuition Per 6 RM Model'!E23</f>
        <v>281079.78000000003</v>
      </c>
      <c r="E9" s="1172">
        <f>'Tuition Per Toddler Model'!F12</f>
        <v>281079.78000000003</v>
      </c>
      <c r="F9" s="1179"/>
      <c r="G9" s="1164"/>
      <c r="H9" s="1213"/>
    </row>
    <row r="10" spans="1:8" ht="15.6" customHeight="1">
      <c r="A10" s="911" t="s">
        <v>80</v>
      </c>
      <c r="B10" s="914" t="s">
        <v>805</v>
      </c>
      <c r="C10" s="1195">
        <f>Overview!C17</f>
        <v>3302000</v>
      </c>
      <c r="D10" s="1125">
        <f>Overview!G17</f>
        <v>3413000</v>
      </c>
      <c r="E10" s="1172">
        <f>Overview!K17</f>
        <v>3025000</v>
      </c>
      <c r="F10" s="1179"/>
      <c r="G10" s="1164"/>
      <c r="H10" s="1213" t="s">
        <v>811</v>
      </c>
    </row>
    <row r="11" spans="1:8">
      <c r="A11" s="911" t="s">
        <v>601</v>
      </c>
      <c r="B11" s="913" t="s">
        <v>3</v>
      </c>
      <c r="C11" s="1195">
        <f>Overview!C20</f>
        <v>539000</v>
      </c>
      <c r="D11" s="1125">
        <f>Overview!H6*'GF020'!D7</f>
        <v>580000</v>
      </c>
      <c r="E11" s="1172">
        <f>Overview!K20</f>
        <v>526000</v>
      </c>
      <c r="F11" s="1179"/>
      <c r="G11" s="1164"/>
      <c r="H11" s="1170" t="s">
        <v>809</v>
      </c>
    </row>
    <row r="12" spans="1:8">
      <c r="A12" s="911" t="s">
        <v>655</v>
      </c>
      <c r="B12" s="913" t="s">
        <v>656</v>
      </c>
      <c r="C12" s="1195">
        <f>Overview!C21</f>
        <v>93000</v>
      </c>
      <c r="D12" s="1125">
        <f>Overview!G21</f>
        <v>93000</v>
      </c>
      <c r="E12" s="1172">
        <f>Overview!K21</f>
        <v>83000</v>
      </c>
      <c r="F12" s="1182">
        <v>8800</v>
      </c>
      <c r="G12" s="1165" t="s">
        <v>722</v>
      </c>
      <c r="H12" s="1168"/>
    </row>
    <row r="13" spans="1:8">
      <c r="A13" s="911" t="s">
        <v>798</v>
      </c>
      <c r="B13" s="913" t="s">
        <v>806</v>
      </c>
      <c r="C13" s="1195"/>
      <c r="D13" s="1125"/>
      <c r="E13" s="1172">
        <f>Overview!K22</f>
        <v>0</v>
      </c>
      <c r="F13" s="1182"/>
      <c r="G13" s="1165"/>
      <c r="H13" s="1168"/>
    </row>
    <row r="14" spans="1:8">
      <c r="A14" s="911" t="s">
        <v>694</v>
      </c>
      <c r="B14" s="913" t="s">
        <v>696</v>
      </c>
      <c r="C14" s="1195"/>
      <c r="D14" s="1125">
        <f>Overview!H11*0.5*'GF020'!D7</f>
        <v>55477</v>
      </c>
      <c r="E14" s="1172">
        <f>(Overview!L11*'GF020'!E7)*0.5</f>
        <v>50311.9</v>
      </c>
      <c r="F14" s="1179"/>
      <c r="G14" s="1164"/>
      <c r="H14" s="1168"/>
    </row>
    <row r="15" spans="1:8" hidden="1">
      <c r="A15" s="911" t="s">
        <v>4</v>
      </c>
      <c r="B15" s="913" t="s">
        <v>5</v>
      </c>
      <c r="C15" s="1175">
        <f>SUM(D15:F15)</f>
        <v>0</v>
      </c>
      <c r="D15" s="1100">
        <v>0</v>
      </c>
      <c r="E15" s="1163">
        <v>0</v>
      </c>
      <c r="F15" s="1180"/>
      <c r="G15" s="1164"/>
      <c r="H15" s="1167"/>
    </row>
    <row r="16" spans="1:8">
      <c r="A16" s="1019"/>
      <c r="B16" s="20" t="s">
        <v>6</v>
      </c>
      <c r="C16" s="1196">
        <f>SUM(C8:C15)</f>
        <v>4716000</v>
      </c>
      <c r="D16" s="1113">
        <f>SUM(D8:D15)</f>
        <v>4822268.8282045294</v>
      </c>
      <c r="E16" s="1173">
        <f>SUM(E8:E15)</f>
        <v>4493843.7282045297</v>
      </c>
      <c r="F16" s="1191">
        <f>SUM(F8:F15)</f>
        <v>8800</v>
      </c>
      <c r="G16" s="1164"/>
      <c r="H16" s="1167"/>
    </row>
    <row r="17" spans="1:8">
      <c r="A17" s="1019"/>
      <c r="B17" s="1"/>
      <c r="C17" s="1197"/>
      <c r="D17" s="1101"/>
      <c r="E17" s="304"/>
      <c r="F17" s="1101"/>
      <c r="G17" s="1164"/>
      <c r="H17" s="1167"/>
    </row>
    <row r="18" spans="1:8">
      <c r="A18" s="915"/>
      <c r="B18" s="915" t="s">
        <v>7</v>
      </c>
      <c r="C18" s="1198">
        <f>C16</f>
        <v>4716000</v>
      </c>
      <c r="D18" s="1115">
        <f>D16</f>
        <v>4822268.8282045294</v>
      </c>
      <c r="E18" s="1174">
        <f>E16</f>
        <v>4493843.7282045297</v>
      </c>
      <c r="F18" s="1181">
        <f>F16</f>
        <v>8800</v>
      </c>
      <c r="G18" s="1164"/>
      <c r="H18" s="1169">
        <f>E18-D18</f>
        <v>-328425.09999999963</v>
      </c>
    </row>
    <row r="19" spans="1:8">
      <c r="A19" s="913"/>
      <c r="B19" s="913"/>
      <c r="C19" s="1199"/>
      <c r="D19" s="1100"/>
      <c r="E19" s="1163"/>
      <c r="F19" s="1179"/>
      <c r="G19" s="301"/>
      <c r="H19" s="1167"/>
    </row>
    <row r="20" spans="1:8">
      <c r="A20" s="1" t="s">
        <v>8</v>
      </c>
      <c r="C20" s="1200"/>
      <c r="D20" s="1100"/>
      <c r="E20" s="1163"/>
      <c r="F20" s="1179"/>
      <c r="G20" s="301"/>
      <c r="H20" s="1167"/>
    </row>
    <row r="21" spans="1:8">
      <c r="A21" s="913"/>
      <c r="B21" s="1"/>
      <c r="C21" s="1201"/>
      <c r="D21" s="1100"/>
      <c r="E21" s="1163"/>
      <c r="F21" s="1179"/>
      <c r="G21" s="301"/>
      <c r="H21" s="1167"/>
    </row>
    <row r="22" spans="1:8">
      <c r="A22" s="913"/>
      <c r="B22" s="917" t="s">
        <v>9</v>
      </c>
      <c r="C22" s="1202">
        <v>2765000</v>
      </c>
      <c r="D22" s="1113">
        <v>2785000</v>
      </c>
      <c r="E22" s="1173">
        <v>2740000</v>
      </c>
      <c r="F22" s="1101">
        <v>0</v>
      </c>
      <c r="G22" s="1164"/>
      <c r="H22" s="1295">
        <f>C22-E22</f>
        <v>25000</v>
      </c>
    </row>
    <row r="23" spans="1:8" ht="14.4" thickBot="1">
      <c r="A23" s="913"/>
      <c r="B23" s="918"/>
      <c r="C23" s="301"/>
      <c r="D23" s="1102"/>
      <c r="E23" s="302"/>
      <c r="F23" s="1179"/>
      <c r="G23" s="1164"/>
      <c r="H23" s="1167"/>
    </row>
    <row r="24" spans="1:8" ht="14.4" thickBot="1">
      <c r="A24" s="913" t="s">
        <v>10</v>
      </c>
      <c r="B24" s="913" t="s">
        <v>715</v>
      </c>
      <c r="C24" s="1195">
        <f>650*53*12</f>
        <v>413400</v>
      </c>
      <c r="D24" s="1281">
        <f>(600*59)*12</f>
        <v>424800</v>
      </c>
      <c r="E24" s="1284">
        <f>(650*35)*12</f>
        <v>273000</v>
      </c>
      <c r="F24" s="1290" t="s">
        <v>134</v>
      </c>
      <c r="G24" s="1164" t="s">
        <v>796</v>
      </c>
      <c r="H24" s="1170" t="s">
        <v>824</v>
      </c>
    </row>
    <row r="25" spans="1:8">
      <c r="A25" s="913"/>
      <c r="B25" s="913" t="s">
        <v>703</v>
      </c>
      <c r="C25" s="1195">
        <f>C22*0.214</f>
        <v>591710</v>
      </c>
      <c r="D25" s="1125">
        <f>D22*0.214</f>
        <v>595990</v>
      </c>
      <c r="E25" s="1172">
        <f>E22*0.214</f>
        <v>586360</v>
      </c>
      <c r="F25" s="1100"/>
      <c r="G25" s="1164"/>
      <c r="H25" s="1167"/>
    </row>
    <row r="26" spans="1:8">
      <c r="A26" s="913"/>
      <c r="B26" s="917" t="s">
        <v>12</v>
      </c>
      <c r="C26" s="1202">
        <f>C24+C25</f>
        <v>1005110</v>
      </c>
      <c r="D26" s="1113">
        <f>D24+D25</f>
        <v>1020790</v>
      </c>
      <c r="E26" s="1173">
        <f>E24+E25</f>
        <v>859360</v>
      </c>
      <c r="F26" s="1101">
        <v>0</v>
      </c>
      <c r="G26" s="1280">
        <v>0.31</v>
      </c>
      <c r="H26" s="1295">
        <f>C26-E26</f>
        <v>145750</v>
      </c>
    </row>
    <row r="27" spans="1:8">
      <c r="A27" s="913"/>
      <c r="B27" s="918"/>
      <c r="C27" s="301"/>
      <c r="D27" s="1102"/>
      <c r="E27" s="302"/>
      <c r="F27" s="1179"/>
      <c r="G27" s="1164"/>
      <c r="H27" s="1167"/>
    </row>
    <row r="28" spans="1:8">
      <c r="A28" s="913"/>
      <c r="B28" s="917" t="s">
        <v>72</v>
      </c>
      <c r="C28" s="1202">
        <f>C22+C26</f>
        <v>3770110</v>
      </c>
      <c r="D28" s="1113">
        <f>D22+D26</f>
        <v>3805790</v>
      </c>
      <c r="E28" s="1173">
        <f>E22+E26</f>
        <v>3599360</v>
      </c>
      <c r="F28" s="1101">
        <f>F22+F26</f>
        <v>0</v>
      </c>
      <c r="G28" s="1164"/>
      <c r="H28" s="1287">
        <f>C28-E28</f>
        <v>170750</v>
      </c>
    </row>
    <row r="29" spans="1:8">
      <c r="A29" s="913"/>
      <c r="B29" s="918"/>
      <c r="C29" s="1203"/>
      <c r="D29" s="1102"/>
      <c r="E29" s="302"/>
      <c r="F29" s="1179"/>
      <c r="G29" s="301"/>
      <c r="H29" s="1167"/>
    </row>
    <row r="30" spans="1:8" ht="42" customHeight="1">
      <c r="A30" s="911" t="s">
        <v>13</v>
      </c>
      <c r="B30" s="1066" t="s">
        <v>14</v>
      </c>
      <c r="C30" s="1204">
        <v>0</v>
      </c>
      <c r="D30" s="1103"/>
      <c r="E30" s="1175"/>
      <c r="F30" s="1182">
        <v>43200</v>
      </c>
      <c r="G30" s="1162" t="s">
        <v>717</v>
      </c>
      <c r="H30" s="1170"/>
    </row>
    <row r="31" spans="1:8" ht="14.4" thickBot="1">
      <c r="A31" s="911" t="s">
        <v>15</v>
      </c>
      <c r="B31" s="1066" t="s">
        <v>16</v>
      </c>
      <c r="C31" s="1204">
        <v>0</v>
      </c>
      <c r="D31" s="1100"/>
      <c r="E31" s="1163"/>
      <c r="F31" s="1179"/>
      <c r="G31" s="1163"/>
      <c r="H31" s="1168"/>
    </row>
    <row r="32" spans="1:8" ht="14.4" thickBot="1">
      <c r="A32" s="911" t="s">
        <v>17</v>
      </c>
      <c r="B32" s="1066" t="s">
        <v>18</v>
      </c>
      <c r="C32" s="1205">
        <v>1000</v>
      </c>
      <c r="D32" s="1177">
        <v>2000</v>
      </c>
      <c r="E32" s="1284">
        <v>3000</v>
      </c>
      <c r="F32" s="1283"/>
      <c r="G32" s="1164"/>
      <c r="H32" s="1170" t="s">
        <v>815</v>
      </c>
    </row>
    <row r="33" spans="1:8" ht="14.4" thickBot="1">
      <c r="A33" s="1064">
        <v>708000</v>
      </c>
      <c r="B33" s="1066" t="s">
        <v>249</v>
      </c>
      <c r="C33" s="1205">
        <v>1000</v>
      </c>
      <c r="D33" s="1126">
        <v>1000</v>
      </c>
      <c r="E33" s="1161">
        <v>1000</v>
      </c>
      <c r="F33" s="1183"/>
      <c r="G33" s="1164"/>
      <c r="H33" s="1168"/>
    </row>
    <row r="34" spans="1:8" hidden="1">
      <c r="A34" s="911" t="s">
        <v>19</v>
      </c>
      <c r="B34" s="1066" t="s">
        <v>20</v>
      </c>
      <c r="C34" s="1205"/>
      <c r="D34" s="1125"/>
      <c r="E34" s="1172"/>
      <c r="F34" s="1179"/>
      <c r="G34" s="1164"/>
      <c r="H34" s="1168"/>
    </row>
    <row r="35" spans="1:8" hidden="1">
      <c r="A35" s="911" t="s">
        <v>21</v>
      </c>
      <c r="B35" s="1066" t="s">
        <v>22</v>
      </c>
      <c r="C35" s="1205"/>
      <c r="D35" s="1125"/>
      <c r="E35" s="1172"/>
      <c r="F35" s="1179"/>
      <c r="G35" s="1164"/>
      <c r="H35" s="1168"/>
    </row>
    <row r="36" spans="1:8" hidden="1">
      <c r="A36" s="911" t="s">
        <v>23</v>
      </c>
      <c r="B36" s="1066" t="s">
        <v>24</v>
      </c>
      <c r="C36" s="1205"/>
      <c r="D36" s="1125"/>
      <c r="E36" s="1172"/>
      <c r="F36" s="1179"/>
      <c r="G36" s="1164"/>
      <c r="H36" s="1168"/>
    </row>
    <row r="37" spans="1:8" ht="14.4" thickBot="1">
      <c r="A37" s="911" t="s">
        <v>25</v>
      </c>
      <c r="B37" s="1066" t="s">
        <v>26</v>
      </c>
      <c r="C37" s="1205">
        <v>5000</v>
      </c>
      <c r="D37" s="1281">
        <v>5000</v>
      </c>
      <c r="E37" s="1284">
        <v>12000</v>
      </c>
      <c r="F37" s="1283"/>
      <c r="G37" s="1164"/>
      <c r="H37" s="1170" t="s">
        <v>816</v>
      </c>
    </row>
    <row r="38" spans="1:8" ht="14.4" thickBot="1">
      <c r="A38" s="911" t="s">
        <v>27</v>
      </c>
      <c r="B38" s="1066" t="s">
        <v>28</v>
      </c>
      <c r="C38" s="1205">
        <v>1000</v>
      </c>
      <c r="D38" s="1104">
        <v>5000</v>
      </c>
      <c r="E38" s="1172">
        <v>1000</v>
      </c>
      <c r="F38" s="1179"/>
      <c r="G38" s="1164"/>
      <c r="H38" s="1170"/>
    </row>
    <row r="39" spans="1:8" ht="14.4" thickBot="1">
      <c r="A39" s="911" t="s">
        <v>29</v>
      </c>
      <c r="B39" s="1066" t="s">
        <v>30</v>
      </c>
      <c r="C39" s="1205">
        <v>5000</v>
      </c>
      <c r="D39" s="1281">
        <v>5000</v>
      </c>
      <c r="E39" s="1284">
        <v>45000</v>
      </c>
      <c r="F39" s="1283"/>
      <c r="G39" s="1164"/>
      <c r="H39" s="1170" t="s">
        <v>658</v>
      </c>
    </row>
    <row r="40" spans="1:8" ht="14.4" thickBot="1">
      <c r="A40" s="911" t="s">
        <v>31</v>
      </c>
      <c r="B40" s="1066" t="s">
        <v>152</v>
      </c>
      <c r="C40" s="1205">
        <v>80000</v>
      </c>
      <c r="D40" s="1281">
        <v>80000</v>
      </c>
      <c r="E40" s="1284">
        <v>102000</v>
      </c>
      <c r="F40" s="1282">
        <v>41000</v>
      </c>
      <c r="G40" s="1165" t="s">
        <v>718</v>
      </c>
      <c r="H40" s="1170" t="s">
        <v>812</v>
      </c>
    </row>
    <row r="41" spans="1:8">
      <c r="A41" s="1065">
        <v>742000</v>
      </c>
      <c r="B41" s="1066" t="s">
        <v>638</v>
      </c>
      <c r="C41" s="1205">
        <v>250000</v>
      </c>
      <c r="D41" s="1127">
        <v>250000</v>
      </c>
      <c r="E41" s="1176">
        <v>250000</v>
      </c>
      <c r="F41" s="1184"/>
      <c r="G41" s="1164"/>
      <c r="H41" s="1170"/>
    </row>
    <row r="42" spans="1:8">
      <c r="A42" s="911" t="s">
        <v>32</v>
      </c>
      <c r="B42" s="1066" t="s">
        <v>33</v>
      </c>
      <c r="C42" s="1205">
        <v>0</v>
      </c>
      <c r="D42" s="1104">
        <v>44000</v>
      </c>
      <c r="E42" s="1172">
        <v>0</v>
      </c>
      <c r="F42" s="1179"/>
      <c r="G42" s="1164"/>
      <c r="H42" s="1170"/>
    </row>
    <row r="43" spans="1:8">
      <c r="A43" s="911">
        <v>745500</v>
      </c>
      <c r="B43" s="1066" t="s">
        <v>639</v>
      </c>
      <c r="C43" s="1205">
        <v>5000</v>
      </c>
      <c r="D43" s="1104">
        <v>9000</v>
      </c>
      <c r="E43" s="1172">
        <v>0</v>
      </c>
      <c r="F43" s="1179"/>
      <c r="G43" s="1164"/>
      <c r="H43" s="1170" t="s">
        <v>814</v>
      </c>
    </row>
    <row r="44" spans="1:8" ht="14.4" thickBot="1">
      <c r="A44" s="911" t="s">
        <v>34</v>
      </c>
      <c r="B44" s="1066" t="s">
        <v>35</v>
      </c>
      <c r="C44" s="1195">
        <v>5000</v>
      </c>
      <c r="D44" s="1104">
        <v>44000</v>
      </c>
      <c r="E44" s="1172">
        <v>5000</v>
      </c>
      <c r="F44" s="1179"/>
      <c r="G44" s="1164"/>
      <c r="H44" s="1170"/>
    </row>
    <row r="45" spans="1:8" ht="14.4" thickBot="1">
      <c r="A45" s="911" t="s">
        <v>36</v>
      </c>
      <c r="B45" s="1066" t="s">
        <v>37</v>
      </c>
      <c r="C45" s="1205">
        <v>5000</v>
      </c>
      <c r="D45" s="1177">
        <v>7000</v>
      </c>
      <c r="E45" s="1284">
        <v>15000</v>
      </c>
      <c r="F45" s="1283"/>
      <c r="G45" s="1164"/>
      <c r="H45" s="1170" t="s">
        <v>826</v>
      </c>
    </row>
    <row r="46" spans="1:8" ht="14.4" thickBot="1">
      <c r="A46" s="911" t="s">
        <v>38</v>
      </c>
      <c r="B46" s="1066" t="s">
        <v>39</v>
      </c>
      <c r="C46" s="1205">
        <v>5000</v>
      </c>
      <c r="D46" s="1177">
        <v>10000</v>
      </c>
      <c r="E46" s="1284">
        <v>5000</v>
      </c>
      <c r="F46" s="1283"/>
      <c r="G46" s="1164"/>
      <c r="H46" s="1170" t="s">
        <v>828</v>
      </c>
    </row>
    <row r="47" spans="1:8" ht="14.4" thickBot="1">
      <c r="A47" s="911" t="s">
        <v>40</v>
      </c>
      <c r="B47" s="1066" t="s">
        <v>41</v>
      </c>
      <c r="C47" s="1205">
        <v>0</v>
      </c>
      <c r="D47" s="1104">
        <v>0</v>
      </c>
      <c r="E47" s="1172">
        <v>0</v>
      </c>
      <c r="F47" s="1179"/>
      <c r="G47" s="1164"/>
      <c r="H47" s="1289"/>
    </row>
    <row r="48" spans="1:8" ht="14.4" thickBot="1">
      <c r="A48" s="911">
        <v>763000</v>
      </c>
      <c r="B48" s="1066" t="s">
        <v>640</v>
      </c>
      <c r="C48" s="1205">
        <v>6000</v>
      </c>
      <c r="D48" s="1281">
        <v>6000</v>
      </c>
      <c r="E48" s="1284">
        <v>9000</v>
      </c>
      <c r="F48" s="1283"/>
      <c r="G48" s="1164"/>
      <c r="H48" s="1170" t="s">
        <v>827</v>
      </c>
    </row>
    <row r="49" spans="1:8" ht="14.4" thickBot="1">
      <c r="A49" s="911" t="s">
        <v>42</v>
      </c>
      <c r="B49" s="1066" t="s">
        <v>43</v>
      </c>
      <c r="C49" s="1205">
        <v>1000</v>
      </c>
      <c r="D49" s="1104">
        <v>1000</v>
      </c>
      <c r="E49" s="1172">
        <v>1000</v>
      </c>
      <c r="F49" s="1179"/>
      <c r="G49" s="1164"/>
      <c r="H49" s="1289"/>
    </row>
    <row r="50" spans="1:8" ht="27" customHeight="1" thickBot="1">
      <c r="A50" s="911" t="s">
        <v>44</v>
      </c>
      <c r="B50" s="1066" t="s">
        <v>45</v>
      </c>
      <c r="C50" s="1205">
        <v>8000</v>
      </c>
      <c r="D50" s="1281">
        <v>8000</v>
      </c>
      <c r="E50" s="1284">
        <v>11000</v>
      </c>
      <c r="F50" s="1283"/>
      <c r="G50" s="1164"/>
      <c r="H50" s="1213" t="s">
        <v>829</v>
      </c>
    </row>
    <row r="51" spans="1:8" ht="14.4" thickBot="1">
      <c r="A51" s="911">
        <v>770000</v>
      </c>
      <c r="B51" s="1066" t="s">
        <v>641</v>
      </c>
      <c r="C51" s="1205">
        <v>70000</v>
      </c>
      <c r="D51" s="1281">
        <v>70000</v>
      </c>
      <c r="E51" s="1284">
        <v>15000</v>
      </c>
      <c r="F51" s="1283"/>
      <c r="G51" s="1164"/>
      <c r="H51" s="1170" t="s">
        <v>813</v>
      </c>
    </row>
    <row r="52" spans="1:8" ht="14.4" thickBot="1">
      <c r="A52" s="911">
        <v>770800</v>
      </c>
      <c r="B52" s="1066" t="s">
        <v>642</v>
      </c>
      <c r="C52" s="1205">
        <v>10000</v>
      </c>
      <c r="D52" s="1281">
        <v>10000</v>
      </c>
      <c r="E52" s="1284">
        <v>9000</v>
      </c>
      <c r="F52" s="1283"/>
      <c r="G52" s="1164"/>
      <c r="H52" s="1170"/>
    </row>
    <row r="53" spans="1:8">
      <c r="A53" s="913"/>
      <c r="B53" s="917" t="s">
        <v>46</v>
      </c>
      <c r="C53" s="1202">
        <f>SUM(C30:C52)</f>
        <v>458000</v>
      </c>
      <c r="D53" s="1113">
        <f>SUM(D30:D52)</f>
        <v>557000</v>
      </c>
      <c r="E53" s="1288">
        <f>SUM(E30:E52)</f>
        <v>484000</v>
      </c>
      <c r="F53" s="1191">
        <f>SUM(F30:F52)</f>
        <v>84200</v>
      </c>
      <c r="G53" s="1164"/>
      <c r="H53" s="1306">
        <f>E53-C53</f>
        <v>26000</v>
      </c>
    </row>
    <row r="54" spans="1:8">
      <c r="A54" s="913"/>
      <c r="B54" s="918"/>
      <c r="C54" s="302"/>
      <c r="D54" s="1102"/>
      <c r="E54" s="302"/>
      <c r="F54" s="1179"/>
      <c r="G54" s="1164"/>
      <c r="H54" s="1168"/>
    </row>
    <row r="55" spans="1:8" ht="14.4" thickBot="1">
      <c r="A55" s="913" t="s">
        <v>47</v>
      </c>
      <c r="B55" s="913" t="s">
        <v>48</v>
      </c>
      <c r="C55" s="1205">
        <v>1000</v>
      </c>
      <c r="D55" s="1125">
        <v>2000</v>
      </c>
      <c r="E55" s="1172">
        <v>1000</v>
      </c>
      <c r="F55" s="1179"/>
      <c r="G55" s="1164"/>
      <c r="H55" s="1170"/>
    </row>
    <row r="56" spans="1:8" ht="28.2" thickBot="1">
      <c r="A56" s="913" t="s">
        <v>49</v>
      </c>
      <c r="B56" s="913" t="s">
        <v>50</v>
      </c>
      <c r="C56" s="1205">
        <v>4000</v>
      </c>
      <c r="D56" s="1177">
        <v>10500</v>
      </c>
      <c r="E56" s="1284">
        <v>0</v>
      </c>
      <c r="F56" s="1282">
        <v>39000</v>
      </c>
      <c r="G56" s="1171" t="s">
        <v>721</v>
      </c>
      <c r="H56" s="1170" t="s">
        <v>817</v>
      </c>
    </row>
    <row r="57" spans="1:8" ht="14.4" thickBot="1">
      <c r="A57" s="913" t="s">
        <v>51</v>
      </c>
      <c r="B57" s="913" t="s">
        <v>52</v>
      </c>
      <c r="C57" s="1205">
        <v>1000</v>
      </c>
      <c r="D57" s="1281">
        <v>1000</v>
      </c>
      <c r="E57" s="1284">
        <v>0</v>
      </c>
      <c r="F57" s="1283"/>
      <c r="G57" s="1164"/>
      <c r="H57" s="1170" t="s">
        <v>817</v>
      </c>
    </row>
    <row r="58" spans="1:8" ht="28.2" thickBot="1">
      <c r="A58" s="913" t="s">
        <v>53</v>
      </c>
      <c r="B58" s="913" t="s">
        <v>54</v>
      </c>
      <c r="C58" s="1205">
        <v>5500</v>
      </c>
      <c r="D58" s="1177">
        <v>60000</v>
      </c>
      <c r="E58" s="1284">
        <v>4500</v>
      </c>
      <c r="F58" s="1282">
        <v>165240</v>
      </c>
      <c r="G58" s="1171" t="s">
        <v>719</v>
      </c>
      <c r="H58" s="1170" t="s">
        <v>818</v>
      </c>
    </row>
    <row r="59" spans="1:8" ht="42" thickBot="1">
      <c r="A59" s="913" t="s">
        <v>55</v>
      </c>
      <c r="B59" s="913" t="s">
        <v>56</v>
      </c>
      <c r="C59" s="1205">
        <v>25000</v>
      </c>
      <c r="D59" s="1177">
        <v>40000</v>
      </c>
      <c r="E59" s="1284">
        <v>0</v>
      </c>
      <c r="F59" s="1282">
        <v>175535</v>
      </c>
      <c r="G59" s="1171" t="s">
        <v>720</v>
      </c>
      <c r="H59" s="1170" t="s">
        <v>817</v>
      </c>
    </row>
    <row r="60" spans="1:8" ht="14.4" thickBot="1">
      <c r="A60" s="913" t="s">
        <v>57</v>
      </c>
      <c r="B60" s="913" t="s">
        <v>58</v>
      </c>
      <c r="C60" s="1205">
        <v>0</v>
      </c>
      <c r="D60" s="1125">
        <v>0</v>
      </c>
      <c r="E60" s="1172">
        <v>0</v>
      </c>
      <c r="F60" s="1179"/>
      <c r="G60" s="1164"/>
      <c r="H60" s="1170" t="s">
        <v>134</v>
      </c>
    </row>
    <row r="61" spans="1:8" ht="14.4" thickBot="1">
      <c r="A61" s="913" t="s">
        <v>59</v>
      </c>
      <c r="B61" s="913" t="s">
        <v>60</v>
      </c>
      <c r="C61" s="1205">
        <v>12000</v>
      </c>
      <c r="D61" s="1281">
        <v>12000</v>
      </c>
      <c r="E61" s="1284">
        <v>15000</v>
      </c>
      <c r="F61" s="1283"/>
      <c r="G61" s="1164"/>
      <c r="H61" s="1170" t="s">
        <v>819</v>
      </c>
    </row>
    <row r="62" spans="1:8" ht="14.4" thickBot="1">
      <c r="A62" s="913" t="s">
        <v>61</v>
      </c>
      <c r="B62" s="913" t="s">
        <v>62</v>
      </c>
      <c r="C62" s="1205">
        <v>7000</v>
      </c>
      <c r="D62" s="1104">
        <v>7000</v>
      </c>
      <c r="E62" s="1172">
        <v>3000</v>
      </c>
      <c r="F62" s="1179"/>
      <c r="G62" s="1164"/>
      <c r="H62" s="1168" t="s">
        <v>702</v>
      </c>
    </row>
    <row r="63" spans="1:8" ht="14.4" thickBot="1">
      <c r="A63" s="913" t="s">
        <v>63</v>
      </c>
      <c r="B63" s="913" t="s">
        <v>64</v>
      </c>
      <c r="C63" s="1205">
        <v>1500</v>
      </c>
      <c r="D63" s="1281">
        <v>1700</v>
      </c>
      <c r="E63" s="1284">
        <v>0</v>
      </c>
      <c r="F63" s="1283"/>
      <c r="G63" s="1164"/>
      <c r="H63" s="1170" t="s">
        <v>857</v>
      </c>
    </row>
    <row r="64" spans="1:8" ht="14.4" customHeight="1">
      <c r="A64" s="913" t="s">
        <v>65</v>
      </c>
      <c r="B64" s="913" t="s">
        <v>66</v>
      </c>
      <c r="C64" s="1205">
        <v>0</v>
      </c>
      <c r="D64" s="1128">
        <v>0</v>
      </c>
      <c r="E64" s="1178">
        <v>0</v>
      </c>
      <c r="F64" s="1182">
        <v>27420</v>
      </c>
      <c r="G64" s="1171" t="s">
        <v>723</v>
      </c>
      <c r="H64" s="1170"/>
    </row>
    <row r="65" spans="1:9">
      <c r="A65" s="913"/>
      <c r="B65" s="917" t="s">
        <v>67</v>
      </c>
      <c r="C65" s="1202">
        <f>SUM(C55:C64)</f>
        <v>57000</v>
      </c>
      <c r="D65" s="1113">
        <f>SUM(D55:D64)</f>
        <v>134200</v>
      </c>
      <c r="E65" s="1116">
        <f>SUM(E55:E64)</f>
        <v>23500</v>
      </c>
      <c r="F65" s="1191">
        <f>SUM(F55:F64)</f>
        <v>407195</v>
      </c>
      <c r="G65" s="1164"/>
      <c r="H65" s="1286">
        <f>C65-E65</f>
        <v>33500</v>
      </c>
    </row>
    <row r="66" spans="1:9">
      <c r="C66" s="1200"/>
      <c r="D66" s="1118"/>
      <c r="F66" s="1118"/>
      <c r="G66" s="1118"/>
      <c r="H66" s="1167"/>
    </row>
    <row r="67" spans="1:9" ht="14.4">
      <c r="A67" s="1069">
        <v>950000</v>
      </c>
      <c r="B67" s="1067" t="s">
        <v>644</v>
      </c>
      <c r="C67" s="1206">
        <f t="shared" ref="C67:C73" si="0">D67</f>
        <v>48348.800000000003</v>
      </c>
      <c r="D67" s="1129">
        <f>166.72*290</f>
        <v>48348.800000000003</v>
      </c>
      <c r="E67" s="1132">
        <f>166.72*E7</f>
        <v>43847.360000000001</v>
      </c>
      <c r="F67" s="1185">
        <v>0</v>
      </c>
      <c r="G67" s="1118"/>
      <c r="H67" s="1106" t="s">
        <v>700</v>
      </c>
    </row>
    <row r="68" spans="1:9" ht="14.4">
      <c r="A68" s="1069">
        <v>950000</v>
      </c>
      <c r="B68" s="1067" t="s">
        <v>645</v>
      </c>
      <c r="C68" s="1207">
        <f t="shared" si="0"/>
        <v>151098.69999999998</v>
      </c>
      <c r="D68" s="1130">
        <f>521.03*290</f>
        <v>151098.69999999998</v>
      </c>
      <c r="E68" s="1132">
        <f>521.03*E7</f>
        <v>137030.88999999998</v>
      </c>
      <c r="F68" s="1185">
        <v>0</v>
      </c>
      <c r="G68" s="1118"/>
      <c r="H68" s="1107">
        <f>166.72+521.03+23.31+567.41</f>
        <v>1278.4699999999998</v>
      </c>
    </row>
    <row r="69" spans="1:9" ht="14.4">
      <c r="A69" s="1069">
        <v>950000</v>
      </c>
      <c r="B69" s="1067" t="s">
        <v>646</v>
      </c>
      <c r="C69" s="1207">
        <f t="shared" si="0"/>
        <v>7629.9</v>
      </c>
      <c r="D69" s="1130">
        <f>26.31*290</f>
        <v>7629.9</v>
      </c>
      <c r="E69" s="1132">
        <f>26.31*E7</f>
        <v>6919.53</v>
      </c>
      <c r="F69" s="1185">
        <v>0</v>
      </c>
      <c r="G69" s="1118"/>
      <c r="H69" s="1108">
        <f>H68/11500</f>
        <v>0.11117130434782607</v>
      </c>
    </row>
    <row r="70" spans="1:9" ht="14.4">
      <c r="A70" s="1069">
        <v>950000</v>
      </c>
      <c r="B70" s="1067" t="s">
        <v>647</v>
      </c>
      <c r="C70" s="1207">
        <f t="shared" si="0"/>
        <v>164548.9</v>
      </c>
      <c r="D70" s="1130">
        <f>567.41*290</f>
        <v>164548.9</v>
      </c>
      <c r="E70" s="1132">
        <f>567.41*E7</f>
        <v>149228.82999999999</v>
      </c>
      <c r="F70" s="1185">
        <v>0</v>
      </c>
      <c r="G70" s="1118"/>
      <c r="H70" s="1167"/>
    </row>
    <row r="71" spans="1:9" ht="14.4">
      <c r="A71" s="1070">
        <v>950000</v>
      </c>
      <c r="B71" s="1067" t="s">
        <v>649</v>
      </c>
      <c r="C71" s="1207">
        <f t="shared" si="0"/>
        <v>24583.3</v>
      </c>
      <c r="D71" s="1130">
        <f>84.77*290</f>
        <v>24583.3</v>
      </c>
      <c r="E71" s="1132">
        <f>84.77*E7</f>
        <v>22294.51</v>
      </c>
      <c r="F71" s="1185">
        <v>0</v>
      </c>
      <c r="G71" s="1164"/>
      <c r="H71" s="1167"/>
    </row>
    <row r="72" spans="1:9" ht="14.4">
      <c r="A72" s="1069">
        <v>950000</v>
      </c>
      <c r="B72" s="1067" t="s">
        <v>650</v>
      </c>
      <c r="C72" s="1207">
        <f t="shared" si="0"/>
        <v>28249.200000000001</v>
      </c>
      <c r="D72" s="1130">
        <f>380*74.34</f>
        <v>28249.200000000001</v>
      </c>
      <c r="E72" s="1132">
        <f>74.34*360</f>
        <v>26762.400000000001</v>
      </c>
      <c r="F72" s="1185">
        <v>0</v>
      </c>
      <c r="G72" s="1164"/>
      <c r="H72" s="1167"/>
    </row>
    <row r="73" spans="1:9" ht="14.4">
      <c r="A73" s="1071">
        <v>950000</v>
      </c>
      <c r="B73" s="1068" t="s">
        <v>643</v>
      </c>
      <c r="C73" s="1207">
        <f t="shared" si="0"/>
        <v>1400</v>
      </c>
      <c r="D73" s="1131">
        <v>1400</v>
      </c>
      <c r="E73" s="1133">
        <v>1400</v>
      </c>
      <c r="F73" s="1186">
        <v>0</v>
      </c>
      <c r="G73" s="1164"/>
      <c r="H73" s="1167"/>
    </row>
    <row r="74" spans="1:9">
      <c r="A74" s="1020"/>
      <c r="B74" s="1051" t="s">
        <v>657</v>
      </c>
      <c r="C74" s="1208">
        <f>SUM(C67:C73)</f>
        <v>425858.8</v>
      </c>
      <c r="D74" s="1119">
        <f>SUM(D67:D73)</f>
        <v>425858.8</v>
      </c>
      <c r="E74" s="1296">
        <f>SUM(E67:E73)</f>
        <v>387483.52</v>
      </c>
      <c r="F74" s="1101">
        <v>0</v>
      </c>
      <c r="G74" s="1164"/>
      <c r="H74" s="1167"/>
      <c r="I74" s="1099"/>
    </row>
    <row r="75" spans="1:9">
      <c r="A75" s="913"/>
      <c r="B75" s="2" t="s">
        <v>68</v>
      </c>
      <c r="C75" s="1209">
        <f>C53+C65+C74</f>
        <v>940858.8</v>
      </c>
      <c r="D75" s="1120">
        <f>D53+D65+D74</f>
        <v>1117058.8</v>
      </c>
      <c r="E75" s="1294">
        <f>E53+E65+E74</f>
        <v>894983.52</v>
      </c>
      <c r="F75" s="302">
        <v>0</v>
      </c>
      <c r="G75" s="1164"/>
    </row>
    <row r="76" spans="1:9" ht="15" thickBot="1">
      <c r="A76" s="913"/>
      <c r="C76" s="304">
        <f>C74+C75</f>
        <v>1366717.6</v>
      </c>
      <c r="D76" s="303">
        <v>0</v>
      </c>
      <c r="E76" s="1101">
        <f>E74+E75</f>
        <v>1282467.04</v>
      </c>
      <c r="F76" s="1192">
        <v>0</v>
      </c>
      <c r="G76" s="1164"/>
      <c r="H76" s="1286">
        <f>C76-E76</f>
        <v>84250.560000000056</v>
      </c>
    </row>
    <row r="77" spans="1:9" ht="15" thickTop="1" thickBot="1">
      <c r="B77" s="918" t="s">
        <v>69</v>
      </c>
      <c r="C77" s="1292"/>
      <c r="D77" s="1291"/>
      <c r="E77" s="1293">
        <v>0</v>
      </c>
      <c r="G77" s="1164"/>
    </row>
    <row r="78" spans="1:9" ht="14.4" thickTop="1">
      <c r="G78" s="1164"/>
      <c r="H78" s="1167"/>
    </row>
    <row r="79" spans="1:9">
      <c r="A79" s="919"/>
      <c r="B79" s="919" t="s">
        <v>70</v>
      </c>
      <c r="C79" s="1210">
        <f>C28+C75</f>
        <v>4710968.8</v>
      </c>
      <c r="D79" s="1121">
        <f>D28+D75</f>
        <v>4922848.8</v>
      </c>
      <c r="E79" s="1110">
        <f>E28+E75</f>
        <v>4494343.5199999996</v>
      </c>
      <c r="F79" s="299">
        <f>F28+F53+F65+F74</f>
        <v>491395</v>
      </c>
      <c r="G79" s="1164"/>
      <c r="H79" s="1286">
        <f>C79-E79</f>
        <v>216625.28000000026</v>
      </c>
    </row>
    <row r="80" spans="1:9">
      <c r="A80" s="918"/>
      <c r="B80" s="918"/>
      <c r="C80" s="302"/>
      <c r="D80" s="303"/>
      <c r="E80" s="300"/>
      <c r="F80" s="301"/>
      <c r="G80" s="1164"/>
      <c r="H80" s="1167"/>
    </row>
    <row r="81" spans="1:9">
      <c r="A81" s="918"/>
      <c r="B81" s="918" t="s">
        <v>7</v>
      </c>
      <c r="C81" s="1211">
        <f>C18</f>
        <v>4716000</v>
      </c>
      <c r="D81" s="1122">
        <f>D18</f>
        <v>4822268.8282045294</v>
      </c>
      <c r="E81" s="1117">
        <f>E18</f>
        <v>4493843.7282045297</v>
      </c>
      <c r="F81" s="1214">
        <f>F18+F65+F53</f>
        <v>500195</v>
      </c>
      <c r="G81" s="1164"/>
      <c r="H81" s="1167"/>
    </row>
    <row r="82" spans="1:9" ht="14.4" thickBot="1">
      <c r="A82" s="918"/>
      <c r="B82" s="918" t="s">
        <v>71</v>
      </c>
      <c r="C82" s="1211">
        <f>C79</f>
        <v>4710968.8</v>
      </c>
      <c r="D82" s="1123">
        <f>D79</f>
        <v>4922848.8</v>
      </c>
      <c r="E82" s="1117">
        <f>E79</f>
        <v>4494343.5199999996</v>
      </c>
      <c r="F82" s="1214">
        <f>F79+F16</f>
        <v>500195</v>
      </c>
      <c r="G82" s="1164"/>
      <c r="H82" s="1167"/>
    </row>
    <row r="83" spans="1:9" ht="14.4" thickBot="1">
      <c r="A83" s="918"/>
      <c r="B83" s="918" t="s">
        <v>81</v>
      </c>
      <c r="C83" s="1212">
        <f>C81-C82</f>
        <v>5031.2000000001863</v>
      </c>
      <c r="D83" s="1111">
        <f>D81-D82</f>
        <v>-100579.97179547045</v>
      </c>
      <c r="E83" s="1298">
        <f>E81-E82</f>
        <v>-499.7917954698205</v>
      </c>
      <c r="F83" s="1297">
        <f>F81-F82</f>
        <v>0</v>
      </c>
      <c r="G83" s="1193"/>
      <c r="H83" s="1408" t="s">
        <v>860</v>
      </c>
    </row>
    <row r="84" spans="1:9" ht="14.4" thickTop="1">
      <c r="D84" s="8"/>
      <c r="E84" s="8"/>
    </row>
    <row r="85" spans="1:9" ht="5.25" customHeight="1" thickBot="1">
      <c r="D85" s="8"/>
      <c r="E85" s="8"/>
    </row>
    <row r="86" spans="1:9" s="164" customFormat="1" ht="12">
      <c r="A86" s="1021" t="s">
        <v>345</v>
      </c>
      <c r="B86" s="920" t="s">
        <v>653</v>
      </c>
      <c r="C86" s="920"/>
      <c r="D86" s="167"/>
      <c r="E86" s="167"/>
      <c r="F86" s="167"/>
      <c r="G86" s="167"/>
      <c r="H86" s="167"/>
      <c r="I86" s="419">
        <v>2033743</v>
      </c>
    </row>
    <row r="87" spans="1:9" s="164" customFormat="1" ht="12">
      <c r="A87" s="1022"/>
      <c r="B87" s="921" t="s">
        <v>651</v>
      </c>
      <c r="C87" s="921"/>
      <c r="D87" s="168"/>
      <c r="E87" s="168"/>
      <c r="F87" s="168"/>
      <c r="G87" s="168"/>
      <c r="H87" s="168"/>
      <c r="I87" s="417">
        <v>30000</v>
      </c>
    </row>
    <row r="88" spans="1:9" s="164" customFormat="1" ht="12.6" thickBot="1">
      <c r="A88" s="1023"/>
      <c r="B88" s="922" t="s">
        <v>652</v>
      </c>
      <c r="C88" s="922"/>
      <c r="D88" s="169"/>
      <c r="E88" s="169"/>
      <c r="F88" s="169"/>
      <c r="G88" s="169"/>
      <c r="H88" s="169"/>
      <c r="I88" s="418">
        <f>I86-I87</f>
        <v>2003743</v>
      </c>
    </row>
  </sheetData>
  <pageMargins left="0.25" right="0.25" top="0.75" bottom="0.75" header="0.3" footer="0.3"/>
  <pageSetup scale="53" fitToWidth="0" orientation="portrait" horizontalDpi="1200" verticalDpi="1200" r:id="rId1"/>
  <rowBreaks count="1" manualBreakCount="1">
    <brk id="28"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K24"/>
  <sheetViews>
    <sheetView workbookViewId="0">
      <selection activeCell="K27" sqref="K27"/>
    </sheetView>
  </sheetViews>
  <sheetFormatPr defaultRowHeight="14.4"/>
  <cols>
    <col min="1" max="1" width="7.33203125" style="35" customWidth="1"/>
    <col min="2" max="11" width="13.5546875" customWidth="1"/>
  </cols>
  <sheetData>
    <row r="1" spans="1:11" ht="15" thickBot="1">
      <c r="A1" s="471" t="s">
        <v>472</v>
      </c>
      <c r="B1" s="43"/>
      <c r="C1" s="470">
        <v>187</v>
      </c>
    </row>
    <row r="2" spans="1:11" ht="15.6">
      <c r="A2" s="1363" t="s">
        <v>471</v>
      </c>
      <c r="B2" s="1364" t="s">
        <v>470</v>
      </c>
      <c r="C2" s="1364"/>
      <c r="D2" s="1365" t="s">
        <v>469</v>
      </c>
      <c r="E2" s="1365"/>
      <c r="F2" s="1366" t="s">
        <v>468</v>
      </c>
      <c r="G2" s="1366"/>
      <c r="H2" s="1367" t="s">
        <v>467</v>
      </c>
      <c r="I2" s="1367"/>
      <c r="J2" s="1362" t="s">
        <v>466</v>
      </c>
      <c r="K2" s="1362"/>
    </row>
    <row r="3" spans="1:11" ht="48">
      <c r="A3" s="1363"/>
      <c r="B3" s="469" t="s">
        <v>465</v>
      </c>
      <c r="C3" s="469" t="s">
        <v>460</v>
      </c>
      <c r="D3" s="468" t="s">
        <v>464</v>
      </c>
      <c r="E3" s="468" t="s">
        <v>460</v>
      </c>
      <c r="F3" s="467" t="s">
        <v>463</v>
      </c>
      <c r="G3" s="467" t="s">
        <v>460</v>
      </c>
      <c r="H3" s="466" t="s">
        <v>462</v>
      </c>
      <c r="I3" s="466" t="s">
        <v>460</v>
      </c>
      <c r="J3" s="465" t="s">
        <v>461</v>
      </c>
      <c r="K3" s="465" t="s">
        <v>460</v>
      </c>
    </row>
    <row r="4" spans="1:11" ht="42" hidden="1" customHeight="1">
      <c r="A4" s="464"/>
      <c r="B4" s="463">
        <v>1</v>
      </c>
      <c r="C4" s="463">
        <v>1.5</v>
      </c>
      <c r="D4" s="462">
        <v>2</v>
      </c>
      <c r="E4" s="462">
        <v>2.5</v>
      </c>
      <c r="F4" s="461">
        <v>3</v>
      </c>
      <c r="G4" s="461">
        <v>3.5</v>
      </c>
      <c r="H4" s="460">
        <v>4</v>
      </c>
      <c r="I4" s="460">
        <v>4.5</v>
      </c>
      <c r="J4" s="459">
        <v>5</v>
      </c>
      <c r="K4" s="459">
        <v>5.5</v>
      </c>
    </row>
    <row r="5" spans="1:11">
      <c r="A5" s="458">
        <v>1</v>
      </c>
      <c r="B5" s="456">
        <v>37142.75</v>
      </c>
      <c r="C5" s="456">
        <f t="shared" ref="C5:C24" si="0">B5/$C$1</f>
        <v>198.62433155080214</v>
      </c>
      <c r="D5" s="457">
        <v>41555.555555555555</v>
      </c>
      <c r="E5" s="457">
        <f t="shared" ref="E5:E24" si="1">+D5/$C$1</f>
        <v>222.22222222222223</v>
      </c>
      <c r="F5" s="456">
        <v>45018.518518518518</v>
      </c>
      <c r="G5" s="456">
        <f t="shared" ref="G5:G24" si="2">F5/$C$1</f>
        <v>240.74074074074073</v>
      </c>
      <c r="H5" s="457">
        <v>46007.936507936509</v>
      </c>
      <c r="I5" s="457">
        <f t="shared" ref="I5:I24" si="3">+H5/$C$1</f>
        <v>246.03174603174602</v>
      </c>
      <c r="J5" s="456">
        <v>50000</v>
      </c>
      <c r="K5" s="456">
        <f t="shared" ref="K5:K24" si="4">J5/$C$1</f>
        <v>267.37967914438502</v>
      </c>
    </row>
    <row r="6" spans="1:11">
      <c r="A6" s="458">
        <v>2</v>
      </c>
      <c r="B6" s="456">
        <v>38257.033862433862</v>
      </c>
      <c r="C6" s="456">
        <f t="shared" si="0"/>
        <v>204.58306878306877</v>
      </c>
      <c r="D6" s="457">
        <v>42802.222222222219</v>
      </c>
      <c r="E6" s="457">
        <f t="shared" si="1"/>
        <v>228.88888888888889</v>
      </c>
      <c r="F6" s="456">
        <v>46369.074074074073</v>
      </c>
      <c r="G6" s="456">
        <f t="shared" si="2"/>
        <v>247.96296296296296</v>
      </c>
      <c r="H6" s="457">
        <v>47388.174603174601</v>
      </c>
      <c r="I6" s="457">
        <f t="shared" si="3"/>
        <v>253.4126984126984</v>
      </c>
      <c r="J6" s="456">
        <v>50955.026455026462</v>
      </c>
      <c r="K6" s="456">
        <f t="shared" si="4"/>
        <v>272.48677248677251</v>
      </c>
    </row>
    <row r="7" spans="1:11">
      <c r="A7" s="458">
        <v>3</v>
      </c>
      <c r="B7" s="456">
        <v>39404.744878306883</v>
      </c>
      <c r="C7" s="456">
        <f t="shared" si="0"/>
        <v>210.72056084656086</v>
      </c>
      <c r="D7" s="457">
        <v>44086.288888888892</v>
      </c>
      <c r="E7" s="457">
        <f t="shared" si="1"/>
        <v>235.75555555555556</v>
      </c>
      <c r="F7" s="456">
        <v>47760.146296296305</v>
      </c>
      <c r="G7" s="456">
        <f t="shared" si="2"/>
        <v>255.40185185185189</v>
      </c>
      <c r="H7" s="457">
        <v>48809.81984126984</v>
      </c>
      <c r="I7" s="457">
        <f t="shared" si="3"/>
        <v>261.01507936507937</v>
      </c>
      <c r="J7" s="456">
        <v>52483.677248677246</v>
      </c>
      <c r="K7" s="456">
        <f t="shared" si="4"/>
        <v>280.66137566137564</v>
      </c>
    </row>
    <row r="8" spans="1:11">
      <c r="A8" s="458">
        <v>4</v>
      </c>
      <c r="B8" s="456">
        <v>40586.8872246561</v>
      </c>
      <c r="C8" s="456">
        <f t="shared" si="0"/>
        <v>217.04217767195775</v>
      </c>
      <c r="D8" s="457">
        <v>45408.877555555562</v>
      </c>
      <c r="E8" s="457">
        <f t="shared" si="1"/>
        <v>242.82822222222225</v>
      </c>
      <c r="F8" s="456">
        <v>49192.950685185191</v>
      </c>
      <c r="G8" s="456">
        <f t="shared" si="2"/>
        <v>263.06390740740744</v>
      </c>
      <c r="H8" s="457">
        <v>50274.114436507945</v>
      </c>
      <c r="I8" s="457">
        <f t="shared" si="3"/>
        <v>268.84553174603178</v>
      </c>
      <c r="J8" s="456">
        <v>54058.187566137567</v>
      </c>
      <c r="K8" s="456">
        <f t="shared" si="4"/>
        <v>289.08121693121694</v>
      </c>
    </row>
    <row r="9" spans="1:11">
      <c r="A9" s="458">
        <v>5</v>
      </c>
      <c r="B9" s="456">
        <v>41804.493841395779</v>
      </c>
      <c r="C9" s="456">
        <f t="shared" si="0"/>
        <v>223.55344300211647</v>
      </c>
      <c r="D9" s="457">
        <v>46771.143882222234</v>
      </c>
      <c r="E9" s="457">
        <f t="shared" si="1"/>
        <v>250.11306888888896</v>
      </c>
      <c r="F9" s="456">
        <v>50668.739205740749</v>
      </c>
      <c r="G9" s="456">
        <f t="shared" si="2"/>
        <v>270.95582462962966</v>
      </c>
      <c r="H9" s="457">
        <v>51782.33786960318</v>
      </c>
      <c r="I9" s="457">
        <f t="shared" si="3"/>
        <v>276.91089769841273</v>
      </c>
      <c r="J9" s="456">
        <v>55679.933193121688</v>
      </c>
      <c r="K9" s="456">
        <f t="shared" si="4"/>
        <v>297.75365343915342</v>
      </c>
    </row>
    <row r="10" spans="1:11">
      <c r="A10" s="458">
        <v>6</v>
      </c>
      <c r="B10" s="456">
        <v>43058.628656637658</v>
      </c>
      <c r="C10" s="456">
        <f t="shared" si="0"/>
        <v>230.26004629217999</v>
      </c>
      <c r="D10" s="457">
        <v>48174.278198688888</v>
      </c>
      <c r="E10" s="457">
        <f t="shared" si="1"/>
        <v>257.61646095555557</v>
      </c>
      <c r="F10" s="456">
        <v>52188.80138191297</v>
      </c>
      <c r="G10" s="456">
        <f t="shared" si="2"/>
        <v>279.08449936851855</v>
      </c>
      <c r="H10" s="457">
        <v>53335.80800569128</v>
      </c>
      <c r="I10" s="457">
        <f t="shared" si="3"/>
        <v>285.21822462936512</v>
      </c>
      <c r="J10" s="456">
        <v>57350.331188915334</v>
      </c>
      <c r="K10" s="456">
        <f t="shared" si="4"/>
        <v>306.68626304232799</v>
      </c>
    </row>
    <row r="11" spans="1:11">
      <c r="A11" s="458">
        <v>7</v>
      </c>
      <c r="B11" s="456">
        <v>44350.387516336785</v>
      </c>
      <c r="C11" s="456">
        <f t="shared" si="0"/>
        <v>237.16784768094539</v>
      </c>
      <c r="D11" s="457">
        <v>49619.506544649557</v>
      </c>
      <c r="E11" s="457">
        <f t="shared" si="1"/>
        <v>265.34495478422224</v>
      </c>
      <c r="F11" s="456">
        <v>53754.465423370362</v>
      </c>
      <c r="G11" s="456">
        <f t="shared" si="2"/>
        <v>287.45703434957414</v>
      </c>
      <c r="H11" s="457">
        <v>54935.88224586202</v>
      </c>
      <c r="I11" s="457">
        <f t="shared" si="3"/>
        <v>293.77477136824609</v>
      </c>
      <c r="J11" s="456">
        <v>59070.841124582803</v>
      </c>
      <c r="K11" s="456">
        <f t="shared" si="4"/>
        <v>315.88685093359788</v>
      </c>
    </row>
    <row r="12" spans="1:11">
      <c r="A12" s="458">
        <v>8</v>
      </c>
      <c r="B12" s="456">
        <v>45680.899141826885</v>
      </c>
      <c r="C12" s="456">
        <f t="shared" si="0"/>
        <v>244.28288311137371</v>
      </c>
      <c r="D12" s="457">
        <v>51108.091740989046</v>
      </c>
      <c r="E12" s="457">
        <f t="shared" si="1"/>
        <v>273.30530342774892</v>
      </c>
      <c r="F12" s="456">
        <v>55367.099386071481</v>
      </c>
      <c r="G12" s="456">
        <f t="shared" si="2"/>
        <v>296.08074538006139</v>
      </c>
      <c r="H12" s="457">
        <v>56583.95871323788</v>
      </c>
      <c r="I12" s="457">
        <f t="shared" si="3"/>
        <v>302.58801450929349</v>
      </c>
      <c r="J12" s="456">
        <v>60842.966358320293</v>
      </c>
      <c r="K12" s="456">
        <f t="shared" si="4"/>
        <v>325.36345646160584</v>
      </c>
    </row>
    <row r="13" spans="1:11">
      <c r="A13" s="458">
        <v>9</v>
      </c>
      <c r="B13" s="456">
        <v>47051.326116081698</v>
      </c>
      <c r="C13" s="456">
        <f t="shared" si="0"/>
        <v>251.61136960471495</v>
      </c>
      <c r="D13" s="457">
        <v>52641.334493218725</v>
      </c>
      <c r="E13" s="457">
        <f t="shared" si="1"/>
        <v>281.50446253058141</v>
      </c>
      <c r="F13" s="456">
        <v>57028.112367653623</v>
      </c>
      <c r="G13" s="456">
        <f t="shared" si="2"/>
        <v>304.96316774146322</v>
      </c>
      <c r="H13" s="457">
        <v>58281.477474635016</v>
      </c>
      <c r="I13" s="457">
        <f t="shared" si="3"/>
        <v>311.66565494457228</v>
      </c>
      <c r="J13" s="456">
        <v>62668.255349069892</v>
      </c>
      <c r="K13" s="456">
        <f t="shared" si="4"/>
        <v>335.12436015545399</v>
      </c>
    </row>
    <row r="14" spans="1:11">
      <c r="A14" s="458">
        <v>10</v>
      </c>
      <c r="B14" s="456">
        <v>48462.865899564145</v>
      </c>
      <c r="C14" s="456">
        <f t="shared" si="0"/>
        <v>259.15971069285638</v>
      </c>
      <c r="D14" s="457">
        <v>54220.574528015291</v>
      </c>
      <c r="E14" s="457">
        <f t="shared" si="1"/>
        <v>289.94959640649887</v>
      </c>
      <c r="F14" s="456">
        <v>58738.955738683231</v>
      </c>
      <c r="G14" s="456">
        <f t="shared" si="2"/>
        <v>314.11206277370712</v>
      </c>
      <c r="H14" s="457">
        <v>60029.921798874064</v>
      </c>
      <c r="I14" s="457">
        <f t="shared" si="3"/>
        <v>321.01562459290943</v>
      </c>
      <c r="J14" s="456">
        <v>64548.303009541996</v>
      </c>
      <c r="K14" s="456">
        <f t="shared" si="4"/>
        <v>345.17809096011763</v>
      </c>
    </row>
    <row r="15" spans="1:11">
      <c r="A15" s="458">
        <v>11</v>
      </c>
      <c r="B15" s="456">
        <v>49916.751876551069</v>
      </c>
      <c r="C15" s="456">
        <f t="shared" si="0"/>
        <v>266.93450201364209</v>
      </c>
      <c r="D15" s="457">
        <v>55847.191763855757</v>
      </c>
      <c r="E15" s="457">
        <f t="shared" si="1"/>
        <v>298.6480842986939</v>
      </c>
      <c r="F15" s="456">
        <v>60501.124410843731</v>
      </c>
      <c r="G15" s="456">
        <f t="shared" si="2"/>
        <v>323.53542465691834</v>
      </c>
      <c r="H15" s="457">
        <v>61830.819452840289</v>
      </c>
      <c r="I15" s="457">
        <f t="shared" si="3"/>
        <v>330.64609333069671</v>
      </c>
      <c r="J15" s="456">
        <v>66484.752099828256</v>
      </c>
      <c r="K15" s="456">
        <f t="shared" si="4"/>
        <v>355.53343368892115</v>
      </c>
    </row>
    <row r="16" spans="1:11">
      <c r="A16" s="458">
        <v>12</v>
      </c>
      <c r="B16" s="456">
        <v>51414.254432847607</v>
      </c>
      <c r="C16" s="456">
        <f t="shared" si="0"/>
        <v>274.94253707405136</v>
      </c>
      <c r="D16" s="457">
        <v>57522.607516771423</v>
      </c>
      <c r="E16" s="457">
        <f t="shared" si="1"/>
        <v>307.60752682765468</v>
      </c>
      <c r="F16" s="456">
        <v>62316.15814316905</v>
      </c>
      <c r="G16" s="456">
        <f t="shared" si="2"/>
        <v>333.24148739662593</v>
      </c>
      <c r="H16" s="457">
        <v>63685.744036425502</v>
      </c>
      <c r="I16" s="457">
        <f t="shared" si="3"/>
        <v>340.56547613061764</v>
      </c>
      <c r="J16" s="456">
        <v>68479.294662823115</v>
      </c>
      <c r="K16" s="456">
        <f t="shared" si="4"/>
        <v>366.19943669958883</v>
      </c>
    </row>
    <row r="17" spans="1:11">
      <c r="A17" s="458">
        <v>13</v>
      </c>
      <c r="B17" s="456">
        <v>52956.682065833033</v>
      </c>
      <c r="C17" s="456">
        <f t="shared" si="0"/>
        <v>283.19081318627292</v>
      </c>
      <c r="D17" s="457">
        <v>59248.285742274573</v>
      </c>
      <c r="E17" s="457">
        <f t="shared" si="1"/>
        <v>316.83575263248434</v>
      </c>
      <c r="F17" s="456">
        <v>64185.642887464113</v>
      </c>
      <c r="G17" s="456">
        <f t="shared" si="2"/>
        <v>343.23873201852467</v>
      </c>
      <c r="H17" s="457">
        <v>65596.316357518255</v>
      </c>
      <c r="I17" s="457">
        <f t="shared" si="3"/>
        <v>350.7824404145361</v>
      </c>
      <c r="J17" s="456">
        <v>70533.673502707796</v>
      </c>
      <c r="K17" s="456">
        <f t="shared" si="4"/>
        <v>377.18541980057643</v>
      </c>
    </row>
    <row r="18" spans="1:11">
      <c r="A18" s="458">
        <v>14</v>
      </c>
      <c r="B18" s="456">
        <v>54545.382527808026</v>
      </c>
      <c r="C18" s="456">
        <f t="shared" si="0"/>
        <v>291.6865375818611</v>
      </c>
      <c r="D18" s="457">
        <v>61025.734314542809</v>
      </c>
      <c r="E18" s="457">
        <f t="shared" si="1"/>
        <v>326.34082521145888</v>
      </c>
      <c r="F18" s="456">
        <v>66111.212174088054</v>
      </c>
      <c r="G18" s="456">
        <f t="shared" si="2"/>
        <v>353.53589397908053</v>
      </c>
      <c r="H18" s="457">
        <v>67564.205848243801</v>
      </c>
      <c r="I18" s="457">
        <f t="shared" si="3"/>
        <v>361.3059136269722</v>
      </c>
      <c r="J18" s="456">
        <v>72649.683707789038</v>
      </c>
      <c r="K18" s="456">
        <f t="shared" si="4"/>
        <v>388.50098239459379</v>
      </c>
    </row>
    <row r="19" spans="1:11">
      <c r="A19" s="458">
        <v>15</v>
      </c>
      <c r="B19" s="456">
        <v>56181.744003642263</v>
      </c>
      <c r="C19" s="456">
        <f t="shared" si="0"/>
        <v>300.43713370931692</v>
      </c>
      <c r="D19" s="457">
        <v>62856.506343979097</v>
      </c>
      <c r="E19" s="457">
        <f t="shared" si="1"/>
        <v>336.13104996780265</v>
      </c>
      <c r="F19" s="456">
        <v>68094.548539310679</v>
      </c>
      <c r="G19" s="456">
        <f t="shared" si="2"/>
        <v>364.1419707984528</v>
      </c>
      <c r="H19" s="457">
        <v>69591.132023691112</v>
      </c>
      <c r="I19" s="457">
        <f t="shared" si="3"/>
        <v>372.14509103578138</v>
      </c>
      <c r="J19" s="456">
        <v>74829.174219022723</v>
      </c>
      <c r="K19" s="456">
        <f t="shared" si="4"/>
        <v>400.1560118664317</v>
      </c>
    </row>
    <row r="20" spans="1:11">
      <c r="A20" s="458">
        <v>16</v>
      </c>
      <c r="B20" s="456">
        <v>57867.196323751537</v>
      </c>
      <c r="C20" s="456">
        <f t="shared" si="0"/>
        <v>309.45024772059645</v>
      </c>
      <c r="D20" s="457">
        <v>64742.201534298474</v>
      </c>
      <c r="E20" s="457">
        <f t="shared" si="1"/>
        <v>346.21498146683678</v>
      </c>
      <c r="F20" s="456">
        <v>70137.384995490007</v>
      </c>
      <c r="G20" s="456">
        <f t="shared" si="2"/>
        <v>375.06622992240648</v>
      </c>
      <c r="H20" s="457">
        <v>71678.865984401855</v>
      </c>
      <c r="I20" s="457">
        <f t="shared" si="3"/>
        <v>383.30944376685483</v>
      </c>
      <c r="J20" s="456">
        <v>77074.049445593395</v>
      </c>
      <c r="K20" s="456">
        <f t="shared" si="4"/>
        <v>412.16069222242459</v>
      </c>
    </row>
    <row r="21" spans="1:11">
      <c r="A21" s="458">
        <v>17</v>
      </c>
      <c r="B21" s="456">
        <v>59603.212213464074</v>
      </c>
      <c r="C21" s="456">
        <f t="shared" si="0"/>
        <v>318.73375515221431</v>
      </c>
      <c r="D21" s="457">
        <v>66684.467580327429</v>
      </c>
      <c r="E21" s="457">
        <f t="shared" si="1"/>
        <v>356.60143091084188</v>
      </c>
      <c r="F21" s="456">
        <v>72241.506545354714</v>
      </c>
      <c r="G21" s="456">
        <f t="shared" si="2"/>
        <v>386.3182168200787</v>
      </c>
      <c r="H21" s="457">
        <v>73829.231963933926</v>
      </c>
      <c r="I21" s="457">
        <f t="shared" si="3"/>
        <v>394.80872707986055</v>
      </c>
      <c r="J21" s="456">
        <v>79386.27092896121</v>
      </c>
      <c r="K21" s="456">
        <f t="shared" si="4"/>
        <v>424.52551298909736</v>
      </c>
    </row>
    <row r="22" spans="1:11">
      <c r="A22" s="458">
        <v>18</v>
      </c>
      <c r="B22" s="456">
        <v>61391.308579868004</v>
      </c>
      <c r="C22" s="456">
        <f t="shared" si="0"/>
        <v>328.29576780678076</v>
      </c>
      <c r="D22" s="457">
        <v>68685.001607737257</v>
      </c>
      <c r="E22" s="457">
        <f t="shared" si="1"/>
        <v>367.29947383816716</v>
      </c>
      <c r="F22" s="456">
        <v>74408.751741715343</v>
      </c>
      <c r="G22" s="456">
        <f t="shared" si="2"/>
        <v>397.90776332468096</v>
      </c>
      <c r="H22" s="457">
        <v>76044.108922851927</v>
      </c>
      <c r="I22" s="457">
        <f t="shared" si="3"/>
        <v>406.6529888922563</v>
      </c>
      <c r="J22" s="456">
        <v>81767.859056830042</v>
      </c>
      <c r="K22" s="456">
        <f t="shared" si="4"/>
        <v>437.26127837877027</v>
      </c>
    </row>
    <row r="23" spans="1:11">
      <c r="A23" s="458">
        <v>19</v>
      </c>
      <c r="B23" s="456">
        <v>63233.047837264035</v>
      </c>
      <c r="C23" s="456">
        <f t="shared" si="0"/>
        <v>338.14464084098415</v>
      </c>
      <c r="D23" s="457">
        <v>70745.551655969379</v>
      </c>
      <c r="E23" s="457">
        <f t="shared" si="1"/>
        <v>378.31845805331221</v>
      </c>
      <c r="F23" s="456">
        <v>76641.014293966815</v>
      </c>
      <c r="G23" s="456">
        <f t="shared" si="2"/>
        <v>409.84499622442149</v>
      </c>
      <c r="H23" s="457">
        <v>78325.432190537496</v>
      </c>
      <c r="I23" s="457">
        <f t="shared" si="3"/>
        <v>418.85257855902404</v>
      </c>
      <c r="J23" s="456">
        <v>84220.894828534947</v>
      </c>
      <c r="K23" s="456">
        <f t="shared" si="4"/>
        <v>450.37911673013343</v>
      </c>
    </row>
    <row r="24" spans="1:11">
      <c r="A24" s="458">
        <v>20</v>
      </c>
      <c r="B24" s="456">
        <v>65130.03927238196</v>
      </c>
      <c r="C24" s="456">
        <f t="shared" si="0"/>
        <v>348.2889800662137</v>
      </c>
      <c r="D24" s="457">
        <v>72867.918205648471</v>
      </c>
      <c r="E24" s="457">
        <f t="shared" si="1"/>
        <v>389.66801179491159</v>
      </c>
      <c r="F24" s="456">
        <v>78940.244722785821</v>
      </c>
      <c r="G24" s="456">
        <f t="shared" si="2"/>
        <v>422.14034611115414</v>
      </c>
      <c r="H24" s="457">
        <v>80675.195156253627</v>
      </c>
      <c r="I24" s="457">
        <f t="shared" si="3"/>
        <v>431.41815591579478</v>
      </c>
      <c r="J24" s="456">
        <v>86747.521673390991</v>
      </c>
      <c r="K24" s="456">
        <f t="shared" si="4"/>
        <v>463.89049023203739</v>
      </c>
    </row>
  </sheetData>
  <mergeCells count="6">
    <mergeCell ref="J2:K2"/>
    <mergeCell ref="A2:A3"/>
    <mergeCell ref="B2:C2"/>
    <mergeCell ref="D2:E2"/>
    <mergeCell ref="F2:G2"/>
    <mergeCell ref="H2:I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P25"/>
  <sheetViews>
    <sheetView workbookViewId="0">
      <selection activeCell="C6" sqref="C6"/>
    </sheetView>
  </sheetViews>
  <sheetFormatPr defaultRowHeight="14.4"/>
  <cols>
    <col min="1" max="1" width="7.33203125" style="35" customWidth="1"/>
    <col min="2" max="2" width="13.5546875" customWidth="1"/>
    <col min="3" max="3" width="13.33203125" customWidth="1"/>
    <col min="4" max="4" width="10.33203125" hidden="1" customWidth="1"/>
    <col min="5" max="6" width="13.5546875" customWidth="1"/>
    <col min="7" max="7" width="13.5546875" hidden="1" customWidth="1"/>
    <col min="8" max="8" width="13.5546875" customWidth="1"/>
    <col min="9" max="9" width="14.5546875" customWidth="1"/>
    <col min="10" max="10" width="14.5546875" hidden="1" customWidth="1"/>
    <col min="11" max="11" width="13.5546875" customWidth="1"/>
    <col min="12" max="12" width="15" customWidth="1"/>
    <col min="13" max="13" width="15.6640625" hidden="1" customWidth="1"/>
    <col min="14" max="15" width="13.5546875" customWidth="1"/>
    <col min="16" max="16" width="13.5546875" hidden="1" customWidth="1"/>
  </cols>
  <sheetData>
    <row r="1" spans="1:16" ht="15" thickBot="1">
      <c r="A1" s="471" t="s">
        <v>472</v>
      </c>
      <c r="B1" s="486"/>
      <c r="C1" s="485">
        <v>189</v>
      </c>
      <c r="D1" s="484"/>
    </row>
    <row r="2" spans="1:16">
      <c r="A2" s="483"/>
    </row>
    <row r="3" spans="1:16" ht="15.6">
      <c r="A3" s="1363" t="s">
        <v>471</v>
      </c>
      <c r="B3" s="1364" t="s">
        <v>476</v>
      </c>
      <c r="C3" s="1364"/>
      <c r="D3" s="482"/>
      <c r="E3" s="1365" t="s">
        <v>469</v>
      </c>
      <c r="F3" s="1365"/>
      <c r="G3" s="481"/>
      <c r="H3" s="1366" t="s">
        <v>468</v>
      </c>
      <c r="I3" s="1366"/>
      <c r="J3" s="480"/>
      <c r="K3" s="1367" t="s">
        <v>467</v>
      </c>
      <c r="L3" s="1367"/>
      <c r="M3" s="479"/>
      <c r="N3" s="1362" t="s">
        <v>466</v>
      </c>
      <c r="O3" s="1362"/>
      <c r="P3" s="478"/>
    </row>
    <row r="4" spans="1:16" ht="48">
      <c r="A4" s="1363"/>
      <c r="B4" s="469" t="s">
        <v>465</v>
      </c>
      <c r="C4" s="469" t="s">
        <v>460</v>
      </c>
      <c r="D4" s="469" t="s">
        <v>475</v>
      </c>
      <c r="E4" s="468" t="s">
        <v>464</v>
      </c>
      <c r="F4" s="468" t="s">
        <v>460</v>
      </c>
      <c r="G4" s="468" t="s">
        <v>475</v>
      </c>
      <c r="H4" s="467" t="s">
        <v>463</v>
      </c>
      <c r="I4" s="467" t="s">
        <v>460</v>
      </c>
      <c r="J4" s="477" t="s">
        <v>475</v>
      </c>
      <c r="K4" s="466" t="s">
        <v>462</v>
      </c>
      <c r="L4" s="466" t="s">
        <v>460</v>
      </c>
      <c r="M4" s="466" t="s">
        <v>475</v>
      </c>
      <c r="N4" s="465" t="s">
        <v>461</v>
      </c>
      <c r="O4" s="465" t="s">
        <v>460</v>
      </c>
      <c r="P4" s="476" t="s">
        <v>475</v>
      </c>
    </row>
    <row r="5" spans="1:16" ht="18" hidden="1">
      <c r="A5" s="464" t="s">
        <v>474</v>
      </c>
      <c r="B5" s="463">
        <v>1</v>
      </c>
      <c r="C5" s="463">
        <v>1.5</v>
      </c>
      <c r="D5" s="463"/>
      <c r="E5" s="462">
        <v>2</v>
      </c>
      <c r="F5" s="462">
        <v>2.5</v>
      </c>
      <c r="G5" s="462"/>
      <c r="H5" s="461">
        <v>3</v>
      </c>
      <c r="I5" s="461">
        <v>3.5</v>
      </c>
      <c r="J5" s="461"/>
      <c r="K5" s="460">
        <v>4</v>
      </c>
      <c r="L5" s="460">
        <v>4.5</v>
      </c>
      <c r="M5" s="460"/>
      <c r="N5" s="459">
        <v>5</v>
      </c>
      <c r="O5" s="459">
        <v>5.5</v>
      </c>
      <c r="P5" s="475"/>
    </row>
    <row r="6" spans="1:16">
      <c r="A6" s="458">
        <v>1</v>
      </c>
      <c r="B6" s="456">
        <v>37540</v>
      </c>
      <c r="C6" s="456">
        <v>198.624338624339</v>
      </c>
      <c r="D6" s="456">
        <f t="shared" ref="D6:D25" si="0">+C6/8</f>
        <v>24.828042328042375</v>
      </c>
      <c r="E6" s="457">
        <v>42000</v>
      </c>
      <c r="F6" s="457">
        <v>222.22222222222223</v>
      </c>
      <c r="G6" s="457">
        <f t="shared" ref="G6:G25" si="1">+F6/8</f>
        <v>27.777777777777779</v>
      </c>
      <c r="H6" s="474">
        <v>45500</v>
      </c>
      <c r="I6" s="456">
        <v>240.74074074074073</v>
      </c>
      <c r="J6" s="456">
        <f t="shared" ref="J6:J25" si="2">+I6/8</f>
        <v>30.092592592592592</v>
      </c>
      <c r="K6" s="457">
        <v>46500</v>
      </c>
      <c r="L6" s="457">
        <v>246.03174603174602</v>
      </c>
      <c r="M6" s="457">
        <f t="shared" ref="M6:M25" si="3">+L6/8</f>
        <v>30.753968253968253</v>
      </c>
      <c r="N6" s="474">
        <v>50000</v>
      </c>
      <c r="O6" s="474">
        <v>264.55026455026456</v>
      </c>
      <c r="P6" s="473">
        <f t="shared" ref="P6:P25" si="4">+O6/8</f>
        <v>33.06878306878307</v>
      </c>
    </row>
    <row r="7" spans="1:16">
      <c r="A7" s="458">
        <v>2</v>
      </c>
      <c r="B7" s="456">
        <f t="shared" ref="B7:B25" si="5">+B6*1.03</f>
        <v>38666.200000000004</v>
      </c>
      <c r="C7" s="456">
        <v>204.583068783069</v>
      </c>
      <c r="D7" s="456">
        <f t="shared" si="0"/>
        <v>25.572883597883624</v>
      </c>
      <c r="E7" s="457">
        <f t="shared" ref="E7:E25" si="6">+E6*1.03</f>
        <v>43260</v>
      </c>
      <c r="F7" s="457">
        <v>228.88888888888889</v>
      </c>
      <c r="G7" s="457">
        <f t="shared" si="1"/>
        <v>28.611111111111111</v>
      </c>
      <c r="H7" s="474">
        <f t="shared" ref="H7:H25" si="7">+H6*1.03</f>
        <v>46865</v>
      </c>
      <c r="I7" s="456">
        <v>247.96296296296296</v>
      </c>
      <c r="J7" s="456">
        <f t="shared" si="2"/>
        <v>30.99537037037037</v>
      </c>
      <c r="K7" s="457">
        <v>47895</v>
      </c>
      <c r="L7" s="457">
        <v>253.4126984126984</v>
      </c>
      <c r="M7" s="457">
        <f t="shared" si="3"/>
        <v>31.676587301587301</v>
      </c>
      <c r="N7" s="474">
        <v>51500</v>
      </c>
      <c r="O7" s="474">
        <v>272.48677248677251</v>
      </c>
      <c r="P7" s="473">
        <f t="shared" si="4"/>
        <v>34.060846560846564</v>
      </c>
    </row>
    <row r="8" spans="1:16">
      <c r="A8" s="458">
        <v>3</v>
      </c>
      <c r="B8" s="456">
        <f t="shared" si="5"/>
        <v>39826.186000000009</v>
      </c>
      <c r="C8" s="456">
        <v>210.720560846561</v>
      </c>
      <c r="D8" s="456">
        <f t="shared" si="0"/>
        <v>26.340070105820125</v>
      </c>
      <c r="E8" s="457">
        <f t="shared" si="6"/>
        <v>44557.8</v>
      </c>
      <c r="F8" s="457">
        <v>235.75555555555556</v>
      </c>
      <c r="G8" s="457">
        <f t="shared" si="1"/>
        <v>29.469444444444445</v>
      </c>
      <c r="H8" s="474">
        <f t="shared" si="7"/>
        <v>48270.950000000004</v>
      </c>
      <c r="I8" s="456">
        <v>255.40185185185189</v>
      </c>
      <c r="J8" s="456">
        <f t="shared" si="2"/>
        <v>31.925231481481486</v>
      </c>
      <c r="K8" s="457">
        <v>49331.85</v>
      </c>
      <c r="L8" s="457">
        <v>261.01507936507937</v>
      </c>
      <c r="M8" s="457">
        <f t="shared" si="3"/>
        <v>32.626884920634922</v>
      </c>
      <c r="N8" s="474">
        <v>53045</v>
      </c>
      <c r="O8" s="474">
        <v>280.66137566137564</v>
      </c>
      <c r="P8" s="473">
        <f t="shared" si="4"/>
        <v>35.082671957671955</v>
      </c>
    </row>
    <row r="9" spans="1:16">
      <c r="A9" s="458">
        <v>4</v>
      </c>
      <c r="B9" s="456">
        <f t="shared" si="5"/>
        <v>41020.971580000012</v>
      </c>
      <c r="C9" s="456">
        <v>217.04217767195775</v>
      </c>
      <c r="D9" s="456">
        <f t="shared" si="0"/>
        <v>27.130272208994718</v>
      </c>
      <c r="E9" s="457">
        <f t="shared" si="6"/>
        <v>45894.534000000007</v>
      </c>
      <c r="F9" s="457">
        <v>242.82822222222225</v>
      </c>
      <c r="G9" s="457">
        <f t="shared" si="1"/>
        <v>30.353527777777781</v>
      </c>
      <c r="H9" s="474">
        <f t="shared" si="7"/>
        <v>49719.078500000003</v>
      </c>
      <c r="I9" s="456">
        <v>263.06390740740744</v>
      </c>
      <c r="J9" s="456">
        <f t="shared" si="2"/>
        <v>32.88298842592593</v>
      </c>
      <c r="K9" s="457">
        <v>50811.805500000002</v>
      </c>
      <c r="L9" s="457">
        <v>268.84553174603178</v>
      </c>
      <c r="M9" s="457">
        <f t="shared" si="3"/>
        <v>33.605691468253973</v>
      </c>
      <c r="N9" s="474">
        <v>54636.35</v>
      </c>
      <c r="O9" s="474">
        <v>289.08121693121694</v>
      </c>
      <c r="P9" s="473">
        <f t="shared" si="4"/>
        <v>36.135152116402118</v>
      </c>
    </row>
    <row r="10" spans="1:16">
      <c r="A10" s="458">
        <v>5</v>
      </c>
      <c r="B10" s="456">
        <f t="shared" si="5"/>
        <v>42251.600727400015</v>
      </c>
      <c r="C10" s="456">
        <v>223.55344300211647</v>
      </c>
      <c r="D10" s="456">
        <f t="shared" si="0"/>
        <v>27.944180375264558</v>
      </c>
      <c r="E10" s="457">
        <f t="shared" si="6"/>
        <v>47271.370020000009</v>
      </c>
      <c r="F10" s="457">
        <v>250.11306888888893</v>
      </c>
      <c r="G10" s="457">
        <f t="shared" si="1"/>
        <v>31.264133611111117</v>
      </c>
      <c r="H10" s="474">
        <f t="shared" si="7"/>
        <v>51210.650855000007</v>
      </c>
      <c r="I10" s="456">
        <v>270.95582462962966</v>
      </c>
      <c r="J10" s="456">
        <f t="shared" si="2"/>
        <v>33.869478078703708</v>
      </c>
      <c r="K10" s="457">
        <v>52336.159665000006</v>
      </c>
      <c r="L10" s="457">
        <v>276.91089769841273</v>
      </c>
      <c r="M10" s="457">
        <f t="shared" si="3"/>
        <v>34.613862212301591</v>
      </c>
      <c r="N10" s="474">
        <v>56275.440499999997</v>
      </c>
      <c r="O10" s="474">
        <v>297.75365343915342</v>
      </c>
      <c r="P10" s="473">
        <f t="shared" si="4"/>
        <v>37.219206679894178</v>
      </c>
    </row>
    <row r="11" spans="1:16">
      <c r="A11" s="458">
        <v>6</v>
      </c>
      <c r="B11" s="456">
        <f t="shared" si="5"/>
        <v>43519.148749222019</v>
      </c>
      <c r="C11" s="456">
        <v>230.26004629217999</v>
      </c>
      <c r="D11" s="456">
        <f t="shared" si="0"/>
        <v>28.782505786522499</v>
      </c>
      <c r="E11" s="457">
        <f t="shared" si="6"/>
        <v>48689.511120600007</v>
      </c>
      <c r="F11" s="457">
        <v>257.61646095555557</v>
      </c>
      <c r="G11" s="457">
        <f t="shared" si="1"/>
        <v>32.202057619444446</v>
      </c>
      <c r="H11" s="474">
        <f t="shared" si="7"/>
        <v>52746.970380650011</v>
      </c>
      <c r="I11" s="456">
        <v>279.08449936851855</v>
      </c>
      <c r="J11" s="456">
        <f t="shared" si="2"/>
        <v>34.885562421064819</v>
      </c>
      <c r="K11" s="457">
        <v>53906.244454950007</v>
      </c>
      <c r="L11" s="457">
        <v>285.21822462936512</v>
      </c>
      <c r="M11" s="457">
        <f t="shared" si="3"/>
        <v>35.652278078670641</v>
      </c>
      <c r="N11" s="474">
        <v>57963.703714999996</v>
      </c>
      <c r="O11" s="474">
        <v>306.68626304232799</v>
      </c>
      <c r="P11" s="473">
        <f t="shared" si="4"/>
        <v>38.335782880290999</v>
      </c>
    </row>
    <row r="12" spans="1:16">
      <c r="A12" s="458">
        <v>7</v>
      </c>
      <c r="B12" s="456">
        <f t="shared" si="5"/>
        <v>44824.723211698678</v>
      </c>
      <c r="C12" s="456">
        <v>237.16784768094539</v>
      </c>
      <c r="D12" s="456">
        <f t="shared" si="0"/>
        <v>29.645980960118173</v>
      </c>
      <c r="E12" s="457">
        <f t="shared" si="6"/>
        <v>50150.196454218007</v>
      </c>
      <c r="F12" s="457">
        <v>265.34495478422224</v>
      </c>
      <c r="G12" s="457">
        <f t="shared" si="1"/>
        <v>33.16811934802778</v>
      </c>
      <c r="H12" s="474">
        <f t="shared" si="7"/>
        <v>54329.379492069515</v>
      </c>
      <c r="I12" s="456">
        <v>287.45703434957414</v>
      </c>
      <c r="J12" s="456">
        <f t="shared" si="2"/>
        <v>35.932129293696768</v>
      </c>
      <c r="K12" s="457">
        <v>55523.431788598507</v>
      </c>
      <c r="L12" s="457">
        <v>293.77477136824609</v>
      </c>
      <c r="M12" s="457">
        <f t="shared" si="3"/>
        <v>36.721846421030762</v>
      </c>
      <c r="N12" s="474">
        <v>59702.614826450001</v>
      </c>
      <c r="O12" s="474">
        <v>315.88685093359788</v>
      </c>
      <c r="P12" s="473">
        <f t="shared" si="4"/>
        <v>39.485856366699736</v>
      </c>
    </row>
    <row r="13" spans="1:16">
      <c r="A13" s="458">
        <v>8</v>
      </c>
      <c r="B13" s="456">
        <f t="shared" si="5"/>
        <v>46169.464908049638</v>
      </c>
      <c r="C13" s="456">
        <v>244.28288311137374</v>
      </c>
      <c r="D13" s="456">
        <f t="shared" si="0"/>
        <v>30.535360388921717</v>
      </c>
      <c r="E13" s="457">
        <f t="shared" si="6"/>
        <v>51654.702347844548</v>
      </c>
      <c r="F13" s="457">
        <v>273.30530342774892</v>
      </c>
      <c r="G13" s="457">
        <f t="shared" si="1"/>
        <v>34.163162928468616</v>
      </c>
      <c r="H13" s="474">
        <f t="shared" si="7"/>
        <v>55959.260876831599</v>
      </c>
      <c r="I13" s="456">
        <v>296.08074538006139</v>
      </c>
      <c r="J13" s="456">
        <f t="shared" si="2"/>
        <v>37.010093172507673</v>
      </c>
      <c r="K13" s="457">
        <v>57189.134742256465</v>
      </c>
      <c r="L13" s="457">
        <v>302.58801450929349</v>
      </c>
      <c r="M13" s="457">
        <f t="shared" si="3"/>
        <v>37.823501813661686</v>
      </c>
      <c r="N13" s="474">
        <v>61493.693271243501</v>
      </c>
      <c r="O13" s="474">
        <v>325.36345646160584</v>
      </c>
      <c r="P13" s="473">
        <f t="shared" si="4"/>
        <v>40.670432057700729</v>
      </c>
    </row>
    <row r="14" spans="1:16" ht="15" customHeight="1">
      <c r="A14" s="458">
        <v>9</v>
      </c>
      <c r="B14" s="456">
        <f t="shared" si="5"/>
        <v>47554.548855291127</v>
      </c>
      <c r="C14" s="456">
        <v>251.61136960471495</v>
      </c>
      <c r="D14" s="456">
        <f t="shared" si="0"/>
        <v>31.451421200589369</v>
      </c>
      <c r="E14" s="457">
        <f t="shared" si="6"/>
        <v>53204.343418279888</v>
      </c>
      <c r="F14" s="457">
        <v>281.50446253058141</v>
      </c>
      <c r="G14" s="457">
        <f t="shared" si="1"/>
        <v>35.188057816322676</v>
      </c>
      <c r="H14" s="474">
        <f t="shared" si="7"/>
        <v>57638.038703136546</v>
      </c>
      <c r="I14" s="456">
        <v>304.96316774146322</v>
      </c>
      <c r="J14" s="456">
        <f t="shared" si="2"/>
        <v>38.120395967682903</v>
      </c>
      <c r="K14" s="457">
        <v>58904.808784524161</v>
      </c>
      <c r="L14" s="457">
        <v>311.66565494457228</v>
      </c>
      <c r="M14" s="457">
        <f t="shared" si="3"/>
        <v>38.958206868071535</v>
      </c>
      <c r="N14" s="474">
        <v>63338.504069380804</v>
      </c>
      <c r="O14" s="474">
        <v>335.12436015545399</v>
      </c>
      <c r="P14" s="473">
        <f t="shared" si="4"/>
        <v>41.890545019431748</v>
      </c>
    </row>
    <row r="15" spans="1:16">
      <c r="A15" s="458">
        <v>10</v>
      </c>
      <c r="B15" s="456">
        <f t="shared" si="5"/>
        <v>48981.185320949859</v>
      </c>
      <c r="C15" s="456">
        <v>259.15971069285638</v>
      </c>
      <c r="D15" s="456">
        <f t="shared" si="0"/>
        <v>32.394963836607047</v>
      </c>
      <c r="E15" s="457">
        <f t="shared" si="6"/>
        <v>54800.47372082829</v>
      </c>
      <c r="F15" s="457">
        <v>289.94959640649887</v>
      </c>
      <c r="G15" s="457">
        <f t="shared" si="1"/>
        <v>36.243699550812359</v>
      </c>
      <c r="H15" s="474">
        <f t="shared" si="7"/>
        <v>59367.179864230646</v>
      </c>
      <c r="I15" s="456">
        <v>314.11206277370712</v>
      </c>
      <c r="J15" s="456">
        <f t="shared" si="2"/>
        <v>39.26400784671339</v>
      </c>
      <c r="K15" s="457">
        <v>60671.953048059884</v>
      </c>
      <c r="L15" s="457">
        <v>321.01562459290943</v>
      </c>
      <c r="M15" s="457">
        <f t="shared" si="3"/>
        <v>40.126953074113679</v>
      </c>
      <c r="N15" s="474">
        <v>65238.659191462233</v>
      </c>
      <c r="O15" s="474">
        <v>345.17809096011763</v>
      </c>
      <c r="P15" s="473">
        <f t="shared" si="4"/>
        <v>43.147261370014704</v>
      </c>
    </row>
    <row r="16" spans="1:16">
      <c r="A16" s="458">
        <v>11</v>
      </c>
      <c r="B16" s="456">
        <f t="shared" si="5"/>
        <v>50450.620880578354</v>
      </c>
      <c r="C16" s="456">
        <v>266.93450201364209</v>
      </c>
      <c r="D16" s="456">
        <f t="shared" si="0"/>
        <v>33.366812751705261</v>
      </c>
      <c r="E16" s="457">
        <f t="shared" si="6"/>
        <v>56444.487932453143</v>
      </c>
      <c r="F16" s="457">
        <v>298.6480842986939</v>
      </c>
      <c r="G16" s="457">
        <f t="shared" si="1"/>
        <v>37.331010537336738</v>
      </c>
      <c r="H16" s="474">
        <f t="shared" si="7"/>
        <v>61148.195260157569</v>
      </c>
      <c r="I16" s="456">
        <v>323.53542465691834</v>
      </c>
      <c r="J16" s="456">
        <f t="shared" si="2"/>
        <v>40.441928082114792</v>
      </c>
      <c r="K16" s="457">
        <v>62492.11163950168</v>
      </c>
      <c r="L16" s="457">
        <v>330.64609333069671</v>
      </c>
      <c r="M16" s="457">
        <f t="shared" si="3"/>
        <v>41.330761666337089</v>
      </c>
      <c r="N16" s="474">
        <v>67195.818967206098</v>
      </c>
      <c r="O16" s="474">
        <v>355.53343368892115</v>
      </c>
      <c r="P16" s="473">
        <f t="shared" si="4"/>
        <v>44.441679211115144</v>
      </c>
    </row>
    <row r="17" spans="1:16">
      <c r="A17" s="458">
        <v>12</v>
      </c>
      <c r="B17" s="456">
        <f t="shared" si="5"/>
        <v>51964.139506995707</v>
      </c>
      <c r="C17" s="456">
        <v>274.94253707405136</v>
      </c>
      <c r="D17" s="456">
        <f t="shared" si="0"/>
        <v>34.36781713425642</v>
      </c>
      <c r="E17" s="457">
        <f t="shared" si="6"/>
        <v>58137.822570426739</v>
      </c>
      <c r="F17" s="457">
        <v>307.60752682765468</v>
      </c>
      <c r="G17" s="457">
        <f t="shared" si="1"/>
        <v>38.450940853456835</v>
      </c>
      <c r="H17" s="474">
        <f t="shared" si="7"/>
        <v>62982.641117962296</v>
      </c>
      <c r="I17" s="456">
        <v>333.24148739662593</v>
      </c>
      <c r="J17" s="456">
        <f t="shared" si="2"/>
        <v>41.655185924578241</v>
      </c>
      <c r="K17" s="457">
        <v>64366.87498868673</v>
      </c>
      <c r="L17" s="457">
        <v>340.56547613061764</v>
      </c>
      <c r="M17" s="457">
        <f t="shared" si="3"/>
        <v>42.570684516327205</v>
      </c>
      <c r="N17" s="474">
        <v>69211.693536222287</v>
      </c>
      <c r="O17" s="474">
        <v>366.19943669958883</v>
      </c>
      <c r="P17" s="473">
        <f t="shared" si="4"/>
        <v>45.774929587448604</v>
      </c>
    </row>
    <row r="18" spans="1:16">
      <c r="A18" s="458">
        <v>13</v>
      </c>
      <c r="B18" s="456">
        <f t="shared" si="5"/>
        <v>53523.063692205578</v>
      </c>
      <c r="C18" s="456">
        <v>283.19081318627292</v>
      </c>
      <c r="D18" s="456">
        <f t="shared" si="0"/>
        <v>35.398851648284115</v>
      </c>
      <c r="E18" s="457">
        <f t="shared" si="6"/>
        <v>59881.95724753954</v>
      </c>
      <c r="F18" s="457">
        <v>316.83575263248434</v>
      </c>
      <c r="G18" s="457">
        <f t="shared" si="1"/>
        <v>39.604469079060543</v>
      </c>
      <c r="H18" s="474">
        <f t="shared" si="7"/>
        <v>64872.120351501166</v>
      </c>
      <c r="I18" s="456">
        <v>343.23873201852467</v>
      </c>
      <c r="J18" s="456">
        <f t="shared" si="2"/>
        <v>42.904841502315584</v>
      </c>
      <c r="K18" s="457">
        <v>66297.881238347327</v>
      </c>
      <c r="L18" s="457">
        <v>350.7824404145361</v>
      </c>
      <c r="M18" s="457">
        <f t="shared" si="3"/>
        <v>43.847805051817012</v>
      </c>
      <c r="N18" s="474">
        <v>71288.04434230896</v>
      </c>
      <c r="O18" s="474">
        <v>377.18541980057648</v>
      </c>
      <c r="P18" s="473">
        <f t="shared" si="4"/>
        <v>47.14817747507206</v>
      </c>
    </row>
    <row r="19" spans="1:16">
      <c r="A19" s="458">
        <v>14</v>
      </c>
      <c r="B19" s="456">
        <f t="shared" si="5"/>
        <v>55128.755602971745</v>
      </c>
      <c r="C19" s="456">
        <v>291.6865375818611</v>
      </c>
      <c r="D19" s="456">
        <f t="shared" si="0"/>
        <v>36.460817197732638</v>
      </c>
      <c r="E19" s="457">
        <f t="shared" si="6"/>
        <v>61678.41596496573</v>
      </c>
      <c r="F19" s="457">
        <v>326.34082521145888</v>
      </c>
      <c r="G19" s="457">
        <f t="shared" si="1"/>
        <v>40.79260315143236</v>
      </c>
      <c r="H19" s="474">
        <f t="shared" si="7"/>
        <v>66818.283962046204</v>
      </c>
      <c r="I19" s="456">
        <v>353.53589397908047</v>
      </c>
      <c r="J19" s="456">
        <f t="shared" si="2"/>
        <v>44.191986747385059</v>
      </c>
      <c r="K19" s="457">
        <v>68286.817675497747</v>
      </c>
      <c r="L19" s="457">
        <v>361.3059136269722</v>
      </c>
      <c r="M19" s="457">
        <f t="shared" si="3"/>
        <v>45.163239203371525</v>
      </c>
      <c r="N19" s="474">
        <v>73426.685672578227</v>
      </c>
      <c r="O19" s="474">
        <v>388.50098239459379</v>
      </c>
      <c r="P19" s="473">
        <f t="shared" si="4"/>
        <v>48.562622799324224</v>
      </c>
    </row>
    <row r="20" spans="1:16">
      <c r="A20" s="458">
        <v>15</v>
      </c>
      <c r="B20" s="456">
        <f t="shared" si="5"/>
        <v>56782.618271060899</v>
      </c>
      <c r="C20" s="456">
        <v>300.43713370931692</v>
      </c>
      <c r="D20" s="456">
        <f t="shared" si="0"/>
        <v>37.554641713664616</v>
      </c>
      <c r="E20" s="457">
        <f t="shared" si="6"/>
        <v>63528.768443914705</v>
      </c>
      <c r="F20" s="457">
        <v>336.13104996780265</v>
      </c>
      <c r="G20" s="457">
        <f t="shared" si="1"/>
        <v>42.016381245975332</v>
      </c>
      <c r="H20" s="474">
        <f t="shared" si="7"/>
        <v>68822.832480907586</v>
      </c>
      <c r="I20" s="456">
        <v>364.14197079845286</v>
      </c>
      <c r="J20" s="456">
        <f t="shared" si="2"/>
        <v>45.517746349806607</v>
      </c>
      <c r="K20" s="457">
        <v>70335.422205762676</v>
      </c>
      <c r="L20" s="457">
        <v>372.14509103578138</v>
      </c>
      <c r="M20" s="457">
        <f t="shared" si="3"/>
        <v>46.518136379472672</v>
      </c>
      <c r="N20" s="474">
        <v>75629.486242755578</v>
      </c>
      <c r="O20" s="474">
        <v>400.15601186643164</v>
      </c>
      <c r="P20" s="473">
        <f t="shared" si="4"/>
        <v>50.019501483303955</v>
      </c>
    </row>
    <row r="21" spans="1:16">
      <c r="A21" s="458">
        <v>16</v>
      </c>
      <c r="B21" s="456">
        <f t="shared" si="5"/>
        <v>58486.096819192724</v>
      </c>
      <c r="C21" s="456">
        <v>309.45024772059645</v>
      </c>
      <c r="D21" s="456">
        <f t="shared" si="0"/>
        <v>38.681280965074556</v>
      </c>
      <c r="E21" s="457">
        <f t="shared" si="6"/>
        <v>65434.631497232149</v>
      </c>
      <c r="F21" s="457">
        <v>346.21498146683678</v>
      </c>
      <c r="G21" s="457">
        <f t="shared" si="1"/>
        <v>43.276872683354597</v>
      </c>
      <c r="H21" s="474">
        <f t="shared" si="7"/>
        <v>70887.517455334819</v>
      </c>
      <c r="I21" s="456">
        <v>375.06622992240642</v>
      </c>
      <c r="J21" s="456">
        <f t="shared" si="2"/>
        <v>46.883278740300803</v>
      </c>
      <c r="K21" s="457">
        <v>72445.484871935565</v>
      </c>
      <c r="L21" s="457">
        <v>383.30944376685483</v>
      </c>
      <c r="M21" s="457">
        <f t="shared" si="3"/>
        <v>47.913680470856853</v>
      </c>
      <c r="N21" s="474">
        <v>77898.370830038242</v>
      </c>
      <c r="O21" s="474">
        <v>412.16069222242459</v>
      </c>
      <c r="P21" s="473">
        <f t="shared" si="4"/>
        <v>51.520086527803073</v>
      </c>
    </row>
    <row r="22" spans="1:16">
      <c r="A22" s="458">
        <v>17</v>
      </c>
      <c r="B22" s="456">
        <f t="shared" si="5"/>
        <v>60240.67972376851</v>
      </c>
      <c r="C22" s="456">
        <v>318.73375515221431</v>
      </c>
      <c r="D22" s="456">
        <f t="shared" si="0"/>
        <v>39.841719394026789</v>
      </c>
      <c r="E22" s="457">
        <f t="shared" si="6"/>
        <v>67397.670442149116</v>
      </c>
      <c r="F22" s="457">
        <v>356.60143091084188</v>
      </c>
      <c r="G22" s="457">
        <f t="shared" si="1"/>
        <v>44.575178863855236</v>
      </c>
      <c r="H22" s="474">
        <f t="shared" si="7"/>
        <v>73014.14297899486</v>
      </c>
      <c r="I22" s="456">
        <v>386.31821682007865</v>
      </c>
      <c r="J22" s="456">
        <f t="shared" si="2"/>
        <v>48.289777102509831</v>
      </c>
      <c r="K22" s="457">
        <v>74618.84941809364</v>
      </c>
      <c r="L22" s="457">
        <v>394.80872707986055</v>
      </c>
      <c r="M22" s="457">
        <f t="shared" si="3"/>
        <v>49.351090884982568</v>
      </c>
      <c r="N22" s="474">
        <v>80235.321954939398</v>
      </c>
      <c r="O22" s="474">
        <v>424.52551298909736</v>
      </c>
      <c r="P22" s="473">
        <f t="shared" si="4"/>
        <v>53.065689123637171</v>
      </c>
    </row>
    <row r="23" spans="1:16">
      <c r="A23" s="458">
        <v>18</v>
      </c>
      <c r="B23" s="456">
        <f t="shared" si="5"/>
        <v>62047.900115481563</v>
      </c>
      <c r="C23" s="456">
        <v>328.29576780678076</v>
      </c>
      <c r="D23" s="456">
        <f t="shared" si="0"/>
        <v>41.036970975847595</v>
      </c>
      <c r="E23" s="457">
        <f t="shared" si="6"/>
        <v>69419.600555413592</v>
      </c>
      <c r="F23" s="457">
        <v>367.29947383816716</v>
      </c>
      <c r="G23" s="457">
        <f t="shared" si="1"/>
        <v>45.912434229770895</v>
      </c>
      <c r="H23" s="474">
        <f t="shared" si="7"/>
        <v>75204.567268364714</v>
      </c>
      <c r="I23" s="456">
        <v>397.90776332468101</v>
      </c>
      <c r="J23" s="456">
        <f t="shared" si="2"/>
        <v>49.738470415585127</v>
      </c>
      <c r="K23" s="457">
        <v>76857.414900636446</v>
      </c>
      <c r="L23" s="457">
        <v>406.6529888922563</v>
      </c>
      <c r="M23" s="457">
        <f t="shared" si="3"/>
        <v>50.831623611532038</v>
      </c>
      <c r="N23" s="474">
        <v>82642.381613587582</v>
      </c>
      <c r="O23" s="474">
        <v>437.26127837877027</v>
      </c>
      <c r="P23" s="473">
        <f t="shared" si="4"/>
        <v>54.657659797346284</v>
      </c>
    </row>
    <row r="24" spans="1:16">
      <c r="A24" s="458">
        <v>19</v>
      </c>
      <c r="B24" s="456">
        <f t="shared" si="5"/>
        <v>63909.337118946009</v>
      </c>
      <c r="C24" s="456">
        <v>338.14464084098415</v>
      </c>
      <c r="D24" s="456">
        <f t="shared" si="0"/>
        <v>42.268080105123019</v>
      </c>
      <c r="E24" s="457">
        <f t="shared" si="6"/>
        <v>71502.188572076004</v>
      </c>
      <c r="F24" s="457">
        <v>378.31845805331221</v>
      </c>
      <c r="G24" s="457">
        <f t="shared" si="1"/>
        <v>47.289807256664027</v>
      </c>
      <c r="H24" s="474">
        <f t="shared" si="7"/>
        <v>77460.704286415654</v>
      </c>
      <c r="I24" s="456">
        <v>409.84499622442144</v>
      </c>
      <c r="J24" s="456">
        <f t="shared" si="2"/>
        <v>51.23062452805268</v>
      </c>
      <c r="K24" s="457">
        <v>79163.137347655545</v>
      </c>
      <c r="L24" s="457">
        <v>418.85257855902404</v>
      </c>
      <c r="M24" s="457">
        <f t="shared" si="3"/>
        <v>52.356572319878005</v>
      </c>
      <c r="N24" s="474">
        <v>85121.65306199521</v>
      </c>
      <c r="O24" s="474">
        <v>450.37911673013338</v>
      </c>
      <c r="P24" s="473">
        <f t="shared" si="4"/>
        <v>56.297389591266672</v>
      </c>
    </row>
    <row r="25" spans="1:16">
      <c r="A25" s="458">
        <v>20</v>
      </c>
      <c r="B25" s="456">
        <f t="shared" si="5"/>
        <v>65826.617232514385</v>
      </c>
      <c r="C25" s="456">
        <v>348.2889800662137</v>
      </c>
      <c r="D25" s="456">
        <f t="shared" si="0"/>
        <v>43.536122508276712</v>
      </c>
      <c r="E25" s="457">
        <f t="shared" si="6"/>
        <v>73647.254229238286</v>
      </c>
      <c r="F25" s="457">
        <v>389.66801179491159</v>
      </c>
      <c r="G25" s="457">
        <f t="shared" si="1"/>
        <v>48.708501474363949</v>
      </c>
      <c r="H25" s="474">
        <f t="shared" si="7"/>
        <v>79784.525415008131</v>
      </c>
      <c r="I25" s="456">
        <v>422.14034611115414</v>
      </c>
      <c r="J25" s="456">
        <f t="shared" si="2"/>
        <v>52.767543263894268</v>
      </c>
      <c r="K25" s="457">
        <v>81538.031468085217</v>
      </c>
      <c r="L25" s="457">
        <v>431.41815591579478</v>
      </c>
      <c r="M25" s="457">
        <f t="shared" si="3"/>
        <v>53.927269489474348</v>
      </c>
      <c r="N25" s="474">
        <v>87675.302653855062</v>
      </c>
      <c r="O25" s="474">
        <v>463.89049023203739</v>
      </c>
      <c r="P25" s="473">
        <f t="shared" si="4"/>
        <v>57.986311279004674</v>
      </c>
    </row>
  </sheetData>
  <mergeCells count="6">
    <mergeCell ref="N3:O3"/>
    <mergeCell ref="A3:A4"/>
    <mergeCell ref="B3:C3"/>
    <mergeCell ref="E3:F3"/>
    <mergeCell ref="H3:I3"/>
    <mergeCell ref="K3:L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L24"/>
  <sheetViews>
    <sheetView topLeftCell="A3" workbookViewId="0">
      <selection activeCell="F28" sqref="F28"/>
    </sheetView>
  </sheetViews>
  <sheetFormatPr defaultRowHeight="14.4"/>
  <cols>
    <col min="1" max="1" width="7.33203125" style="35" customWidth="1"/>
    <col min="2" max="11" width="13.5546875" customWidth="1"/>
    <col min="12" max="12" width="24.6640625" customWidth="1"/>
  </cols>
  <sheetData>
    <row r="1" spans="1:12" ht="15" thickBot="1">
      <c r="A1" s="471" t="s">
        <v>472</v>
      </c>
      <c r="B1" s="43"/>
      <c r="C1" s="470">
        <v>187</v>
      </c>
    </row>
    <row r="2" spans="1:12" ht="15.6">
      <c r="A2" s="1363" t="s">
        <v>471</v>
      </c>
      <c r="B2" s="1364" t="s">
        <v>470</v>
      </c>
      <c r="C2" s="1364"/>
      <c r="D2" s="1365" t="s">
        <v>469</v>
      </c>
      <c r="E2" s="1365"/>
      <c r="F2" s="1366" t="s">
        <v>468</v>
      </c>
      <c r="G2" s="1366"/>
      <c r="H2" s="1367" t="s">
        <v>467</v>
      </c>
      <c r="I2" s="1367"/>
      <c r="J2" s="1362" t="s">
        <v>466</v>
      </c>
      <c r="K2" s="1362"/>
    </row>
    <row r="3" spans="1:12" ht="97.2" customHeight="1">
      <c r="A3" s="1363"/>
      <c r="B3" s="469" t="s">
        <v>465</v>
      </c>
      <c r="C3" s="469" t="s">
        <v>460</v>
      </c>
      <c r="D3" s="468" t="s">
        <v>464</v>
      </c>
      <c r="E3" s="468" t="s">
        <v>460</v>
      </c>
      <c r="F3" s="467" t="s">
        <v>463</v>
      </c>
      <c r="G3" s="467" t="s">
        <v>460</v>
      </c>
      <c r="H3" s="466" t="s">
        <v>462</v>
      </c>
      <c r="I3" s="466" t="s">
        <v>460</v>
      </c>
      <c r="J3" s="465" t="s">
        <v>461</v>
      </c>
      <c r="K3" s="465" t="s">
        <v>460</v>
      </c>
      <c r="L3" s="472" t="s">
        <v>473</v>
      </c>
    </row>
    <row r="4" spans="1:12" ht="42" hidden="1" customHeight="1">
      <c r="A4" s="464"/>
      <c r="B4" s="463">
        <v>1</v>
      </c>
      <c r="C4" s="463">
        <v>1.5</v>
      </c>
      <c r="D4" s="462">
        <v>2</v>
      </c>
      <c r="E4" s="462">
        <v>2.5</v>
      </c>
      <c r="F4" s="461">
        <v>3</v>
      </c>
      <c r="G4" s="461">
        <v>3.5</v>
      </c>
      <c r="H4" s="460">
        <v>4</v>
      </c>
      <c r="I4" s="460">
        <v>4.5</v>
      </c>
      <c r="J4" s="459">
        <v>5</v>
      </c>
      <c r="K4" s="459">
        <v>5.5</v>
      </c>
    </row>
    <row r="5" spans="1:12">
      <c r="A5" s="458">
        <v>1</v>
      </c>
      <c r="B5" s="456">
        <v>37540</v>
      </c>
      <c r="C5" s="456">
        <f t="shared" ref="C5:C24" si="0">B5/$C$1</f>
        <v>200.74866310160428</v>
      </c>
      <c r="D5" s="457">
        <v>42000</v>
      </c>
      <c r="E5" s="457">
        <f t="shared" ref="E5:E24" si="1">+D5/$C$1</f>
        <v>224.59893048128342</v>
      </c>
      <c r="F5" s="456">
        <v>45500</v>
      </c>
      <c r="G5" s="456">
        <f t="shared" ref="G5:G24" si="2">F5/$C$1</f>
        <v>243.31550802139037</v>
      </c>
      <c r="H5" s="457">
        <v>46500</v>
      </c>
      <c r="I5" s="457">
        <f t="shared" ref="I5:I24" si="3">+H5/$C$1</f>
        <v>248.66310160427807</v>
      </c>
      <c r="J5" s="456">
        <v>50000</v>
      </c>
      <c r="K5" s="456">
        <f t="shared" ref="K5:K24" si="4">J5/$C$1</f>
        <v>267.37967914438502</v>
      </c>
    </row>
    <row r="6" spans="1:12">
      <c r="A6" s="458">
        <v>2</v>
      </c>
      <c r="B6" s="456">
        <f t="shared" ref="B6:B24" si="5">+B5*1.03</f>
        <v>38666.200000000004</v>
      </c>
      <c r="C6" s="456">
        <f t="shared" si="0"/>
        <v>206.77112299465242</v>
      </c>
      <c r="D6" s="457">
        <f t="shared" ref="D6:D24" si="6">+D5*1.03</f>
        <v>43260</v>
      </c>
      <c r="E6" s="457">
        <f t="shared" si="1"/>
        <v>231.33689839572193</v>
      </c>
      <c r="F6" s="456">
        <f t="shared" ref="F6:F24" si="7">+F5*1.03</f>
        <v>46865</v>
      </c>
      <c r="G6" s="456">
        <f t="shared" si="2"/>
        <v>250.61497326203209</v>
      </c>
      <c r="H6" s="457">
        <v>47895</v>
      </c>
      <c r="I6" s="457">
        <f t="shared" si="3"/>
        <v>256.12299465240642</v>
      </c>
      <c r="J6" s="456">
        <v>51500</v>
      </c>
      <c r="K6" s="456">
        <f t="shared" si="4"/>
        <v>275.40106951871655</v>
      </c>
    </row>
    <row r="7" spans="1:12">
      <c r="A7" s="458">
        <v>3</v>
      </c>
      <c r="B7" s="456">
        <f t="shared" si="5"/>
        <v>39826.186000000009</v>
      </c>
      <c r="C7" s="456">
        <f t="shared" si="0"/>
        <v>212.97425668449202</v>
      </c>
      <c r="D7" s="457">
        <f t="shared" si="6"/>
        <v>44557.8</v>
      </c>
      <c r="E7" s="457">
        <f t="shared" si="1"/>
        <v>238.27700534759359</v>
      </c>
      <c r="F7" s="456">
        <f t="shared" si="7"/>
        <v>48270.950000000004</v>
      </c>
      <c r="G7" s="456">
        <f t="shared" si="2"/>
        <v>258.1334224598931</v>
      </c>
      <c r="H7" s="457">
        <v>49331.85</v>
      </c>
      <c r="I7" s="457">
        <f t="shared" si="3"/>
        <v>263.80668449197861</v>
      </c>
      <c r="J7" s="456">
        <v>53045</v>
      </c>
      <c r="K7" s="456">
        <f t="shared" si="4"/>
        <v>283.6631016042781</v>
      </c>
    </row>
    <row r="8" spans="1:12">
      <c r="A8" s="458">
        <v>4</v>
      </c>
      <c r="B8" s="456">
        <f t="shared" si="5"/>
        <v>41020.971580000012</v>
      </c>
      <c r="C8" s="456">
        <f t="shared" si="0"/>
        <v>219.36348438502679</v>
      </c>
      <c r="D8" s="457">
        <f t="shared" si="6"/>
        <v>45894.534000000007</v>
      </c>
      <c r="E8" s="457">
        <f t="shared" si="1"/>
        <v>245.42531550802144</v>
      </c>
      <c r="F8" s="456">
        <f t="shared" si="7"/>
        <v>49719.078500000003</v>
      </c>
      <c r="G8" s="456">
        <f t="shared" si="2"/>
        <v>265.87742513368988</v>
      </c>
      <c r="H8" s="457">
        <v>50811.805500000002</v>
      </c>
      <c r="I8" s="457">
        <f t="shared" si="3"/>
        <v>271.72088502673796</v>
      </c>
      <c r="J8" s="456">
        <v>54636.35</v>
      </c>
      <c r="K8" s="456">
        <f t="shared" si="4"/>
        <v>292.17299465240643</v>
      </c>
    </row>
    <row r="9" spans="1:12">
      <c r="A9" s="458">
        <v>5</v>
      </c>
      <c r="B9" s="456">
        <f t="shared" si="5"/>
        <v>42251.600727400015</v>
      </c>
      <c r="C9" s="456">
        <f t="shared" si="0"/>
        <v>225.94438891657762</v>
      </c>
      <c r="D9" s="457">
        <f t="shared" si="6"/>
        <v>47271.370020000009</v>
      </c>
      <c r="E9" s="457">
        <f t="shared" si="1"/>
        <v>252.78807497326207</v>
      </c>
      <c r="F9" s="456">
        <f t="shared" si="7"/>
        <v>51210.650855000007</v>
      </c>
      <c r="G9" s="456">
        <f t="shared" si="2"/>
        <v>273.85374788770059</v>
      </c>
      <c r="H9" s="457">
        <v>52336.159665000006</v>
      </c>
      <c r="I9" s="457">
        <f t="shared" si="3"/>
        <v>279.87251157754014</v>
      </c>
      <c r="J9" s="456">
        <v>56275.440499999997</v>
      </c>
      <c r="K9" s="456">
        <f t="shared" si="4"/>
        <v>300.93818449197857</v>
      </c>
    </row>
    <row r="10" spans="1:12">
      <c r="A10" s="458">
        <v>6</v>
      </c>
      <c r="B10" s="456">
        <f t="shared" si="5"/>
        <v>43519.148749222019</v>
      </c>
      <c r="C10" s="456">
        <f t="shared" si="0"/>
        <v>232.72272058407498</v>
      </c>
      <c r="D10" s="457">
        <f t="shared" si="6"/>
        <v>48689.511120600007</v>
      </c>
      <c r="E10" s="457">
        <f t="shared" si="1"/>
        <v>260.37171722245995</v>
      </c>
      <c r="F10" s="456">
        <f t="shared" si="7"/>
        <v>52746.970380650011</v>
      </c>
      <c r="G10" s="456">
        <f t="shared" si="2"/>
        <v>282.06936032433163</v>
      </c>
      <c r="H10" s="457">
        <v>53906.244454950007</v>
      </c>
      <c r="I10" s="457">
        <f t="shared" si="3"/>
        <v>288.26868692486636</v>
      </c>
      <c r="J10" s="456">
        <v>57963.703714999996</v>
      </c>
      <c r="K10" s="456">
        <f t="shared" si="4"/>
        <v>309.96633002673792</v>
      </c>
    </row>
    <row r="11" spans="1:12">
      <c r="A11" s="458">
        <v>7</v>
      </c>
      <c r="B11" s="456">
        <f t="shared" si="5"/>
        <v>44824.723211698678</v>
      </c>
      <c r="C11" s="456">
        <f t="shared" si="0"/>
        <v>239.70440220159722</v>
      </c>
      <c r="D11" s="457">
        <f t="shared" si="6"/>
        <v>50150.196454218007</v>
      </c>
      <c r="E11" s="457">
        <f t="shared" si="1"/>
        <v>268.18286873913371</v>
      </c>
      <c r="F11" s="456">
        <f t="shared" si="7"/>
        <v>54329.379492069515</v>
      </c>
      <c r="G11" s="456">
        <f t="shared" si="2"/>
        <v>290.53144113406159</v>
      </c>
      <c r="H11" s="457">
        <v>55523.431788598507</v>
      </c>
      <c r="I11" s="457">
        <f t="shared" si="3"/>
        <v>296.91674753261236</v>
      </c>
      <c r="J11" s="456">
        <v>59702.614826450001</v>
      </c>
      <c r="K11" s="456">
        <f t="shared" si="4"/>
        <v>319.26531992754013</v>
      </c>
    </row>
    <row r="12" spans="1:12">
      <c r="A12" s="458">
        <v>8</v>
      </c>
      <c r="B12" s="456">
        <f t="shared" si="5"/>
        <v>46169.464908049638</v>
      </c>
      <c r="C12" s="456">
        <f t="shared" si="0"/>
        <v>246.89553426764513</v>
      </c>
      <c r="D12" s="457">
        <f t="shared" si="6"/>
        <v>51654.702347844548</v>
      </c>
      <c r="E12" s="457">
        <f t="shared" si="1"/>
        <v>276.22835480130772</v>
      </c>
      <c r="F12" s="456">
        <f t="shared" si="7"/>
        <v>55959.260876831599</v>
      </c>
      <c r="G12" s="456">
        <f t="shared" si="2"/>
        <v>299.24738436808343</v>
      </c>
      <c r="H12" s="457">
        <v>57189.134742256465</v>
      </c>
      <c r="I12" s="457">
        <f t="shared" si="3"/>
        <v>305.82424995859071</v>
      </c>
      <c r="J12" s="456">
        <v>61493.693271243501</v>
      </c>
      <c r="K12" s="456">
        <f t="shared" si="4"/>
        <v>328.84327952536631</v>
      </c>
    </row>
    <row r="13" spans="1:12">
      <c r="A13" s="458">
        <v>9</v>
      </c>
      <c r="B13" s="456">
        <f t="shared" si="5"/>
        <v>47554.548855291127</v>
      </c>
      <c r="C13" s="456">
        <f t="shared" si="0"/>
        <v>254.30240029567446</v>
      </c>
      <c r="D13" s="457">
        <f t="shared" si="6"/>
        <v>53204.343418279888</v>
      </c>
      <c r="E13" s="457">
        <f t="shared" si="1"/>
        <v>284.51520544534702</v>
      </c>
      <c r="F13" s="456">
        <f t="shared" si="7"/>
        <v>57638.038703136546</v>
      </c>
      <c r="G13" s="456">
        <f t="shared" si="2"/>
        <v>308.2248058991259</v>
      </c>
      <c r="H13" s="457">
        <v>58904.808784524161</v>
      </c>
      <c r="I13" s="457">
        <f t="shared" si="3"/>
        <v>314.99897745734847</v>
      </c>
      <c r="J13" s="456">
        <v>63338.504069380804</v>
      </c>
      <c r="K13" s="456">
        <f t="shared" si="4"/>
        <v>338.70857791112729</v>
      </c>
    </row>
    <row r="14" spans="1:12">
      <c r="A14" s="458">
        <v>10</v>
      </c>
      <c r="B14" s="456">
        <f t="shared" si="5"/>
        <v>48981.185320949859</v>
      </c>
      <c r="C14" s="456">
        <f t="shared" si="0"/>
        <v>261.93147230454468</v>
      </c>
      <c r="D14" s="457">
        <f t="shared" si="6"/>
        <v>54800.47372082829</v>
      </c>
      <c r="E14" s="457">
        <f t="shared" si="1"/>
        <v>293.05066160870746</v>
      </c>
      <c r="F14" s="456">
        <f t="shared" si="7"/>
        <v>59367.179864230646</v>
      </c>
      <c r="G14" s="456">
        <f t="shared" si="2"/>
        <v>317.47155007609973</v>
      </c>
      <c r="H14" s="457">
        <v>60671.953048059884</v>
      </c>
      <c r="I14" s="457">
        <f t="shared" si="3"/>
        <v>324.44894678106891</v>
      </c>
      <c r="J14" s="456">
        <v>65238.659191462233</v>
      </c>
      <c r="K14" s="456">
        <f t="shared" si="4"/>
        <v>348.86983524846113</v>
      </c>
    </row>
    <row r="15" spans="1:12">
      <c r="A15" s="458">
        <v>11</v>
      </c>
      <c r="B15" s="456">
        <f t="shared" si="5"/>
        <v>50450.620880578354</v>
      </c>
      <c r="C15" s="456">
        <f t="shared" si="0"/>
        <v>269.78941647368106</v>
      </c>
      <c r="D15" s="457">
        <f t="shared" si="6"/>
        <v>56444.487932453143</v>
      </c>
      <c r="E15" s="457">
        <f t="shared" si="1"/>
        <v>301.84218145696866</v>
      </c>
      <c r="F15" s="456">
        <f t="shared" si="7"/>
        <v>61148.195260157569</v>
      </c>
      <c r="G15" s="456">
        <f t="shared" si="2"/>
        <v>326.99569657838271</v>
      </c>
      <c r="H15" s="457">
        <v>62492.11163950168</v>
      </c>
      <c r="I15" s="457">
        <f t="shared" si="3"/>
        <v>334.18241518450094</v>
      </c>
      <c r="J15" s="456">
        <v>67195.818967206098</v>
      </c>
      <c r="K15" s="456">
        <f t="shared" si="4"/>
        <v>359.33593030591499</v>
      </c>
    </row>
    <row r="16" spans="1:12">
      <c r="A16" s="458">
        <v>12</v>
      </c>
      <c r="B16" s="456">
        <f t="shared" si="5"/>
        <v>51964.139506995707</v>
      </c>
      <c r="C16" s="456">
        <f t="shared" si="0"/>
        <v>277.8830989678915</v>
      </c>
      <c r="D16" s="457">
        <f t="shared" si="6"/>
        <v>58137.822570426739</v>
      </c>
      <c r="E16" s="457">
        <f t="shared" si="1"/>
        <v>310.89744690067772</v>
      </c>
      <c r="F16" s="456">
        <f t="shared" si="7"/>
        <v>62982.641117962296</v>
      </c>
      <c r="G16" s="456">
        <f t="shared" si="2"/>
        <v>336.80556747573422</v>
      </c>
      <c r="H16" s="457">
        <v>64366.87498868673</v>
      </c>
      <c r="I16" s="457">
        <f t="shared" si="3"/>
        <v>344.20788764003601</v>
      </c>
      <c r="J16" s="456">
        <v>69211.693536222287</v>
      </c>
      <c r="K16" s="456">
        <f t="shared" si="4"/>
        <v>370.11600821509245</v>
      </c>
    </row>
    <row r="17" spans="1:11">
      <c r="A17" s="458">
        <v>13</v>
      </c>
      <c r="B17" s="456">
        <f t="shared" si="5"/>
        <v>53523.063692205578</v>
      </c>
      <c r="C17" s="456">
        <f t="shared" si="0"/>
        <v>286.21959193692823</v>
      </c>
      <c r="D17" s="457">
        <f t="shared" si="6"/>
        <v>59881.95724753954</v>
      </c>
      <c r="E17" s="457">
        <f t="shared" si="1"/>
        <v>320.22437030769805</v>
      </c>
      <c r="F17" s="456">
        <f t="shared" si="7"/>
        <v>64872.120351501166</v>
      </c>
      <c r="G17" s="456">
        <f t="shared" si="2"/>
        <v>346.90973450000621</v>
      </c>
      <c r="H17" s="457">
        <v>66297.881238347327</v>
      </c>
      <c r="I17" s="457">
        <f t="shared" si="3"/>
        <v>354.53412426923705</v>
      </c>
      <c r="J17" s="456">
        <v>71288.04434230896</v>
      </c>
      <c r="K17" s="456">
        <f t="shared" si="4"/>
        <v>381.21948846154527</v>
      </c>
    </row>
    <row r="18" spans="1:11">
      <c r="A18" s="458">
        <v>14</v>
      </c>
      <c r="B18" s="456">
        <f t="shared" si="5"/>
        <v>55128.755602971745</v>
      </c>
      <c r="C18" s="456">
        <f t="shared" si="0"/>
        <v>294.80617969503606</v>
      </c>
      <c r="D18" s="457">
        <f t="shared" si="6"/>
        <v>61678.41596496573</v>
      </c>
      <c r="E18" s="457">
        <f t="shared" si="1"/>
        <v>329.83110141692902</v>
      </c>
      <c r="F18" s="456">
        <f t="shared" si="7"/>
        <v>66818.283962046204</v>
      </c>
      <c r="G18" s="456">
        <f t="shared" si="2"/>
        <v>357.31702653500645</v>
      </c>
      <c r="H18" s="457">
        <v>68286.817675497747</v>
      </c>
      <c r="I18" s="457">
        <f t="shared" si="3"/>
        <v>365.17014799731413</v>
      </c>
      <c r="J18" s="456">
        <v>73426.685672578227</v>
      </c>
      <c r="K18" s="456">
        <f t="shared" si="4"/>
        <v>392.65607311539156</v>
      </c>
    </row>
    <row r="19" spans="1:11">
      <c r="A19" s="458">
        <v>15</v>
      </c>
      <c r="B19" s="456">
        <f t="shared" si="5"/>
        <v>56782.618271060899</v>
      </c>
      <c r="C19" s="456">
        <f t="shared" si="0"/>
        <v>303.65036508588719</v>
      </c>
      <c r="D19" s="457">
        <f t="shared" si="6"/>
        <v>63528.768443914705</v>
      </c>
      <c r="E19" s="457">
        <f t="shared" si="1"/>
        <v>339.7260344594369</v>
      </c>
      <c r="F19" s="456">
        <f t="shared" si="7"/>
        <v>68822.832480907586</v>
      </c>
      <c r="G19" s="456">
        <f t="shared" si="2"/>
        <v>368.03653733105659</v>
      </c>
      <c r="H19" s="457">
        <v>70335.422205762676</v>
      </c>
      <c r="I19" s="457">
        <f t="shared" si="3"/>
        <v>376.12525243723354</v>
      </c>
      <c r="J19" s="456">
        <v>75629.486242755578</v>
      </c>
      <c r="K19" s="456">
        <f t="shared" si="4"/>
        <v>404.43575530885335</v>
      </c>
    </row>
    <row r="20" spans="1:11">
      <c r="A20" s="458">
        <v>16</v>
      </c>
      <c r="B20" s="456">
        <f t="shared" si="5"/>
        <v>58486.096819192724</v>
      </c>
      <c r="C20" s="456">
        <f t="shared" si="0"/>
        <v>312.75987603846374</v>
      </c>
      <c r="D20" s="457">
        <f t="shared" si="6"/>
        <v>65434.631497232149</v>
      </c>
      <c r="E20" s="457">
        <f t="shared" si="1"/>
        <v>349.91781549322008</v>
      </c>
      <c r="F20" s="456">
        <f t="shared" si="7"/>
        <v>70887.517455334819</v>
      </c>
      <c r="G20" s="456">
        <f t="shared" si="2"/>
        <v>379.07763345098834</v>
      </c>
      <c r="H20" s="457">
        <v>72445.484871935565</v>
      </c>
      <c r="I20" s="457">
        <f t="shared" si="3"/>
        <v>387.40901001035064</v>
      </c>
      <c r="J20" s="456">
        <v>77898.370830038242</v>
      </c>
      <c r="K20" s="456">
        <f t="shared" si="4"/>
        <v>416.56882796811897</v>
      </c>
    </row>
    <row r="21" spans="1:11">
      <c r="A21" s="458">
        <v>17</v>
      </c>
      <c r="B21" s="456">
        <f t="shared" si="5"/>
        <v>60240.67972376851</v>
      </c>
      <c r="C21" s="456">
        <f t="shared" si="0"/>
        <v>322.1426723196177</v>
      </c>
      <c r="D21" s="457">
        <f t="shared" si="6"/>
        <v>67397.670442149116</v>
      </c>
      <c r="E21" s="457">
        <f t="shared" si="1"/>
        <v>360.41534995801663</v>
      </c>
      <c r="F21" s="456">
        <f t="shared" si="7"/>
        <v>73014.14297899486</v>
      </c>
      <c r="G21" s="456">
        <f t="shared" si="2"/>
        <v>390.44996245451796</v>
      </c>
      <c r="H21" s="457">
        <v>74618.84941809364</v>
      </c>
      <c r="I21" s="457">
        <f t="shared" si="3"/>
        <v>399.0312803106612</v>
      </c>
      <c r="J21" s="456">
        <v>80235.321954939398</v>
      </c>
      <c r="K21" s="456">
        <f t="shared" si="4"/>
        <v>429.06589280716258</v>
      </c>
    </row>
    <row r="22" spans="1:11">
      <c r="A22" s="458">
        <v>18</v>
      </c>
      <c r="B22" s="456">
        <f t="shared" si="5"/>
        <v>62047.900115481563</v>
      </c>
      <c r="C22" s="456">
        <f t="shared" si="0"/>
        <v>331.8069524892062</v>
      </c>
      <c r="D22" s="457">
        <f t="shared" si="6"/>
        <v>69419.600555413592</v>
      </c>
      <c r="E22" s="457">
        <f t="shared" si="1"/>
        <v>371.2278104567572</v>
      </c>
      <c r="F22" s="456">
        <f t="shared" si="7"/>
        <v>75204.567268364714</v>
      </c>
      <c r="G22" s="456">
        <f t="shared" si="2"/>
        <v>402.16346132815357</v>
      </c>
      <c r="H22" s="457">
        <v>76857.414900636446</v>
      </c>
      <c r="I22" s="457">
        <f t="shared" si="3"/>
        <v>411.00221871998099</v>
      </c>
      <c r="J22" s="456">
        <v>82642.381613587582</v>
      </c>
      <c r="K22" s="456">
        <f t="shared" si="4"/>
        <v>441.93786959137742</v>
      </c>
    </row>
    <row r="23" spans="1:11">
      <c r="A23" s="458">
        <v>19</v>
      </c>
      <c r="B23" s="456">
        <f t="shared" si="5"/>
        <v>63909.337118946009</v>
      </c>
      <c r="C23" s="456">
        <f t="shared" si="0"/>
        <v>341.76116106388241</v>
      </c>
      <c r="D23" s="457">
        <f t="shared" si="6"/>
        <v>71502.188572076004</v>
      </c>
      <c r="E23" s="457">
        <f t="shared" si="1"/>
        <v>382.3646447704599</v>
      </c>
      <c r="F23" s="456">
        <f t="shared" si="7"/>
        <v>77460.704286415654</v>
      </c>
      <c r="G23" s="456">
        <f t="shared" si="2"/>
        <v>414.22836516799816</v>
      </c>
      <c r="H23" s="457">
        <v>79163.137347655545</v>
      </c>
      <c r="I23" s="457">
        <f t="shared" si="3"/>
        <v>423.33228528158048</v>
      </c>
      <c r="J23" s="456">
        <v>85121.65306199521</v>
      </c>
      <c r="K23" s="456">
        <f t="shared" si="4"/>
        <v>455.1960056791188</v>
      </c>
    </row>
    <row r="24" spans="1:11">
      <c r="A24" s="458">
        <v>20</v>
      </c>
      <c r="B24" s="456">
        <f t="shared" si="5"/>
        <v>65826.617232514385</v>
      </c>
      <c r="C24" s="456">
        <f t="shared" si="0"/>
        <v>352.01399589579887</v>
      </c>
      <c r="D24" s="457">
        <f t="shared" si="6"/>
        <v>73647.254229238286</v>
      </c>
      <c r="E24" s="457">
        <f t="shared" si="1"/>
        <v>393.8355841135737</v>
      </c>
      <c r="F24" s="456">
        <f t="shared" si="7"/>
        <v>79784.525415008131</v>
      </c>
      <c r="G24" s="456">
        <f t="shared" si="2"/>
        <v>426.65521612303814</v>
      </c>
      <c r="H24" s="457">
        <v>81538.031468085217</v>
      </c>
      <c r="I24" s="457">
        <f t="shared" si="3"/>
        <v>436.03225384002792</v>
      </c>
      <c r="J24" s="456">
        <v>87675.302653855062</v>
      </c>
      <c r="K24" s="456">
        <f t="shared" si="4"/>
        <v>468.85188584949231</v>
      </c>
    </row>
  </sheetData>
  <mergeCells count="6">
    <mergeCell ref="J2:K2"/>
    <mergeCell ref="A2:A3"/>
    <mergeCell ref="B2:C2"/>
    <mergeCell ref="D2:E2"/>
    <mergeCell ref="F2:G2"/>
    <mergeCell ref="H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89D03-FBA2-4616-895E-D9D35A71C410}">
  <sheetPr>
    <tabColor theme="4" tint="-0.499984740745262"/>
    <outlinePr summaryBelow="0" summaryRight="0"/>
    <pageSetUpPr fitToPage="1"/>
  </sheetPr>
  <dimension ref="A16:DQ100"/>
  <sheetViews>
    <sheetView showGridLines="0" zoomScaleNormal="100" workbookViewId="0">
      <selection activeCell="Q5" sqref="Q5"/>
    </sheetView>
  </sheetViews>
  <sheetFormatPr defaultColWidth="14" defaultRowHeight="15.75" customHeight="1"/>
  <cols>
    <col min="1" max="1" width="19.5546875" style="1222" customWidth="1"/>
    <col min="2" max="3" width="5.6640625" style="1222" customWidth="1"/>
    <col min="4" max="4" width="16.5546875" style="1222" customWidth="1"/>
    <col min="5" max="5" width="15.44140625" style="1222" customWidth="1"/>
    <col min="6" max="6" width="3.5546875" style="1222" customWidth="1"/>
    <col min="7" max="7" width="19.5546875" style="1222" customWidth="1"/>
    <col min="8" max="9" width="5.6640625" style="1222" customWidth="1"/>
    <col min="10" max="10" width="17.21875" style="1222" customWidth="1"/>
    <col min="11" max="11" width="15.44140625" style="1222" customWidth="1"/>
    <col min="12" max="12" width="3.5546875" style="1222" customWidth="1"/>
    <col min="13" max="13" width="19.5546875" style="1222" customWidth="1"/>
    <col min="14" max="15" width="5.6640625" style="1222" customWidth="1"/>
    <col min="16" max="17" width="15.44140625" style="1222" customWidth="1"/>
    <col min="18" max="18" width="3.5546875" style="1222" customWidth="1"/>
    <col min="19" max="19" width="19.5546875" style="1222" customWidth="1"/>
    <col min="20" max="21" width="5.6640625" style="1222" customWidth="1"/>
    <col min="22" max="23" width="15.44140625" style="1222" customWidth="1"/>
    <col min="24" max="16384" width="14" style="1222"/>
  </cols>
  <sheetData>
    <row r="16" spans="1:121" ht="13.8">
      <c r="A16" s="1220"/>
      <c r="B16" s="1221"/>
      <c r="C16" s="1221"/>
      <c r="D16" s="1221"/>
      <c r="E16" s="1220"/>
      <c r="F16" s="1220"/>
      <c r="G16" s="1220"/>
      <c r="H16" s="1221"/>
      <c r="I16" s="1221"/>
      <c r="J16" s="1221"/>
      <c r="K16" s="1220"/>
      <c r="L16" s="1220"/>
      <c r="M16" s="1220"/>
      <c r="N16" s="1221"/>
      <c r="O16" s="1221"/>
      <c r="P16" s="1221"/>
      <c r="Q16" s="1220"/>
      <c r="R16" s="1220"/>
      <c r="S16" s="1220"/>
      <c r="T16" s="1221"/>
      <c r="U16" s="1221"/>
      <c r="V16" s="1221"/>
      <c r="W16" s="1221"/>
      <c r="X16" s="1221"/>
      <c r="Y16" s="1221"/>
      <c r="Z16" s="1221"/>
      <c r="AA16" s="1221"/>
      <c r="AB16" s="1221"/>
      <c r="AC16" s="1221"/>
      <c r="AD16" s="1221"/>
      <c r="AE16" s="1221"/>
      <c r="AF16" s="1221"/>
      <c r="AG16" s="1221"/>
      <c r="AH16" s="1221"/>
      <c r="AI16" s="1221"/>
      <c r="AJ16" s="1221"/>
      <c r="AK16" s="1221"/>
      <c r="AL16" s="1221"/>
      <c r="AM16" s="1221"/>
      <c r="AN16" s="1221"/>
      <c r="AO16" s="1221"/>
      <c r="AP16" s="1221"/>
      <c r="AQ16" s="1221"/>
      <c r="AR16" s="1221"/>
      <c r="AS16" s="1221"/>
      <c r="AT16" s="1221"/>
      <c r="AU16" s="1221"/>
      <c r="AV16" s="1221"/>
      <c r="AW16" s="1221"/>
      <c r="AX16" s="1221"/>
      <c r="AY16" s="1221"/>
      <c r="AZ16" s="1221"/>
      <c r="BA16" s="1221"/>
      <c r="BB16" s="1221"/>
      <c r="BC16" s="1221"/>
      <c r="BD16" s="1221"/>
      <c r="BE16" s="1221"/>
      <c r="BF16" s="1221"/>
      <c r="BG16" s="1221"/>
      <c r="BH16" s="1221"/>
      <c r="BI16" s="1221"/>
      <c r="BJ16" s="1221"/>
      <c r="BK16" s="1221"/>
      <c r="BL16" s="1221"/>
      <c r="BM16" s="1221"/>
      <c r="BN16" s="1221"/>
      <c r="BO16" s="1221"/>
      <c r="BP16" s="1221"/>
      <c r="BQ16" s="1221"/>
      <c r="BR16" s="1221"/>
      <c r="BS16" s="1221"/>
      <c r="BT16" s="1221"/>
      <c r="BU16" s="1221"/>
      <c r="BV16" s="1221"/>
      <c r="BW16" s="1221"/>
      <c r="BX16" s="1221"/>
      <c r="BY16" s="1221"/>
      <c r="BZ16" s="1221"/>
      <c r="CA16" s="1221"/>
      <c r="CB16" s="1221"/>
      <c r="CC16" s="1221"/>
      <c r="CD16" s="1221"/>
      <c r="CE16" s="1221"/>
      <c r="CF16" s="1221"/>
      <c r="CG16" s="1221"/>
      <c r="CH16" s="1221"/>
      <c r="CI16" s="1221"/>
      <c r="CJ16" s="1221"/>
      <c r="CK16" s="1221"/>
      <c r="CL16" s="1221"/>
      <c r="CM16" s="1221"/>
      <c r="CN16" s="1221"/>
      <c r="CO16" s="1221"/>
      <c r="CP16" s="1221"/>
      <c r="CQ16" s="1221"/>
      <c r="CR16" s="1221"/>
      <c r="CS16" s="1221"/>
      <c r="CT16" s="1221"/>
      <c r="CU16" s="1221"/>
      <c r="CV16" s="1221"/>
      <c r="CW16" s="1221"/>
      <c r="CX16" s="1221"/>
      <c r="CY16" s="1221"/>
      <c r="CZ16" s="1221"/>
      <c r="DA16" s="1221"/>
      <c r="DB16" s="1221"/>
      <c r="DC16" s="1221"/>
      <c r="DD16" s="1221"/>
      <c r="DE16" s="1221"/>
      <c r="DF16" s="1221"/>
      <c r="DG16" s="1221"/>
      <c r="DH16" s="1221"/>
      <c r="DI16" s="1221"/>
      <c r="DJ16" s="1221"/>
      <c r="DK16" s="1221"/>
      <c r="DL16" s="1221"/>
      <c r="DM16" s="1221"/>
      <c r="DN16" s="1221"/>
      <c r="DO16" s="1221"/>
      <c r="DP16" s="1221"/>
      <c r="DQ16" s="1221"/>
    </row>
    <row r="17" spans="1:121" ht="13.8">
      <c r="A17" s="1220"/>
      <c r="B17" s="1221"/>
      <c r="C17" s="1221"/>
      <c r="D17" s="1221"/>
      <c r="E17" s="1220"/>
      <c r="F17" s="1220"/>
      <c r="G17" s="1220"/>
      <c r="H17" s="1221"/>
      <c r="I17" s="1221"/>
      <c r="J17" s="1221"/>
      <c r="K17" s="1220"/>
      <c r="L17" s="1220"/>
      <c r="M17" s="1220"/>
      <c r="N17" s="1221"/>
      <c r="O17" s="1221"/>
      <c r="P17" s="1221"/>
      <c r="Q17" s="1220"/>
      <c r="R17" s="1220"/>
      <c r="S17" s="1220"/>
      <c r="T17" s="1221"/>
      <c r="U17" s="1221"/>
      <c r="V17" s="1221"/>
      <c r="W17" s="1221"/>
      <c r="X17" s="1221"/>
      <c r="Y17" s="1221"/>
      <c r="Z17" s="1221"/>
      <c r="AA17" s="1221"/>
      <c r="AB17" s="1221"/>
      <c r="AC17" s="1221"/>
      <c r="AD17" s="1221"/>
      <c r="AE17" s="1221"/>
      <c r="AF17" s="1221"/>
      <c r="AG17" s="1221"/>
      <c r="AH17" s="1221"/>
      <c r="AI17" s="1221"/>
      <c r="AJ17" s="1221"/>
      <c r="AK17" s="1221"/>
      <c r="AL17" s="1221"/>
      <c r="AM17" s="1221"/>
      <c r="AN17" s="1221"/>
      <c r="AO17" s="1221"/>
      <c r="AP17" s="1221"/>
      <c r="AQ17" s="1221"/>
      <c r="AR17" s="1221"/>
      <c r="AS17" s="1221"/>
      <c r="AT17" s="1221"/>
      <c r="AU17" s="1221"/>
      <c r="AV17" s="1221"/>
      <c r="AW17" s="1221"/>
      <c r="AX17" s="1221"/>
      <c r="AY17" s="1221"/>
      <c r="AZ17" s="1221"/>
      <c r="BA17" s="1221"/>
      <c r="BB17" s="1221"/>
      <c r="BC17" s="1221"/>
      <c r="BD17" s="1221"/>
      <c r="BE17" s="1221"/>
      <c r="BF17" s="1221"/>
      <c r="BG17" s="1221"/>
      <c r="BH17" s="1221"/>
      <c r="BI17" s="1221"/>
      <c r="BJ17" s="1221"/>
      <c r="BK17" s="1221"/>
      <c r="BL17" s="1221"/>
      <c r="BM17" s="1221"/>
      <c r="BN17" s="1221"/>
      <c r="BO17" s="1221"/>
      <c r="BP17" s="1221"/>
      <c r="BQ17" s="1221"/>
      <c r="BR17" s="1221"/>
      <c r="BS17" s="1221"/>
      <c r="BT17" s="1221"/>
      <c r="BU17" s="1221"/>
      <c r="BV17" s="1221"/>
      <c r="BW17" s="1221"/>
      <c r="BX17" s="1221"/>
      <c r="BY17" s="1221"/>
      <c r="BZ17" s="1221"/>
      <c r="CA17" s="1221"/>
      <c r="CB17" s="1221"/>
      <c r="CC17" s="1221"/>
      <c r="CD17" s="1221"/>
      <c r="CE17" s="1221"/>
      <c r="CF17" s="1221"/>
      <c r="CG17" s="1221"/>
      <c r="CH17" s="1221"/>
      <c r="CI17" s="1221"/>
      <c r="CJ17" s="1221"/>
      <c r="CK17" s="1221"/>
      <c r="CL17" s="1221"/>
      <c r="CM17" s="1221"/>
      <c r="CN17" s="1221"/>
      <c r="CO17" s="1221"/>
      <c r="CP17" s="1221"/>
      <c r="CQ17" s="1221"/>
      <c r="CR17" s="1221"/>
      <c r="CS17" s="1221"/>
      <c r="CT17" s="1221"/>
      <c r="CU17" s="1221"/>
      <c r="CV17" s="1221"/>
      <c r="CW17" s="1221"/>
      <c r="CX17" s="1221"/>
      <c r="CY17" s="1221"/>
      <c r="CZ17" s="1221"/>
      <c r="DA17" s="1221"/>
      <c r="DB17" s="1221"/>
      <c r="DC17" s="1221"/>
      <c r="DD17" s="1221"/>
      <c r="DE17" s="1221"/>
      <c r="DF17" s="1221"/>
      <c r="DG17" s="1221"/>
      <c r="DH17" s="1221"/>
      <c r="DI17" s="1221"/>
      <c r="DJ17" s="1221"/>
      <c r="DK17" s="1221"/>
      <c r="DL17" s="1221"/>
      <c r="DM17" s="1221"/>
      <c r="DN17" s="1221"/>
      <c r="DO17" s="1221"/>
      <c r="DP17" s="1221"/>
      <c r="DQ17" s="1221"/>
    </row>
    <row r="18" spans="1:121" ht="13.8">
      <c r="A18" s="1220"/>
      <c r="B18" s="1221"/>
      <c r="C18" s="1221"/>
      <c r="D18" s="1221"/>
      <c r="E18" s="1220"/>
      <c r="F18" s="1220"/>
      <c r="G18" s="1220"/>
      <c r="H18" s="1221"/>
      <c r="I18" s="1221"/>
      <c r="J18" s="1221"/>
      <c r="K18" s="1220"/>
      <c r="L18" s="1220"/>
      <c r="M18" s="1220"/>
      <c r="N18" s="1221"/>
      <c r="O18" s="1221"/>
      <c r="P18" s="1221"/>
      <c r="Q18" s="1220"/>
      <c r="R18" s="1220"/>
      <c r="S18" s="1220"/>
      <c r="T18" s="1221"/>
      <c r="U18" s="1221"/>
      <c r="V18" s="1221"/>
      <c r="W18" s="1221"/>
      <c r="X18" s="1221"/>
      <c r="Y18" s="1221"/>
      <c r="Z18" s="1221"/>
      <c r="AA18" s="1221"/>
      <c r="AB18" s="1221"/>
      <c r="AC18" s="1221"/>
      <c r="AD18" s="1221"/>
      <c r="AE18" s="1221"/>
      <c r="AF18" s="1221"/>
      <c r="AG18" s="1221"/>
      <c r="AH18" s="1221"/>
      <c r="AI18" s="1221"/>
      <c r="AJ18" s="1221"/>
      <c r="AK18" s="1221"/>
      <c r="AL18" s="1221"/>
      <c r="AM18" s="1221"/>
      <c r="AN18" s="1221"/>
      <c r="AO18" s="1221"/>
      <c r="AP18" s="1221"/>
      <c r="AQ18" s="1221"/>
      <c r="AR18" s="1221"/>
      <c r="AS18" s="1221"/>
      <c r="AT18" s="1221"/>
      <c r="AU18" s="1221"/>
      <c r="AV18" s="1221"/>
      <c r="AW18" s="1221"/>
      <c r="AX18" s="1221"/>
      <c r="AY18" s="1221"/>
      <c r="AZ18" s="1221"/>
      <c r="BA18" s="1221"/>
      <c r="BB18" s="1221"/>
      <c r="BC18" s="1221"/>
      <c r="BD18" s="1221"/>
      <c r="BE18" s="1221"/>
      <c r="BF18" s="1221"/>
      <c r="BG18" s="1221"/>
      <c r="BH18" s="1221"/>
      <c r="BI18" s="1221"/>
      <c r="BJ18" s="1221"/>
      <c r="BK18" s="1221"/>
      <c r="BL18" s="1221"/>
      <c r="BM18" s="1221"/>
      <c r="BN18" s="1221"/>
      <c r="BO18" s="1221"/>
      <c r="BP18" s="1221"/>
      <c r="BQ18" s="1221"/>
      <c r="BR18" s="1221"/>
      <c r="BS18" s="1221"/>
      <c r="BT18" s="1221"/>
      <c r="BU18" s="1221"/>
      <c r="BV18" s="1221"/>
      <c r="BW18" s="1221"/>
      <c r="BX18" s="1221"/>
      <c r="BY18" s="1221"/>
      <c r="BZ18" s="1221"/>
      <c r="CA18" s="1221"/>
      <c r="CB18" s="1221"/>
      <c r="CC18" s="1221"/>
      <c r="CD18" s="1221"/>
      <c r="CE18" s="1221"/>
      <c r="CF18" s="1221"/>
      <c r="CG18" s="1221"/>
      <c r="CH18" s="1221"/>
      <c r="CI18" s="1221"/>
      <c r="CJ18" s="1221"/>
      <c r="CK18" s="1221"/>
      <c r="CL18" s="1221"/>
      <c r="CM18" s="1221"/>
      <c r="CN18" s="1221"/>
      <c r="CO18" s="1221"/>
      <c r="CP18" s="1221"/>
      <c r="CQ18" s="1221"/>
      <c r="CR18" s="1221"/>
      <c r="CS18" s="1221"/>
      <c r="CT18" s="1221"/>
      <c r="CU18" s="1221"/>
      <c r="CV18" s="1221"/>
      <c r="CW18" s="1221"/>
      <c r="CX18" s="1221"/>
      <c r="CY18" s="1221"/>
      <c r="CZ18" s="1221"/>
      <c r="DA18" s="1221"/>
      <c r="DB18" s="1221"/>
      <c r="DC18" s="1221"/>
      <c r="DD18" s="1221"/>
      <c r="DE18" s="1221"/>
      <c r="DF18" s="1221"/>
      <c r="DG18" s="1221"/>
      <c r="DH18" s="1221"/>
      <c r="DI18" s="1221"/>
      <c r="DJ18" s="1221"/>
      <c r="DK18" s="1221"/>
      <c r="DL18" s="1221"/>
      <c r="DM18" s="1221"/>
      <c r="DN18" s="1221"/>
      <c r="DO18" s="1221"/>
      <c r="DP18" s="1221"/>
      <c r="DQ18" s="1221"/>
    </row>
    <row r="19" spans="1:121" ht="13.8">
      <c r="A19" s="1220"/>
      <c r="B19" s="1221"/>
      <c r="C19" s="1221"/>
      <c r="D19" s="1221"/>
      <c r="E19" s="1220"/>
      <c r="F19" s="1220"/>
      <c r="G19" s="1220"/>
      <c r="H19" s="1221"/>
      <c r="I19" s="1221"/>
      <c r="J19" s="1221"/>
      <c r="K19" s="1220"/>
      <c r="L19" s="1220"/>
      <c r="M19" s="1220"/>
      <c r="N19" s="1221"/>
      <c r="O19" s="1221"/>
      <c r="P19" s="1221"/>
      <c r="Q19" s="1220"/>
      <c r="R19" s="1220"/>
      <c r="S19" s="1220"/>
      <c r="T19" s="1221"/>
      <c r="U19" s="1221"/>
      <c r="V19" s="1221"/>
      <c r="W19" s="1221"/>
      <c r="X19" s="1221"/>
      <c r="Y19" s="1221"/>
      <c r="Z19" s="1221"/>
      <c r="AA19" s="1221"/>
      <c r="AB19" s="1221"/>
      <c r="AC19" s="1221"/>
      <c r="AD19" s="1221"/>
      <c r="AE19" s="1221"/>
      <c r="AF19" s="1221"/>
      <c r="AG19" s="1221"/>
      <c r="AH19" s="1221"/>
      <c r="AI19" s="1221"/>
      <c r="AJ19" s="1221"/>
      <c r="AK19" s="1221"/>
      <c r="AL19" s="1221"/>
      <c r="AM19" s="1221"/>
      <c r="AN19" s="1221"/>
      <c r="AO19" s="1221"/>
      <c r="AP19" s="1221"/>
      <c r="AQ19" s="1221"/>
      <c r="AR19" s="1221"/>
      <c r="AS19" s="1221"/>
      <c r="AT19" s="1221"/>
      <c r="AU19" s="1221"/>
      <c r="AV19" s="1221"/>
      <c r="AW19" s="1221"/>
      <c r="AX19" s="1221"/>
      <c r="AY19" s="1221"/>
      <c r="AZ19" s="1221"/>
      <c r="BA19" s="1221"/>
      <c r="BB19" s="1221"/>
      <c r="BC19" s="1221"/>
      <c r="BD19" s="1221"/>
      <c r="BE19" s="1221"/>
      <c r="BF19" s="1221"/>
      <c r="BG19" s="1221"/>
      <c r="BH19" s="1221"/>
      <c r="BI19" s="1221"/>
      <c r="BJ19" s="1221"/>
      <c r="BK19" s="1221"/>
      <c r="BL19" s="1221"/>
      <c r="BM19" s="1221"/>
      <c r="BN19" s="1221"/>
      <c r="BO19" s="1221"/>
      <c r="BP19" s="1221"/>
      <c r="BQ19" s="1221"/>
      <c r="BR19" s="1221"/>
      <c r="BS19" s="1221"/>
      <c r="BT19" s="1221"/>
      <c r="BU19" s="1221"/>
      <c r="BV19" s="1221"/>
      <c r="BW19" s="1221"/>
      <c r="BX19" s="1221"/>
      <c r="BY19" s="1221"/>
      <c r="BZ19" s="1221"/>
      <c r="CA19" s="1221"/>
      <c r="CB19" s="1221"/>
      <c r="CC19" s="1221"/>
      <c r="CD19" s="1221"/>
      <c r="CE19" s="1221"/>
      <c r="CF19" s="1221"/>
      <c r="CG19" s="1221"/>
      <c r="CH19" s="1221"/>
      <c r="CI19" s="1221"/>
      <c r="CJ19" s="1221"/>
      <c r="CK19" s="1221"/>
      <c r="CL19" s="1221"/>
      <c r="CM19" s="1221"/>
      <c r="CN19" s="1221"/>
      <c r="CO19" s="1221"/>
      <c r="CP19" s="1221"/>
      <c r="CQ19" s="1221"/>
      <c r="CR19" s="1221"/>
      <c r="CS19" s="1221"/>
      <c r="CT19" s="1221"/>
      <c r="CU19" s="1221"/>
      <c r="CV19" s="1221"/>
      <c r="CW19" s="1221"/>
      <c r="CX19" s="1221"/>
      <c r="CY19" s="1221"/>
      <c r="CZ19" s="1221"/>
      <c r="DA19" s="1221"/>
      <c r="DB19" s="1221"/>
      <c r="DC19" s="1221"/>
      <c r="DD19" s="1221"/>
      <c r="DE19" s="1221"/>
      <c r="DF19" s="1221"/>
      <c r="DG19" s="1221"/>
      <c r="DH19" s="1221"/>
      <c r="DI19" s="1221"/>
      <c r="DJ19" s="1221"/>
      <c r="DK19" s="1221"/>
      <c r="DL19" s="1221"/>
      <c r="DM19" s="1221"/>
      <c r="DN19" s="1221"/>
      <c r="DO19" s="1221"/>
      <c r="DP19" s="1221"/>
      <c r="DQ19" s="1221"/>
    </row>
    <row r="20" spans="1:121" ht="13.8">
      <c r="A20" s="1220"/>
      <c r="B20" s="1221"/>
      <c r="C20" s="1221"/>
      <c r="D20" s="1221"/>
      <c r="E20" s="1220"/>
      <c r="F20" s="1220"/>
      <c r="G20" s="1220"/>
      <c r="H20" s="1221"/>
      <c r="I20" s="1221"/>
      <c r="J20" s="1221"/>
      <c r="K20" s="1220"/>
      <c r="L20" s="1220"/>
      <c r="M20" s="1220"/>
      <c r="N20" s="1221"/>
      <c r="O20" s="1221"/>
      <c r="P20" s="1221"/>
      <c r="Q20" s="1220"/>
      <c r="R20" s="1220"/>
      <c r="S20" s="1220"/>
      <c r="T20" s="1221"/>
      <c r="U20" s="1221"/>
      <c r="V20" s="1221"/>
      <c r="W20" s="1221"/>
      <c r="X20" s="1221"/>
      <c r="Y20" s="1221"/>
      <c r="Z20" s="1221"/>
      <c r="AA20" s="1221"/>
      <c r="AB20" s="1221"/>
      <c r="AC20" s="1221"/>
      <c r="AD20" s="1221"/>
      <c r="AE20" s="1221"/>
      <c r="AF20" s="1221"/>
      <c r="AG20" s="1221"/>
      <c r="AH20" s="1221"/>
      <c r="AI20" s="1221"/>
      <c r="AJ20" s="1221"/>
      <c r="AK20" s="1221"/>
      <c r="AL20" s="1221"/>
      <c r="AM20" s="1221"/>
      <c r="AN20" s="1221"/>
      <c r="AO20" s="1221"/>
      <c r="AP20" s="1221"/>
      <c r="AQ20" s="1221"/>
      <c r="AR20" s="1221"/>
      <c r="AS20" s="1221"/>
      <c r="AT20" s="1221"/>
      <c r="AU20" s="1221"/>
      <c r="AV20" s="1221"/>
      <c r="AW20" s="1221"/>
      <c r="AX20" s="1221"/>
      <c r="AY20" s="1221"/>
      <c r="AZ20" s="1221"/>
      <c r="BA20" s="1221"/>
      <c r="BB20" s="1221"/>
      <c r="BC20" s="1221"/>
      <c r="BD20" s="1221"/>
      <c r="BE20" s="1221"/>
      <c r="BF20" s="1221"/>
      <c r="BG20" s="1221"/>
      <c r="BH20" s="1221"/>
      <c r="BI20" s="1221"/>
      <c r="BJ20" s="1221"/>
      <c r="BK20" s="1221"/>
      <c r="BL20" s="1221"/>
      <c r="BM20" s="1221"/>
      <c r="BN20" s="1221"/>
      <c r="BO20" s="1221"/>
      <c r="BP20" s="1221"/>
      <c r="BQ20" s="1221"/>
      <c r="BR20" s="1221"/>
      <c r="BS20" s="1221"/>
      <c r="BT20" s="1221"/>
      <c r="BU20" s="1221"/>
      <c r="BV20" s="1221"/>
      <c r="BW20" s="1221"/>
      <c r="BX20" s="1221"/>
      <c r="BY20" s="1221"/>
      <c r="BZ20" s="1221"/>
      <c r="CA20" s="1221"/>
      <c r="CB20" s="1221"/>
      <c r="CC20" s="1221"/>
      <c r="CD20" s="1221"/>
      <c r="CE20" s="1221"/>
      <c r="CF20" s="1221"/>
      <c r="CG20" s="1221"/>
      <c r="CH20" s="1221"/>
      <c r="CI20" s="1221"/>
      <c r="CJ20" s="1221"/>
      <c r="CK20" s="1221"/>
      <c r="CL20" s="1221"/>
      <c r="CM20" s="1221"/>
      <c r="CN20" s="1221"/>
      <c r="CO20" s="1221"/>
      <c r="CP20" s="1221"/>
      <c r="CQ20" s="1221"/>
      <c r="CR20" s="1221"/>
      <c r="CS20" s="1221"/>
      <c r="CT20" s="1221"/>
      <c r="CU20" s="1221"/>
      <c r="CV20" s="1221"/>
      <c r="CW20" s="1221"/>
      <c r="CX20" s="1221"/>
      <c r="CY20" s="1221"/>
      <c r="CZ20" s="1221"/>
      <c r="DA20" s="1221"/>
      <c r="DB20" s="1221"/>
      <c r="DC20" s="1221"/>
      <c r="DD20" s="1221"/>
      <c r="DE20" s="1221"/>
      <c r="DF20" s="1221"/>
      <c r="DG20" s="1221"/>
      <c r="DH20" s="1221"/>
      <c r="DI20" s="1221"/>
      <c r="DJ20" s="1221"/>
      <c r="DK20" s="1221"/>
      <c r="DL20" s="1221"/>
      <c r="DM20" s="1221"/>
      <c r="DN20" s="1221"/>
      <c r="DO20" s="1221"/>
      <c r="DP20" s="1221"/>
      <c r="DQ20" s="1221"/>
    </row>
    <row r="21" spans="1:121" ht="13.8">
      <c r="A21" s="1220"/>
      <c r="B21" s="1221"/>
      <c r="C21" s="1221"/>
      <c r="D21" s="1221"/>
      <c r="E21" s="1220"/>
      <c r="F21" s="1220"/>
      <c r="G21" s="1220"/>
      <c r="H21" s="1221"/>
      <c r="I21" s="1221"/>
      <c r="J21" s="1221"/>
      <c r="K21" s="1220"/>
      <c r="L21" s="1220"/>
      <c r="M21" s="1220"/>
      <c r="N21" s="1221"/>
      <c r="O21" s="1221"/>
      <c r="P21" s="1221"/>
      <c r="Q21" s="1220"/>
      <c r="R21" s="1220"/>
      <c r="S21" s="1220"/>
      <c r="T21" s="1221"/>
      <c r="U21" s="1221"/>
      <c r="V21" s="1221"/>
      <c r="W21" s="1221"/>
      <c r="X21" s="1221"/>
      <c r="Y21" s="1221"/>
      <c r="Z21" s="1221"/>
      <c r="AA21" s="1221"/>
      <c r="AB21" s="1221"/>
      <c r="AC21" s="1221"/>
      <c r="AD21" s="1221"/>
      <c r="AE21" s="1221"/>
      <c r="AF21" s="1221"/>
      <c r="AG21" s="1221"/>
      <c r="AH21" s="1221"/>
      <c r="AI21" s="1221"/>
      <c r="AJ21" s="1221"/>
      <c r="AK21" s="1221"/>
      <c r="AL21" s="1221"/>
      <c r="AM21" s="1221"/>
      <c r="AN21" s="1221"/>
      <c r="AO21" s="1221"/>
      <c r="AP21" s="1221"/>
      <c r="AQ21" s="1221"/>
      <c r="AR21" s="1221"/>
      <c r="AS21" s="1221"/>
      <c r="AT21" s="1221"/>
      <c r="AU21" s="1221"/>
      <c r="AV21" s="1221"/>
      <c r="AW21" s="1221"/>
      <c r="AX21" s="1221"/>
      <c r="AY21" s="1221"/>
      <c r="AZ21" s="1221"/>
      <c r="BA21" s="1221"/>
      <c r="BB21" s="1221"/>
      <c r="BC21" s="1221"/>
      <c r="BD21" s="1221"/>
      <c r="BE21" s="1221"/>
      <c r="BF21" s="1221"/>
      <c r="BG21" s="1221"/>
      <c r="BH21" s="1221"/>
      <c r="BI21" s="1221"/>
      <c r="BJ21" s="1221"/>
      <c r="BK21" s="1221"/>
      <c r="BL21" s="1221"/>
      <c r="BM21" s="1221"/>
      <c r="BN21" s="1221"/>
      <c r="BO21" s="1221"/>
      <c r="BP21" s="1221"/>
      <c r="BQ21" s="1221"/>
      <c r="BR21" s="1221"/>
      <c r="BS21" s="1221"/>
      <c r="BT21" s="1221"/>
      <c r="BU21" s="1221"/>
      <c r="BV21" s="1221"/>
      <c r="BW21" s="1221"/>
      <c r="BX21" s="1221"/>
      <c r="BY21" s="1221"/>
      <c r="BZ21" s="1221"/>
      <c r="CA21" s="1221"/>
      <c r="CB21" s="1221"/>
      <c r="CC21" s="1221"/>
      <c r="CD21" s="1221"/>
      <c r="CE21" s="1221"/>
      <c r="CF21" s="1221"/>
      <c r="CG21" s="1221"/>
      <c r="CH21" s="1221"/>
      <c r="CI21" s="1221"/>
      <c r="CJ21" s="1221"/>
      <c r="CK21" s="1221"/>
      <c r="CL21" s="1221"/>
      <c r="CM21" s="1221"/>
      <c r="CN21" s="1221"/>
      <c r="CO21" s="1221"/>
      <c r="CP21" s="1221"/>
      <c r="CQ21" s="1221"/>
      <c r="CR21" s="1221"/>
      <c r="CS21" s="1221"/>
      <c r="CT21" s="1221"/>
      <c r="CU21" s="1221"/>
      <c r="CV21" s="1221"/>
      <c r="CW21" s="1221"/>
      <c r="CX21" s="1221"/>
      <c r="CY21" s="1221"/>
      <c r="CZ21" s="1221"/>
      <c r="DA21" s="1221"/>
      <c r="DB21" s="1221"/>
      <c r="DC21" s="1221"/>
      <c r="DD21" s="1221"/>
      <c r="DE21" s="1221"/>
      <c r="DF21" s="1221"/>
      <c r="DG21" s="1221"/>
      <c r="DH21" s="1221"/>
      <c r="DI21" s="1221"/>
      <c r="DJ21" s="1221"/>
      <c r="DK21" s="1221"/>
      <c r="DL21" s="1221"/>
      <c r="DM21" s="1221"/>
      <c r="DN21" s="1221"/>
      <c r="DO21" s="1221"/>
      <c r="DP21" s="1221"/>
      <c r="DQ21" s="1221"/>
    </row>
    <row r="22" spans="1:121" ht="13.8">
      <c r="A22" s="1220"/>
      <c r="B22" s="1221"/>
      <c r="C22" s="1221"/>
      <c r="D22" s="1221"/>
      <c r="E22" s="1220"/>
      <c r="F22" s="1220"/>
      <c r="G22" s="1220"/>
      <c r="H22" s="1221"/>
      <c r="I22" s="1221"/>
      <c r="J22" s="1221"/>
      <c r="K22" s="1220"/>
      <c r="L22" s="1220"/>
      <c r="M22" s="1220"/>
      <c r="N22" s="1221"/>
      <c r="O22" s="1221"/>
      <c r="P22" s="1221"/>
      <c r="Q22" s="1220"/>
      <c r="R22" s="1220"/>
      <c r="S22" s="1220"/>
      <c r="T22" s="1221"/>
      <c r="U22" s="1221"/>
      <c r="V22" s="1221"/>
      <c r="W22" s="1221"/>
      <c r="X22" s="1221"/>
      <c r="Y22" s="1221"/>
      <c r="Z22" s="1221"/>
      <c r="AA22" s="1221"/>
      <c r="AB22" s="1221"/>
      <c r="AC22" s="1221"/>
      <c r="AD22" s="1221"/>
      <c r="AE22" s="1221"/>
      <c r="AF22" s="1221"/>
      <c r="AG22" s="1221"/>
      <c r="AH22" s="1221"/>
      <c r="AI22" s="1221"/>
      <c r="AJ22" s="1221"/>
      <c r="AK22" s="1221"/>
      <c r="AL22" s="1221"/>
      <c r="AM22" s="1221"/>
      <c r="AN22" s="1221"/>
      <c r="AO22" s="1221"/>
      <c r="AP22" s="1221"/>
      <c r="AQ22" s="1221"/>
      <c r="AR22" s="1221"/>
      <c r="AS22" s="1221"/>
      <c r="AT22" s="1221"/>
      <c r="AU22" s="1221"/>
      <c r="AV22" s="1221"/>
      <c r="AW22" s="1221"/>
      <c r="AX22" s="1221"/>
      <c r="AY22" s="1221"/>
      <c r="AZ22" s="1221"/>
      <c r="BA22" s="1221"/>
      <c r="BB22" s="1221"/>
      <c r="BC22" s="1221"/>
      <c r="BD22" s="1221"/>
      <c r="BE22" s="1221"/>
      <c r="BF22" s="1221"/>
      <c r="BG22" s="1221"/>
      <c r="BH22" s="1221"/>
      <c r="BI22" s="1221"/>
      <c r="BJ22" s="1221"/>
      <c r="BK22" s="1221"/>
      <c r="BL22" s="1221"/>
      <c r="BM22" s="1221"/>
      <c r="BN22" s="1221"/>
      <c r="BO22" s="1221"/>
      <c r="BP22" s="1221"/>
      <c r="BQ22" s="1221"/>
      <c r="BR22" s="1221"/>
      <c r="BS22" s="1221"/>
      <c r="BT22" s="1221"/>
      <c r="BU22" s="1221"/>
      <c r="BV22" s="1221"/>
      <c r="BW22" s="1221"/>
      <c r="BX22" s="1221"/>
      <c r="BY22" s="1221"/>
      <c r="BZ22" s="1221"/>
      <c r="CA22" s="1221"/>
      <c r="CB22" s="1221"/>
      <c r="CC22" s="1221"/>
      <c r="CD22" s="1221"/>
      <c r="CE22" s="1221"/>
      <c r="CF22" s="1221"/>
      <c r="CG22" s="1221"/>
      <c r="CH22" s="1221"/>
      <c r="CI22" s="1221"/>
      <c r="CJ22" s="1221"/>
      <c r="CK22" s="1221"/>
      <c r="CL22" s="1221"/>
      <c r="CM22" s="1221"/>
      <c r="CN22" s="1221"/>
      <c r="CO22" s="1221"/>
      <c r="CP22" s="1221"/>
      <c r="CQ22" s="1221"/>
      <c r="CR22" s="1221"/>
      <c r="CS22" s="1221"/>
      <c r="CT22" s="1221"/>
      <c r="CU22" s="1221"/>
      <c r="CV22" s="1221"/>
      <c r="CW22" s="1221"/>
      <c r="CX22" s="1221"/>
      <c r="CY22" s="1221"/>
      <c r="CZ22" s="1221"/>
      <c r="DA22" s="1221"/>
      <c r="DB22" s="1221"/>
      <c r="DC22" s="1221"/>
      <c r="DD22" s="1221"/>
      <c r="DE22" s="1221"/>
      <c r="DF22" s="1221"/>
      <c r="DG22" s="1221"/>
      <c r="DH22" s="1221"/>
      <c r="DI22" s="1221"/>
      <c r="DJ22" s="1221"/>
      <c r="DK22" s="1221"/>
      <c r="DL22" s="1221"/>
      <c r="DM22" s="1221"/>
      <c r="DN22" s="1221"/>
      <c r="DO22" s="1221"/>
      <c r="DP22" s="1221"/>
      <c r="DQ22" s="1221"/>
    </row>
    <row r="23" spans="1:121" ht="13.8">
      <c r="A23" s="1220"/>
      <c r="B23" s="1221"/>
      <c r="C23" s="1221"/>
      <c r="D23" s="1221"/>
      <c r="E23" s="1220"/>
      <c r="F23" s="1220"/>
      <c r="G23" s="1220"/>
      <c r="H23" s="1221"/>
      <c r="I23" s="1221"/>
      <c r="J23" s="1221"/>
      <c r="K23" s="1220"/>
      <c r="L23" s="1220"/>
      <c r="M23" s="1220"/>
      <c r="N23" s="1221"/>
      <c r="O23" s="1221"/>
      <c r="P23" s="1221"/>
      <c r="Q23" s="1220"/>
      <c r="R23" s="1220"/>
      <c r="S23" s="1220"/>
      <c r="T23" s="1221"/>
      <c r="U23" s="1221"/>
      <c r="V23" s="1221"/>
      <c r="W23" s="1221"/>
      <c r="X23" s="1221"/>
      <c r="Y23" s="1221"/>
      <c r="Z23" s="1221"/>
      <c r="AA23" s="1221"/>
      <c r="AB23" s="1221"/>
      <c r="AC23" s="1221"/>
      <c r="AD23" s="1221"/>
      <c r="AE23" s="1221"/>
      <c r="AF23" s="1221"/>
      <c r="AG23" s="1221"/>
      <c r="AH23" s="1221"/>
      <c r="AI23" s="1221"/>
      <c r="AJ23" s="1221"/>
      <c r="AK23" s="1221"/>
      <c r="AL23" s="1221"/>
      <c r="AM23" s="1221"/>
      <c r="AN23" s="1221"/>
      <c r="AO23" s="1221"/>
      <c r="AP23" s="1221"/>
      <c r="AQ23" s="1221"/>
      <c r="AR23" s="1221"/>
      <c r="AS23" s="1221"/>
      <c r="AT23" s="1221"/>
      <c r="AU23" s="1221"/>
      <c r="AV23" s="1221"/>
      <c r="AW23" s="1221"/>
      <c r="AX23" s="1221"/>
      <c r="AY23" s="1221"/>
      <c r="AZ23" s="1221"/>
      <c r="BA23" s="1221"/>
      <c r="BB23" s="1221"/>
      <c r="BC23" s="1221"/>
      <c r="BD23" s="1221"/>
      <c r="BE23" s="1221"/>
      <c r="BF23" s="1221"/>
      <c r="BG23" s="1221"/>
      <c r="BH23" s="1221"/>
      <c r="BI23" s="1221"/>
      <c r="BJ23" s="1221"/>
      <c r="BK23" s="1221"/>
      <c r="BL23" s="1221"/>
      <c r="BM23" s="1221"/>
      <c r="BN23" s="1221"/>
      <c r="BO23" s="1221"/>
      <c r="BP23" s="1221"/>
      <c r="BQ23" s="1221"/>
      <c r="BR23" s="1221"/>
      <c r="BS23" s="1221"/>
      <c r="BT23" s="1221"/>
      <c r="BU23" s="1221"/>
      <c r="BV23" s="1221"/>
      <c r="BW23" s="1221"/>
      <c r="BX23" s="1221"/>
      <c r="BY23" s="1221"/>
      <c r="BZ23" s="1221"/>
      <c r="CA23" s="1221"/>
      <c r="CB23" s="1221"/>
      <c r="CC23" s="1221"/>
      <c r="CD23" s="1221"/>
      <c r="CE23" s="1221"/>
      <c r="CF23" s="1221"/>
      <c r="CG23" s="1221"/>
      <c r="CH23" s="1221"/>
      <c r="CI23" s="1221"/>
      <c r="CJ23" s="1221"/>
      <c r="CK23" s="1221"/>
      <c r="CL23" s="1221"/>
      <c r="CM23" s="1221"/>
      <c r="CN23" s="1221"/>
      <c r="CO23" s="1221"/>
      <c r="CP23" s="1221"/>
      <c r="CQ23" s="1221"/>
      <c r="CR23" s="1221"/>
      <c r="CS23" s="1221"/>
      <c r="CT23" s="1221"/>
      <c r="CU23" s="1221"/>
      <c r="CV23" s="1221"/>
      <c r="CW23" s="1221"/>
      <c r="CX23" s="1221"/>
      <c r="CY23" s="1221"/>
      <c r="CZ23" s="1221"/>
      <c r="DA23" s="1221"/>
      <c r="DB23" s="1221"/>
      <c r="DC23" s="1221"/>
      <c r="DD23" s="1221"/>
      <c r="DE23" s="1221"/>
      <c r="DF23" s="1221"/>
      <c r="DG23" s="1221"/>
      <c r="DH23" s="1221"/>
      <c r="DI23" s="1221"/>
      <c r="DJ23" s="1221"/>
      <c r="DK23" s="1221"/>
      <c r="DL23" s="1221"/>
      <c r="DM23" s="1221"/>
      <c r="DN23" s="1221"/>
      <c r="DO23" s="1221"/>
      <c r="DP23" s="1221"/>
      <c r="DQ23" s="1221"/>
    </row>
    <row r="24" spans="1:121" ht="13.8">
      <c r="A24" s="1220"/>
      <c r="B24" s="1221"/>
      <c r="C24" s="1221"/>
      <c r="D24" s="1221"/>
      <c r="E24" s="1220"/>
      <c r="F24" s="1220"/>
      <c r="G24" s="1220"/>
      <c r="H24" s="1221"/>
      <c r="I24" s="1221"/>
      <c r="J24" s="1221"/>
      <c r="K24" s="1220"/>
      <c r="L24" s="1220"/>
      <c r="M24" s="1220"/>
      <c r="N24" s="1221"/>
      <c r="O24" s="1221"/>
      <c r="P24" s="1221"/>
      <c r="Q24" s="1220"/>
      <c r="R24" s="1220"/>
      <c r="S24" s="1220"/>
      <c r="T24" s="1221"/>
      <c r="U24" s="1221"/>
      <c r="V24" s="1221"/>
      <c r="W24" s="1221"/>
      <c r="X24" s="1221"/>
      <c r="Y24" s="1221"/>
      <c r="Z24" s="1221"/>
      <c r="AA24" s="1221"/>
      <c r="AB24" s="1221"/>
      <c r="AC24" s="1221"/>
      <c r="AD24" s="1221"/>
      <c r="AE24" s="1221"/>
      <c r="AF24" s="1221"/>
      <c r="AG24" s="1221"/>
      <c r="AH24" s="1221"/>
      <c r="AI24" s="1221"/>
      <c r="AJ24" s="1221"/>
      <c r="AK24" s="1221"/>
      <c r="AL24" s="1221"/>
      <c r="AM24" s="1221"/>
      <c r="AN24" s="1221"/>
      <c r="AO24" s="1221"/>
      <c r="AP24" s="1221"/>
      <c r="AQ24" s="1221"/>
      <c r="AR24" s="1221"/>
      <c r="AS24" s="1221"/>
      <c r="AT24" s="1221"/>
      <c r="AU24" s="1221"/>
      <c r="AV24" s="1221"/>
      <c r="AW24" s="1221"/>
      <c r="AX24" s="1221"/>
      <c r="AY24" s="1221"/>
      <c r="AZ24" s="1221"/>
      <c r="BA24" s="1221"/>
      <c r="BB24" s="1221"/>
      <c r="BC24" s="1221"/>
      <c r="BD24" s="1221"/>
      <c r="BE24" s="1221"/>
      <c r="BF24" s="1221"/>
      <c r="BG24" s="1221"/>
      <c r="BH24" s="1221"/>
      <c r="BI24" s="1221"/>
      <c r="BJ24" s="1221"/>
      <c r="BK24" s="1221"/>
      <c r="BL24" s="1221"/>
      <c r="BM24" s="1221"/>
      <c r="BN24" s="1221"/>
      <c r="BO24" s="1221"/>
      <c r="BP24" s="1221"/>
      <c r="BQ24" s="1221"/>
      <c r="BR24" s="1221"/>
      <c r="BS24" s="1221"/>
      <c r="BT24" s="1221"/>
      <c r="BU24" s="1221"/>
      <c r="BV24" s="1221"/>
      <c r="BW24" s="1221"/>
      <c r="BX24" s="1221"/>
      <c r="BY24" s="1221"/>
      <c r="BZ24" s="1221"/>
      <c r="CA24" s="1221"/>
      <c r="CB24" s="1221"/>
      <c r="CC24" s="1221"/>
      <c r="CD24" s="1221"/>
      <c r="CE24" s="1221"/>
      <c r="CF24" s="1221"/>
      <c r="CG24" s="1221"/>
      <c r="CH24" s="1221"/>
      <c r="CI24" s="1221"/>
      <c r="CJ24" s="1221"/>
      <c r="CK24" s="1221"/>
      <c r="CL24" s="1221"/>
      <c r="CM24" s="1221"/>
      <c r="CN24" s="1221"/>
      <c r="CO24" s="1221"/>
      <c r="CP24" s="1221"/>
      <c r="CQ24" s="1221"/>
      <c r="CR24" s="1221"/>
      <c r="CS24" s="1221"/>
      <c r="CT24" s="1221"/>
      <c r="CU24" s="1221"/>
      <c r="CV24" s="1221"/>
      <c r="CW24" s="1221"/>
      <c r="CX24" s="1221"/>
      <c r="CY24" s="1221"/>
      <c r="CZ24" s="1221"/>
      <c r="DA24" s="1221"/>
      <c r="DB24" s="1221"/>
      <c r="DC24" s="1221"/>
      <c r="DD24" s="1221"/>
      <c r="DE24" s="1221"/>
      <c r="DF24" s="1221"/>
      <c r="DG24" s="1221"/>
      <c r="DH24" s="1221"/>
      <c r="DI24" s="1221"/>
      <c r="DJ24" s="1221"/>
      <c r="DK24" s="1221"/>
      <c r="DL24" s="1221"/>
      <c r="DM24" s="1221"/>
      <c r="DN24" s="1221"/>
      <c r="DO24" s="1221"/>
      <c r="DP24" s="1221"/>
      <c r="DQ24" s="1221"/>
    </row>
    <row r="25" spans="1:121" ht="13.8">
      <c r="A25" s="1220"/>
      <c r="B25" s="1221"/>
      <c r="C25" s="1221"/>
      <c r="D25" s="1221"/>
      <c r="E25" s="1220"/>
      <c r="F25" s="1220"/>
      <c r="G25" s="1220"/>
      <c r="H25" s="1221"/>
      <c r="I25" s="1221"/>
      <c r="J25" s="1221"/>
      <c r="K25" s="1220"/>
      <c r="L25" s="1220"/>
      <c r="M25" s="1220"/>
      <c r="N25" s="1221"/>
      <c r="O25" s="1221"/>
      <c r="P25" s="1221"/>
      <c r="Q25" s="1220"/>
      <c r="R25" s="1220"/>
      <c r="S25" s="1220"/>
      <c r="T25" s="1221"/>
      <c r="U25" s="1221"/>
      <c r="V25" s="1221"/>
      <c r="W25" s="1221"/>
      <c r="X25" s="1221"/>
      <c r="Y25" s="1221"/>
      <c r="Z25" s="1221"/>
      <c r="AA25" s="1221"/>
      <c r="AB25" s="1221"/>
      <c r="AC25" s="1221"/>
      <c r="AD25" s="1221"/>
      <c r="AE25" s="1221"/>
      <c r="AF25" s="1221"/>
      <c r="AG25" s="1221"/>
      <c r="AH25" s="1221"/>
      <c r="AI25" s="1221"/>
      <c r="AJ25" s="1221"/>
      <c r="AK25" s="1221"/>
      <c r="AL25" s="1221"/>
      <c r="AM25" s="1221"/>
      <c r="AN25" s="1221"/>
      <c r="AO25" s="1221"/>
      <c r="AP25" s="1221"/>
      <c r="AQ25" s="1221"/>
      <c r="AR25" s="1221"/>
      <c r="AS25" s="1221"/>
      <c r="AT25" s="1221"/>
      <c r="AU25" s="1221"/>
      <c r="AV25" s="1221"/>
      <c r="AW25" s="1221"/>
      <c r="AX25" s="1221"/>
      <c r="AY25" s="1221"/>
      <c r="AZ25" s="1221"/>
      <c r="BA25" s="1221"/>
      <c r="BB25" s="1221"/>
      <c r="BC25" s="1221"/>
      <c r="BD25" s="1221"/>
      <c r="BE25" s="1221"/>
      <c r="BF25" s="1221"/>
      <c r="BG25" s="1221"/>
      <c r="BH25" s="1221"/>
      <c r="BI25" s="1221"/>
      <c r="BJ25" s="1221"/>
      <c r="BK25" s="1221"/>
      <c r="BL25" s="1221"/>
      <c r="BM25" s="1221"/>
      <c r="BN25" s="1221"/>
      <c r="BO25" s="1221"/>
      <c r="BP25" s="1221"/>
      <c r="BQ25" s="1221"/>
      <c r="BR25" s="1221"/>
      <c r="BS25" s="1221"/>
      <c r="BT25" s="1221"/>
      <c r="BU25" s="1221"/>
      <c r="BV25" s="1221"/>
      <c r="BW25" s="1221"/>
      <c r="BX25" s="1221"/>
      <c r="BY25" s="1221"/>
      <c r="BZ25" s="1221"/>
      <c r="CA25" s="1221"/>
      <c r="CB25" s="1221"/>
      <c r="CC25" s="1221"/>
      <c r="CD25" s="1221"/>
      <c r="CE25" s="1221"/>
      <c r="CF25" s="1221"/>
      <c r="CG25" s="1221"/>
      <c r="CH25" s="1221"/>
      <c r="CI25" s="1221"/>
      <c r="CJ25" s="1221"/>
      <c r="CK25" s="1221"/>
      <c r="CL25" s="1221"/>
      <c r="CM25" s="1221"/>
      <c r="CN25" s="1221"/>
      <c r="CO25" s="1221"/>
      <c r="CP25" s="1221"/>
      <c r="CQ25" s="1221"/>
      <c r="CR25" s="1221"/>
      <c r="CS25" s="1221"/>
      <c r="CT25" s="1221"/>
      <c r="CU25" s="1221"/>
      <c r="CV25" s="1221"/>
      <c r="CW25" s="1221"/>
      <c r="CX25" s="1221"/>
      <c r="CY25" s="1221"/>
      <c r="CZ25" s="1221"/>
      <c r="DA25" s="1221"/>
      <c r="DB25" s="1221"/>
      <c r="DC25" s="1221"/>
      <c r="DD25" s="1221"/>
      <c r="DE25" s="1221"/>
      <c r="DF25" s="1221"/>
      <c r="DG25" s="1221"/>
      <c r="DH25" s="1221"/>
      <c r="DI25" s="1221"/>
      <c r="DJ25" s="1221"/>
      <c r="DK25" s="1221"/>
      <c r="DL25" s="1221"/>
      <c r="DM25" s="1221"/>
      <c r="DN25" s="1221"/>
      <c r="DO25" s="1221"/>
      <c r="DP25" s="1221"/>
      <c r="DQ25" s="1221"/>
    </row>
    <row r="26" spans="1:121" ht="13.8">
      <c r="A26" s="1223"/>
      <c r="B26" s="1224"/>
      <c r="C26" s="1224"/>
      <c r="D26" s="1224"/>
      <c r="E26" s="1223"/>
      <c r="F26" s="1223"/>
      <c r="G26" s="1223"/>
      <c r="H26" s="1224"/>
      <c r="I26" s="1224"/>
      <c r="J26" s="1224"/>
      <c r="K26" s="1223"/>
      <c r="L26" s="1223"/>
      <c r="M26" s="1223"/>
      <c r="N26" s="1224"/>
      <c r="O26" s="1224"/>
      <c r="P26" s="1224"/>
      <c r="Q26" s="1223"/>
      <c r="R26" s="1223"/>
      <c r="S26" s="1223"/>
      <c r="T26" s="1224"/>
      <c r="U26" s="1224"/>
      <c r="V26" s="1224"/>
      <c r="W26" s="1224"/>
      <c r="X26" s="1224"/>
      <c r="Y26" s="1224"/>
      <c r="Z26" s="1224"/>
      <c r="AA26" s="1224"/>
      <c r="AB26" s="1224"/>
      <c r="AC26" s="1224"/>
      <c r="AD26" s="1224"/>
      <c r="AE26" s="1224"/>
      <c r="AF26" s="1224"/>
      <c r="AG26" s="1224"/>
      <c r="AH26" s="1224"/>
      <c r="AI26" s="1224"/>
      <c r="AJ26" s="1224"/>
      <c r="AK26" s="1224"/>
      <c r="AL26" s="1224"/>
      <c r="AM26" s="1224"/>
      <c r="AN26" s="1224"/>
      <c r="AO26" s="1224"/>
      <c r="AP26" s="1224"/>
      <c r="AQ26" s="1224"/>
      <c r="AR26" s="1224"/>
      <c r="AS26" s="1224"/>
      <c r="AT26" s="1224"/>
      <c r="AU26" s="1224"/>
      <c r="AV26" s="1224"/>
      <c r="AW26" s="1224"/>
      <c r="AX26" s="1224"/>
      <c r="AY26" s="1224"/>
      <c r="AZ26" s="1224"/>
      <c r="BA26" s="1224"/>
      <c r="BB26" s="1224"/>
      <c r="BC26" s="1224"/>
      <c r="BD26" s="1224"/>
      <c r="BE26" s="1224"/>
      <c r="BF26" s="1224"/>
      <c r="BG26" s="1224"/>
      <c r="BH26" s="1224"/>
      <c r="BI26" s="1224"/>
      <c r="BJ26" s="1224"/>
      <c r="BK26" s="1224"/>
      <c r="BL26" s="1224"/>
      <c r="BM26" s="1224"/>
      <c r="BN26" s="1224"/>
      <c r="BO26" s="1224"/>
      <c r="BP26" s="1224"/>
      <c r="BQ26" s="1224"/>
      <c r="BR26" s="1224"/>
      <c r="BS26" s="1224"/>
      <c r="BT26" s="1224"/>
      <c r="BU26" s="1224"/>
      <c r="BV26" s="1224"/>
      <c r="BW26" s="1224"/>
      <c r="BX26" s="1224"/>
      <c r="BY26" s="1224"/>
      <c r="BZ26" s="1224"/>
      <c r="CA26" s="1224"/>
      <c r="CB26" s="1224"/>
      <c r="CC26" s="1224"/>
      <c r="CD26" s="1224"/>
      <c r="CE26" s="1224"/>
      <c r="CF26" s="1224"/>
      <c r="CG26" s="1224"/>
      <c r="CH26" s="1224"/>
      <c r="CI26" s="1224"/>
      <c r="CJ26" s="1224"/>
      <c r="CK26" s="1224"/>
      <c r="CL26" s="1224"/>
      <c r="CM26" s="1224"/>
      <c r="CN26" s="1224"/>
      <c r="CO26" s="1224"/>
      <c r="CP26" s="1224"/>
      <c r="CQ26" s="1224"/>
      <c r="CR26" s="1224"/>
      <c r="CS26" s="1224"/>
      <c r="CT26" s="1224"/>
      <c r="CU26" s="1224"/>
      <c r="CV26" s="1224"/>
      <c r="CW26" s="1224"/>
      <c r="CX26" s="1224"/>
      <c r="CY26" s="1224"/>
      <c r="CZ26" s="1224"/>
      <c r="DA26" s="1224"/>
      <c r="DB26" s="1224"/>
      <c r="DC26" s="1224"/>
      <c r="DD26" s="1224"/>
      <c r="DE26" s="1224"/>
      <c r="DF26" s="1224"/>
      <c r="DG26" s="1224"/>
      <c r="DH26" s="1224"/>
      <c r="DI26" s="1224"/>
      <c r="DJ26" s="1224"/>
      <c r="DK26" s="1224"/>
      <c r="DL26" s="1224"/>
      <c r="DM26" s="1224"/>
      <c r="DN26" s="1224"/>
      <c r="DO26" s="1224"/>
      <c r="DP26" s="1224"/>
      <c r="DQ26" s="1224"/>
    </row>
    <row r="27" spans="1:121" s="1227" customFormat="1" ht="13.8">
      <c r="A27" s="1225"/>
      <c r="B27" s="1226"/>
      <c r="C27" s="1226"/>
      <c r="D27" s="1226"/>
      <c r="E27" s="1225"/>
      <c r="F27" s="1225"/>
      <c r="G27" s="1225"/>
      <c r="H27" s="1226"/>
      <c r="I27" s="1226"/>
      <c r="J27" s="1226"/>
      <c r="K27" s="1225"/>
      <c r="L27" s="1225"/>
      <c r="M27" s="1225"/>
      <c r="N27" s="1226"/>
      <c r="O27" s="1226"/>
      <c r="P27" s="1226"/>
      <c r="Q27" s="1225"/>
      <c r="R27" s="1225"/>
      <c r="S27" s="1225"/>
      <c r="T27" s="1226"/>
      <c r="U27" s="1226"/>
      <c r="V27" s="1226"/>
      <c r="W27" s="1226"/>
      <c r="X27" s="1226"/>
      <c r="Y27" s="1226"/>
      <c r="Z27" s="1226"/>
      <c r="AA27" s="1226"/>
      <c r="AB27" s="1226"/>
      <c r="AC27" s="1226"/>
      <c r="AD27" s="1226"/>
      <c r="AE27" s="1226"/>
      <c r="AF27" s="1226"/>
      <c r="AG27" s="1226"/>
      <c r="AH27" s="1226"/>
      <c r="AI27" s="1226"/>
      <c r="AJ27" s="1226"/>
      <c r="AK27" s="1226"/>
      <c r="AL27" s="1226"/>
      <c r="AM27" s="1226"/>
      <c r="AN27" s="1226"/>
      <c r="AO27" s="1226"/>
      <c r="AP27" s="1226"/>
      <c r="AQ27" s="1226"/>
      <c r="AR27" s="1226"/>
      <c r="AS27" s="1226"/>
      <c r="AT27" s="1226"/>
      <c r="AU27" s="1226"/>
      <c r="AV27" s="1226"/>
      <c r="AW27" s="1226"/>
      <c r="AX27" s="1226"/>
      <c r="AY27" s="1226"/>
      <c r="AZ27" s="1226"/>
      <c r="BA27" s="1226"/>
      <c r="BB27" s="1226"/>
      <c r="BC27" s="1226"/>
      <c r="BD27" s="1226"/>
      <c r="BE27" s="1226"/>
      <c r="BF27" s="1226"/>
      <c r="BG27" s="1226"/>
      <c r="BH27" s="1226"/>
      <c r="BI27" s="1226"/>
      <c r="BJ27" s="1226"/>
      <c r="BK27" s="1226"/>
      <c r="BL27" s="1226"/>
      <c r="BM27" s="1226"/>
      <c r="BN27" s="1226"/>
      <c r="BO27" s="1226"/>
      <c r="BP27" s="1226"/>
      <c r="BQ27" s="1226"/>
      <c r="BR27" s="1226"/>
      <c r="BS27" s="1226"/>
      <c r="BT27" s="1226"/>
      <c r="BU27" s="1226"/>
      <c r="BV27" s="1226"/>
      <c r="BW27" s="1226"/>
      <c r="BX27" s="1226"/>
      <c r="BY27" s="1226"/>
      <c r="BZ27" s="1226"/>
      <c r="CA27" s="1226"/>
      <c r="CB27" s="1226"/>
      <c r="CC27" s="1226"/>
      <c r="CD27" s="1226"/>
      <c r="CE27" s="1226"/>
      <c r="CF27" s="1226"/>
      <c r="CG27" s="1226"/>
      <c r="CH27" s="1226"/>
      <c r="CI27" s="1226"/>
      <c r="CJ27" s="1226"/>
      <c r="CK27" s="1226"/>
      <c r="CL27" s="1226"/>
      <c r="CM27" s="1226"/>
      <c r="CN27" s="1226"/>
      <c r="CO27" s="1226"/>
      <c r="CP27" s="1226"/>
      <c r="CQ27" s="1226"/>
      <c r="CR27" s="1226"/>
      <c r="CS27" s="1226"/>
      <c r="CT27" s="1226"/>
      <c r="CU27" s="1226"/>
      <c r="CV27" s="1226"/>
      <c r="CW27" s="1226"/>
      <c r="CX27" s="1226"/>
      <c r="CY27" s="1226"/>
      <c r="CZ27" s="1226"/>
      <c r="DA27" s="1226"/>
      <c r="DB27" s="1226"/>
      <c r="DC27" s="1226"/>
      <c r="DD27" s="1226"/>
      <c r="DE27" s="1226"/>
      <c r="DF27" s="1226"/>
      <c r="DG27" s="1226"/>
      <c r="DH27" s="1226"/>
      <c r="DI27" s="1226"/>
      <c r="DJ27" s="1226"/>
      <c r="DK27" s="1226"/>
      <c r="DL27" s="1226"/>
      <c r="DM27" s="1226"/>
      <c r="DN27" s="1226"/>
      <c r="DO27" s="1226"/>
      <c r="DP27" s="1226"/>
      <c r="DQ27" s="1226"/>
    </row>
    <row r="28" spans="1:121" s="1227" customFormat="1" ht="13.8">
      <c r="A28" s="1225"/>
      <c r="B28" s="1226"/>
      <c r="C28" s="1226"/>
      <c r="D28" s="1226"/>
      <c r="E28" s="1225"/>
      <c r="F28" s="1225"/>
      <c r="G28" s="1225"/>
      <c r="H28" s="1226"/>
      <c r="I28" s="1226"/>
      <c r="J28" s="1226"/>
      <c r="K28" s="1225"/>
      <c r="L28" s="1225"/>
      <c r="M28" s="1225"/>
      <c r="N28" s="1226"/>
      <c r="O28" s="1226"/>
      <c r="P28" s="1226"/>
      <c r="Q28" s="1225"/>
      <c r="R28" s="1225"/>
      <c r="S28" s="1225"/>
      <c r="T28" s="1226"/>
      <c r="U28" s="1226"/>
      <c r="V28" s="1226"/>
      <c r="W28" s="1226"/>
      <c r="X28" s="1226"/>
      <c r="Y28" s="1226"/>
      <c r="Z28" s="1226"/>
      <c r="AA28" s="1226"/>
      <c r="AB28" s="1226"/>
      <c r="AC28" s="1226"/>
      <c r="AD28" s="1226"/>
      <c r="AE28" s="1226"/>
      <c r="AF28" s="1226"/>
      <c r="AG28" s="1226"/>
      <c r="AH28" s="1226"/>
      <c r="AI28" s="1226"/>
      <c r="AJ28" s="1226"/>
      <c r="AK28" s="1226"/>
      <c r="AL28" s="1226"/>
      <c r="AM28" s="1226"/>
      <c r="AN28" s="1226"/>
      <c r="AO28" s="1226"/>
      <c r="AP28" s="1226"/>
      <c r="AQ28" s="1226"/>
      <c r="AR28" s="1226"/>
      <c r="AS28" s="1226"/>
      <c r="AT28" s="1226"/>
      <c r="AU28" s="1226"/>
      <c r="AV28" s="1226"/>
      <c r="AW28" s="1226"/>
      <c r="AX28" s="1226"/>
      <c r="AY28" s="1226"/>
      <c r="AZ28" s="1226"/>
      <c r="BA28" s="1226"/>
      <c r="BB28" s="1226"/>
      <c r="BC28" s="1226"/>
      <c r="BD28" s="1226"/>
      <c r="BE28" s="1226"/>
      <c r="BF28" s="1226"/>
      <c r="BG28" s="1226"/>
      <c r="BH28" s="1226"/>
      <c r="BI28" s="1226"/>
      <c r="BJ28" s="1226"/>
      <c r="BK28" s="1226"/>
      <c r="BL28" s="1226"/>
      <c r="BM28" s="1226"/>
      <c r="BN28" s="1226"/>
      <c r="BO28" s="1226"/>
      <c r="BP28" s="1226"/>
      <c r="BQ28" s="1226"/>
      <c r="BR28" s="1226"/>
      <c r="BS28" s="1226"/>
      <c r="BT28" s="1226"/>
      <c r="BU28" s="1226"/>
      <c r="BV28" s="1226"/>
      <c r="BW28" s="1226"/>
      <c r="BX28" s="1226"/>
      <c r="BY28" s="1226"/>
      <c r="BZ28" s="1226"/>
      <c r="CA28" s="1226"/>
      <c r="CB28" s="1226"/>
      <c r="CC28" s="1226"/>
      <c r="CD28" s="1226"/>
      <c r="CE28" s="1226"/>
      <c r="CF28" s="1226"/>
      <c r="CG28" s="1226"/>
      <c r="CH28" s="1226"/>
      <c r="CI28" s="1226"/>
      <c r="CJ28" s="1226"/>
      <c r="CK28" s="1226"/>
      <c r="CL28" s="1226"/>
      <c r="CM28" s="1226"/>
      <c r="CN28" s="1226"/>
      <c r="CO28" s="1226"/>
      <c r="CP28" s="1226"/>
      <c r="CQ28" s="1226"/>
      <c r="CR28" s="1226"/>
      <c r="CS28" s="1226"/>
      <c r="CT28" s="1226"/>
      <c r="CU28" s="1226"/>
      <c r="CV28" s="1226"/>
      <c r="CW28" s="1226"/>
      <c r="CX28" s="1226"/>
      <c r="CY28" s="1226"/>
      <c r="CZ28" s="1226"/>
      <c r="DA28" s="1226"/>
      <c r="DB28" s="1226"/>
      <c r="DC28" s="1226"/>
      <c r="DD28" s="1226"/>
      <c r="DE28" s="1226"/>
      <c r="DF28" s="1226"/>
      <c r="DG28" s="1226"/>
      <c r="DH28" s="1226"/>
      <c r="DI28" s="1226"/>
      <c r="DJ28" s="1226"/>
      <c r="DK28" s="1226"/>
      <c r="DL28" s="1226"/>
      <c r="DM28" s="1226"/>
      <c r="DN28" s="1226"/>
      <c r="DO28" s="1226"/>
      <c r="DP28" s="1226"/>
      <c r="DQ28" s="1226"/>
    </row>
    <row r="29" spans="1:121" s="1233" customFormat="1" ht="13.8">
      <c r="A29" s="1231"/>
      <c r="B29" s="1232"/>
      <c r="C29" s="1232"/>
      <c r="D29" s="1232"/>
      <c r="E29" s="1231"/>
      <c r="F29" s="1231"/>
      <c r="G29" s="1231"/>
      <c r="H29" s="1232"/>
      <c r="I29" s="1232"/>
      <c r="J29" s="1232"/>
      <c r="K29" s="1231"/>
      <c r="L29" s="1231"/>
      <c r="M29" s="1231"/>
      <c r="N29" s="1232"/>
      <c r="O29" s="1232"/>
      <c r="P29" s="1232"/>
      <c r="Q29" s="1231"/>
      <c r="R29" s="1231"/>
      <c r="S29" s="1231"/>
      <c r="T29" s="1232"/>
      <c r="U29" s="1232"/>
      <c r="V29" s="1232"/>
      <c r="W29" s="1232"/>
      <c r="X29" s="1232"/>
      <c r="Y29" s="1232"/>
      <c r="Z29" s="1232"/>
      <c r="AA29" s="1232"/>
      <c r="AB29" s="1232"/>
      <c r="AC29" s="1232"/>
      <c r="AD29" s="1232"/>
      <c r="AE29" s="1232"/>
      <c r="AF29" s="1232"/>
      <c r="AG29" s="1232"/>
      <c r="AH29" s="1232"/>
      <c r="AI29" s="1232"/>
      <c r="AJ29" s="1232"/>
      <c r="AK29" s="1232"/>
      <c r="AL29" s="1232"/>
      <c r="AM29" s="1232"/>
      <c r="AN29" s="1232"/>
      <c r="AO29" s="1232"/>
      <c r="AP29" s="1232"/>
      <c r="AQ29" s="1232"/>
      <c r="AR29" s="1232"/>
      <c r="AS29" s="1232"/>
      <c r="AT29" s="1232"/>
      <c r="AU29" s="1232"/>
      <c r="AV29" s="1232"/>
      <c r="AW29" s="1232"/>
      <c r="AX29" s="1232"/>
      <c r="AY29" s="1232"/>
      <c r="AZ29" s="1232"/>
      <c r="BA29" s="1232"/>
      <c r="BB29" s="1232"/>
      <c r="BC29" s="1232"/>
      <c r="BD29" s="1232"/>
      <c r="BE29" s="1232"/>
      <c r="BF29" s="1232"/>
      <c r="BG29" s="1232"/>
      <c r="BH29" s="1232"/>
      <c r="BI29" s="1232"/>
      <c r="BJ29" s="1232"/>
      <c r="BK29" s="1232"/>
      <c r="BL29" s="1232"/>
      <c r="BM29" s="1232"/>
      <c r="BN29" s="1232"/>
      <c r="BO29" s="1232"/>
      <c r="BP29" s="1232"/>
      <c r="BQ29" s="1232"/>
      <c r="BR29" s="1232"/>
      <c r="BS29" s="1232"/>
      <c r="BT29" s="1232"/>
      <c r="BU29" s="1232"/>
      <c r="BV29" s="1232"/>
      <c r="BW29" s="1232"/>
      <c r="BX29" s="1232"/>
      <c r="BY29" s="1232"/>
      <c r="BZ29" s="1232"/>
      <c r="CA29" s="1232"/>
      <c r="CB29" s="1232"/>
      <c r="CC29" s="1232"/>
      <c r="CD29" s="1232"/>
      <c r="CE29" s="1232"/>
      <c r="CF29" s="1232"/>
      <c r="CG29" s="1232"/>
      <c r="CH29" s="1232"/>
      <c r="CI29" s="1232"/>
      <c r="CJ29" s="1232"/>
      <c r="CK29" s="1232"/>
      <c r="CL29" s="1232"/>
      <c r="CM29" s="1232"/>
      <c r="CN29" s="1232"/>
      <c r="CO29" s="1232"/>
      <c r="CP29" s="1232"/>
      <c r="CQ29" s="1232"/>
      <c r="CR29" s="1232"/>
      <c r="CS29" s="1232"/>
      <c r="CT29" s="1232"/>
      <c r="CU29" s="1232"/>
      <c r="CV29" s="1232"/>
      <c r="CW29" s="1232"/>
      <c r="CX29" s="1232"/>
      <c r="CY29" s="1232"/>
      <c r="CZ29" s="1232"/>
      <c r="DA29" s="1232"/>
      <c r="DB29" s="1232"/>
      <c r="DC29" s="1232"/>
      <c r="DD29" s="1232"/>
      <c r="DE29" s="1232"/>
      <c r="DF29" s="1232"/>
      <c r="DG29" s="1232"/>
      <c r="DH29" s="1232"/>
      <c r="DI29" s="1232"/>
      <c r="DJ29" s="1232"/>
      <c r="DK29" s="1232"/>
      <c r="DL29" s="1232"/>
      <c r="DM29" s="1232"/>
      <c r="DN29" s="1232"/>
      <c r="DO29" s="1232"/>
      <c r="DP29" s="1232"/>
      <c r="DQ29" s="1232"/>
    </row>
    <row r="30" spans="1:121" s="1233" customFormat="1" ht="15.75" customHeight="1"/>
    <row r="31" spans="1:121" s="1233" customFormat="1" ht="13.8">
      <c r="A31" s="1231"/>
      <c r="B31" s="1232"/>
      <c r="C31" s="1232"/>
      <c r="D31" s="1232"/>
      <c r="E31" s="1231"/>
      <c r="F31" s="1231"/>
      <c r="G31" s="1231"/>
      <c r="H31" s="1232"/>
      <c r="I31" s="1232"/>
      <c r="J31" s="1232"/>
      <c r="K31" s="1231"/>
      <c r="L31" s="1231"/>
      <c r="M31" s="1231"/>
      <c r="N31" s="1232"/>
      <c r="O31" s="1232"/>
      <c r="P31" s="1232"/>
      <c r="Q31" s="1231"/>
      <c r="R31" s="1231"/>
      <c r="S31" s="1231"/>
      <c r="T31" s="1232"/>
      <c r="U31" s="1232"/>
      <c r="V31" s="1232"/>
      <c r="W31" s="1232"/>
      <c r="X31" s="1232"/>
      <c r="Y31" s="1232"/>
      <c r="Z31" s="1232"/>
      <c r="AA31" s="1232"/>
      <c r="AB31" s="1232"/>
      <c r="AC31" s="1232"/>
      <c r="AD31" s="1232"/>
      <c r="AE31" s="1232"/>
      <c r="AF31" s="1232"/>
      <c r="AG31" s="1232"/>
      <c r="AH31" s="1232"/>
      <c r="AI31" s="1232"/>
      <c r="AJ31" s="1232"/>
      <c r="AK31" s="1232"/>
      <c r="AL31" s="1232"/>
      <c r="AM31" s="1232"/>
      <c r="AN31" s="1232"/>
      <c r="AO31" s="1232"/>
      <c r="AP31" s="1232"/>
      <c r="AQ31" s="1232"/>
      <c r="AR31" s="1232"/>
      <c r="AS31" s="1232"/>
      <c r="AT31" s="1232"/>
      <c r="AU31" s="1232"/>
      <c r="AV31" s="1232"/>
      <c r="AW31" s="1232"/>
      <c r="AX31" s="1232"/>
      <c r="AY31" s="1232"/>
      <c r="AZ31" s="1232"/>
      <c r="BA31" s="1232"/>
      <c r="BB31" s="1232"/>
      <c r="BC31" s="1232"/>
      <c r="BD31" s="1232"/>
      <c r="BE31" s="1232"/>
      <c r="BF31" s="1232"/>
      <c r="BG31" s="1232"/>
      <c r="BH31" s="1232"/>
      <c r="BI31" s="1232"/>
      <c r="BJ31" s="1232"/>
      <c r="BK31" s="1232"/>
      <c r="BL31" s="1232"/>
      <c r="BM31" s="1232"/>
      <c r="BN31" s="1232"/>
      <c r="BO31" s="1232"/>
      <c r="BP31" s="1232"/>
      <c r="BQ31" s="1232"/>
      <c r="BR31" s="1232"/>
      <c r="BS31" s="1232"/>
      <c r="BT31" s="1232"/>
      <c r="BU31" s="1232"/>
      <c r="BV31" s="1232"/>
      <c r="BW31" s="1232"/>
      <c r="BX31" s="1232"/>
      <c r="BY31" s="1232"/>
      <c r="BZ31" s="1232"/>
      <c r="CA31" s="1232"/>
      <c r="CB31" s="1232"/>
      <c r="CC31" s="1232"/>
      <c r="CD31" s="1232"/>
      <c r="CE31" s="1232"/>
      <c r="CF31" s="1232"/>
      <c r="CG31" s="1232"/>
      <c r="CH31" s="1232"/>
      <c r="CI31" s="1232"/>
      <c r="CJ31" s="1232"/>
      <c r="CK31" s="1232"/>
      <c r="CL31" s="1232"/>
      <c r="CM31" s="1232"/>
      <c r="CN31" s="1232"/>
      <c r="CO31" s="1232"/>
      <c r="CP31" s="1232"/>
      <c r="CQ31" s="1232"/>
      <c r="CR31" s="1232"/>
      <c r="CS31" s="1232"/>
      <c r="CT31" s="1232"/>
      <c r="CU31" s="1232"/>
      <c r="CV31" s="1232"/>
      <c r="CW31" s="1232"/>
      <c r="CX31" s="1232"/>
      <c r="CY31" s="1232"/>
      <c r="CZ31" s="1232"/>
      <c r="DA31" s="1232"/>
      <c r="DB31" s="1232"/>
      <c r="DC31" s="1232"/>
      <c r="DD31" s="1232"/>
      <c r="DE31" s="1232"/>
      <c r="DF31" s="1232"/>
      <c r="DG31" s="1232"/>
      <c r="DH31" s="1232"/>
      <c r="DI31" s="1232"/>
      <c r="DJ31" s="1232"/>
      <c r="DK31" s="1232"/>
      <c r="DL31" s="1232"/>
      <c r="DM31" s="1232"/>
      <c r="DN31" s="1232"/>
      <c r="DO31" s="1232"/>
      <c r="DP31" s="1232"/>
      <c r="DQ31" s="1232"/>
    </row>
    <row r="32" spans="1:121" s="1233" customFormat="1" ht="13.8">
      <c r="A32" s="1231" t="s">
        <v>733</v>
      </c>
      <c r="B32" s="1232"/>
      <c r="C32" s="1232"/>
      <c r="D32" s="1232" t="s">
        <v>734</v>
      </c>
      <c r="E32" s="1231"/>
      <c r="F32" s="1231"/>
      <c r="G32" s="1231"/>
      <c r="H32" s="1232"/>
      <c r="I32" s="1232"/>
      <c r="J32" s="1232"/>
      <c r="K32" s="1231"/>
      <c r="L32" s="1231"/>
      <c r="M32" s="1231" t="s">
        <v>76</v>
      </c>
      <c r="N32" s="1232"/>
      <c r="O32" s="1232"/>
      <c r="P32" s="1232" t="s">
        <v>734</v>
      </c>
      <c r="Q32" s="1231" t="s">
        <v>735</v>
      </c>
      <c r="R32" s="1231"/>
      <c r="S32" s="1231" t="s">
        <v>736</v>
      </c>
      <c r="T32" s="1232"/>
      <c r="U32" s="1232"/>
      <c r="V32" s="1232" t="s">
        <v>734</v>
      </c>
      <c r="W32" s="1232" t="s">
        <v>735</v>
      </c>
      <c r="X32" s="1232"/>
      <c r="Y32" s="1232"/>
      <c r="Z32" s="1232"/>
      <c r="AA32" s="1232"/>
      <c r="AB32" s="1232"/>
      <c r="AC32" s="1232"/>
      <c r="AD32" s="1232"/>
      <c r="AE32" s="1232"/>
      <c r="AF32" s="1232"/>
      <c r="AG32" s="1232"/>
      <c r="AH32" s="1232"/>
      <c r="AI32" s="1232"/>
      <c r="AJ32" s="1232"/>
      <c r="AK32" s="1232"/>
      <c r="AL32" s="1232"/>
      <c r="AM32" s="1232"/>
      <c r="AN32" s="1232"/>
      <c r="AO32" s="1232"/>
      <c r="AP32" s="1232"/>
      <c r="AQ32" s="1232"/>
      <c r="AR32" s="1232"/>
      <c r="AS32" s="1232"/>
      <c r="AT32" s="1232"/>
      <c r="AU32" s="1232"/>
      <c r="AV32" s="1232"/>
      <c r="AW32" s="1232"/>
      <c r="AX32" s="1232"/>
      <c r="AY32" s="1232"/>
      <c r="AZ32" s="1232"/>
      <c r="BA32" s="1232"/>
      <c r="BB32" s="1232"/>
      <c r="BC32" s="1232"/>
      <c r="BD32" s="1232"/>
      <c r="BE32" s="1232"/>
      <c r="BF32" s="1232"/>
      <c r="BG32" s="1232"/>
      <c r="BH32" s="1232"/>
      <c r="BI32" s="1232"/>
      <c r="BJ32" s="1232"/>
      <c r="BK32" s="1232"/>
      <c r="BL32" s="1232"/>
      <c r="BM32" s="1232"/>
      <c r="BN32" s="1232"/>
      <c r="BO32" s="1232"/>
      <c r="BP32" s="1232"/>
      <c r="BQ32" s="1232"/>
      <c r="BR32" s="1232"/>
      <c r="BS32" s="1232"/>
      <c r="BT32" s="1232"/>
      <c r="BU32" s="1232"/>
      <c r="BV32" s="1232"/>
      <c r="BW32" s="1232"/>
      <c r="BX32" s="1232"/>
      <c r="BY32" s="1232"/>
      <c r="BZ32" s="1232"/>
      <c r="CA32" s="1232"/>
      <c r="CB32" s="1232"/>
      <c r="CC32" s="1232"/>
      <c r="CD32" s="1232"/>
      <c r="CE32" s="1232"/>
      <c r="CF32" s="1232"/>
      <c r="CG32" s="1232"/>
      <c r="CH32" s="1232"/>
      <c r="CI32" s="1232"/>
      <c r="CJ32" s="1232"/>
      <c r="CK32" s="1232"/>
      <c r="CL32" s="1232"/>
      <c r="CM32" s="1232"/>
      <c r="CN32" s="1232"/>
      <c r="CO32" s="1232"/>
      <c r="CP32" s="1232"/>
      <c r="CQ32" s="1232"/>
      <c r="CR32" s="1232"/>
      <c r="CS32" s="1232"/>
      <c r="CT32" s="1232"/>
      <c r="CU32" s="1232"/>
      <c r="CV32" s="1232"/>
      <c r="CW32" s="1232"/>
      <c r="CX32" s="1232"/>
      <c r="CY32" s="1232"/>
      <c r="CZ32" s="1232"/>
      <c r="DA32" s="1232"/>
      <c r="DB32" s="1232"/>
      <c r="DC32" s="1232"/>
      <c r="DD32" s="1232"/>
      <c r="DE32" s="1232"/>
      <c r="DF32" s="1232"/>
      <c r="DG32" s="1232"/>
      <c r="DH32" s="1232"/>
      <c r="DI32" s="1232"/>
      <c r="DJ32" s="1232"/>
      <c r="DK32" s="1232"/>
      <c r="DL32" s="1232"/>
      <c r="DM32" s="1232"/>
      <c r="DN32" s="1232"/>
      <c r="DO32" s="1232"/>
      <c r="DP32" s="1232"/>
      <c r="DQ32" s="1232"/>
    </row>
    <row r="33" spans="1:121" s="1233" customFormat="1" ht="13.8">
      <c r="A33" s="1232" t="s">
        <v>737</v>
      </c>
      <c r="B33" s="1232"/>
      <c r="C33" s="1232"/>
      <c r="D33" s="1232">
        <f>Overview!L32</f>
        <v>4496000</v>
      </c>
      <c r="E33" s="1232"/>
      <c r="F33" s="1232"/>
      <c r="G33" s="1234"/>
      <c r="H33" s="1232"/>
      <c r="I33" s="1232"/>
      <c r="J33" s="1232"/>
      <c r="K33" s="1232"/>
      <c r="L33" s="1232"/>
      <c r="M33" s="1232" t="s">
        <v>738</v>
      </c>
      <c r="N33" s="1232"/>
      <c r="O33" s="1232"/>
      <c r="P33" s="1232">
        <f>'GF020'!E74</f>
        <v>387483.52</v>
      </c>
      <c r="Q33" s="1232"/>
      <c r="R33" s="1232"/>
      <c r="S33" s="1232" t="s">
        <v>739</v>
      </c>
      <c r="T33" s="1232"/>
      <c r="U33" s="1232"/>
      <c r="V33" s="1232">
        <v>0</v>
      </c>
      <c r="W33" s="1232"/>
      <c r="X33" s="1232"/>
      <c r="Y33" s="1232"/>
      <c r="Z33" s="1232"/>
      <c r="AA33" s="1232"/>
      <c r="AB33" s="1232"/>
      <c r="AC33" s="1232"/>
      <c r="AD33" s="1232"/>
      <c r="AE33" s="1232"/>
      <c r="AF33" s="1232"/>
      <c r="AG33" s="1232"/>
      <c r="AH33" s="1232"/>
      <c r="AI33" s="1232"/>
      <c r="AJ33" s="1232"/>
      <c r="AK33" s="1232"/>
      <c r="AL33" s="1232"/>
      <c r="AM33" s="1232"/>
      <c r="AN33" s="1232"/>
      <c r="AO33" s="1232"/>
      <c r="AP33" s="1232"/>
      <c r="AQ33" s="1232"/>
      <c r="AR33" s="1232"/>
      <c r="AS33" s="1232"/>
      <c r="AT33" s="1232"/>
      <c r="AU33" s="1232"/>
      <c r="AV33" s="1232"/>
      <c r="AW33" s="1232"/>
      <c r="AX33" s="1232"/>
      <c r="AY33" s="1232"/>
      <c r="AZ33" s="1232"/>
      <c r="BA33" s="1232"/>
      <c r="BB33" s="1232"/>
      <c r="BC33" s="1232"/>
      <c r="BD33" s="1232"/>
      <c r="BE33" s="1232"/>
      <c r="BF33" s="1232"/>
      <c r="BG33" s="1232"/>
      <c r="BH33" s="1232"/>
      <c r="BI33" s="1232"/>
      <c r="BJ33" s="1232"/>
      <c r="BK33" s="1232"/>
      <c r="BL33" s="1232"/>
      <c r="BM33" s="1232"/>
      <c r="BN33" s="1232"/>
      <c r="BO33" s="1232"/>
      <c r="BP33" s="1232"/>
      <c r="BQ33" s="1232"/>
      <c r="BR33" s="1232"/>
      <c r="BS33" s="1232"/>
      <c r="BT33" s="1232"/>
      <c r="BU33" s="1232"/>
      <c r="BV33" s="1232"/>
      <c r="BW33" s="1232"/>
      <c r="BX33" s="1232"/>
      <c r="BY33" s="1232"/>
      <c r="BZ33" s="1232"/>
      <c r="CA33" s="1232"/>
      <c r="CB33" s="1232"/>
      <c r="CC33" s="1232"/>
      <c r="CD33" s="1232"/>
      <c r="CE33" s="1232"/>
      <c r="CF33" s="1232"/>
      <c r="CG33" s="1232"/>
      <c r="CH33" s="1232"/>
      <c r="CI33" s="1232"/>
      <c r="CJ33" s="1232"/>
      <c r="CK33" s="1232"/>
      <c r="CL33" s="1232"/>
      <c r="CM33" s="1232"/>
      <c r="CN33" s="1232"/>
      <c r="CO33" s="1232"/>
      <c r="CP33" s="1232"/>
      <c r="CQ33" s="1232"/>
      <c r="CR33" s="1232"/>
      <c r="CS33" s="1232"/>
      <c r="CT33" s="1232"/>
      <c r="CU33" s="1232"/>
      <c r="CV33" s="1232"/>
      <c r="CW33" s="1232"/>
      <c r="CX33" s="1232"/>
      <c r="CY33" s="1232"/>
      <c r="CZ33" s="1232"/>
      <c r="DA33" s="1232"/>
      <c r="DB33" s="1232"/>
      <c r="DC33" s="1232"/>
      <c r="DD33" s="1232"/>
      <c r="DE33" s="1232"/>
      <c r="DF33" s="1232"/>
      <c r="DG33" s="1232"/>
      <c r="DH33" s="1232"/>
      <c r="DI33" s="1232"/>
      <c r="DJ33" s="1232"/>
      <c r="DK33" s="1232"/>
      <c r="DL33" s="1232"/>
      <c r="DM33" s="1232"/>
      <c r="DN33" s="1232"/>
      <c r="DO33" s="1232"/>
      <c r="DP33" s="1232"/>
      <c r="DQ33" s="1232"/>
    </row>
    <row r="34" spans="1:121" s="1233" customFormat="1" ht="13.8">
      <c r="A34" s="1232" t="s">
        <v>740</v>
      </c>
      <c r="B34" s="1232"/>
      <c r="C34" s="1232"/>
      <c r="D34" s="1232">
        <f>Overview!L24+Overview!L25</f>
        <v>3600000</v>
      </c>
      <c r="E34" s="1232"/>
      <c r="F34" s="1234"/>
      <c r="G34" s="1235"/>
      <c r="J34" s="1232"/>
      <c r="L34" s="1232"/>
      <c r="M34" s="1233" t="s">
        <v>741</v>
      </c>
      <c r="P34" s="1232">
        <f>'GF020'!E53-'GF020'!E41</f>
        <v>234000</v>
      </c>
      <c r="Q34" s="1232"/>
      <c r="R34" s="1232"/>
      <c r="S34" s="1232" t="s">
        <v>855</v>
      </c>
      <c r="T34" s="1232"/>
      <c r="U34" s="1232"/>
      <c r="V34" s="1232">
        <f>'GF020'!E61</f>
        <v>15000</v>
      </c>
      <c r="W34" s="1232"/>
      <c r="X34" s="1232"/>
      <c r="Y34" s="1232"/>
      <c r="Z34" s="1232"/>
      <c r="AA34" s="1232"/>
      <c r="AB34" s="1232"/>
      <c r="AC34" s="1232"/>
      <c r="AD34" s="1232"/>
      <c r="AE34" s="1232"/>
      <c r="AF34" s="1232"/>
      <c r="AG34" s="1232"/>
      <c r="AH34" s="1232"/>
      <c r="AI34" s="1232"/>
      <c r="AJ34" s="1232"/>
      <c r="AK34" s="1232"/>
      <c r="AL34" s="1232"/>
      <c r="AM34" s="1232"/>
      <c r="AN34" s="1232"/>
      <c r="AO34" s="1232"/>
      <c r="AP34" s="1232"/>
      <c r="AQ34" s="1232"/>
      <c r="AR34" s="1232"/>
      <c r="AS34" s="1232"/>
      <c r="AT34" s="1232"/>
      <c r="AU34" s="1232"/>
      <c r="AV34" s="1232"/>
      <c r="AW34" s="1232"/>
      <c r="AX34" s="1232"/>
      <c r="AY34" s="1232"/>
      <c r="AZ34" s="1232"/>
      <c r="BA34" s="1232"/>
      <c r="BB34" s="1232"/>
      <c r="BC34" s="1232"/>
      <c r="BD34" s="1232"/>
      <c r="BE34" s="1232"/>
      <c r="BF34" s="1232"/>
      <c r="BG34" s="1232"/>
      <c r="BH34" s="1232"/>
      <c r="BI34" s="1232"/>
      <c r="BJ34" s="1232"/>
      <c r="BK34" s="1232"/>
      <c r="BL34" s="1232"/>
      <c r="BM34" s="1232"/>
      <c r="BN34" s="1232"/>
      <c r="BO34" s="1232"/>
      <c r="BP34" s="1232"/>
      <c r="BQ34" s="1232"/>
      <c r="BR34" s="1232"/>
      <c r="BS34" s="1232"/>
      <c r="BT34" s="1232"/>
      <c r="BU34" s="1232"/>
      <c r="BV34" s="1232"/>
      <c r="BW34" s="1232"/>
      <c r="BX34" s="1232"/>
      <c r="BY34" s="1232"/>
      <c r="BZ34" s="1232"/>
      <c r="CA34" s="1232"/>
      <c r="CB34" s="1232"/>
      <c r="CC34" s="1232"/>
      <c r="CD34" s="1232"/>
      <c r="CE34" s="1232"/>
      <c r="CF34" s="1232"/>
      <c r="CG34" s="1232"/>
      <c r="CH34" s="1232"/>
      <c r="CI34" s="1232"/>
      <c r="CJ34" s="1232"/>
      <c r="CK34" s="1232"/>
      <c r="CL34" s="1232"/>
      <c r="CM34" s="1232"/>
      <c r="CN34" s="1232"/>
      <c r="CO34" s="1232"/>
      <c r="CP34" s="1232"/>
      <c r="CQ34" s="1232"/>
      <c r="CR34" s="1232"/>
      <c r="CS34" s="1232"/>
      <c r="CT34" s="1232"/>
      <c r="CU34" s="1232"/>
      <c r="CV34" s="1232"/>
      <c r="CW34" s="1232"/>
      <c r="CX34" s="1232"/>
      <c r="CY34" s="1232"/>
      <c r="CZ34" s="1232"/>
      <c r="DA34" s="1232"/>
      <c r="DB34" s="1232"/>
      <c r="DC34" s="1232"/>
      <c r="DD34" s="1232"/>
      <c r="DE34" s="1232"/>
      <c r="DF34" s="1232"/>
      <c r="DG34" s="1232"/>
      <c r="DH34" s="1232"/>
      <c r="DI34" s="1232"/>
      <c r="DJ34" s="1232"/>
      <c r="DK34" s="1232"/>
      <c r="DL34" s="1232"/>
      <c r="DM34" s="1232"/>
      <c r="DN34" s="1232"/>
      <c r="DO34" s="1232"/>
      <c r="DP34" s="1232"/>
      <c r="DQ34" s="1232"/>
    </row>
    <row r="35" spans="1:121" s="1233" customFormat="1" ht="13.8">
      <c r="A35" s="1232" t="s">
        <v>76</v>
      </c>
      <c r="B35" s="1232"/>
      <c r="C35" s="1232"/>
      <c r="D35" s="1232">
        <f>Overview!L26+Overview!L27</f>
        <v>872000</v>
      </c>
      <c r="E35" s="1232"/>
      <c r="F35" s="1232"/>
      <c r="G35" s="1234"/>
      <c r="H35" s="1232"/>
      <c r="I35" s="1232"/>
      <c r="J35" s="1232"/>
      <c r="K35" s="1232"/>
      <c r="L35" s="1232"/>
      <c r="M35" s="1232" t="s">
        <v>858</v>
      </c>
      <c r="N35" s="1232"/>
      <c r="O35" s="1232"/>
      <c r="P35" s="1232">
        <f>'[2]FHM Budget'!E75</f>
        <v>250000</v>
      </c>
      <c r="Q35" s="1232"/>
      <c r="R35" s="1232"/>
      <c r="S35" s="1232" t="s">
        <v>743</v>
      </c>
      <c r="T35" s="1232"/>
      <c r="U35" s="1232"/>
      <c r="V35" s="1232">
        <f>'GF020'!E55</f>
        <v>1000</v>
      </c>
      <c r="W35" s="1232"/>
      <c r="X35" s="1232"/>
      <c r="Y35" s="1232"/>
      <c r="Z35" s="1232"/>
      <c r="AA35" s="1232"/>
      <c r="AB35" s="1232"/>
      <c r="AC35" s="1232"/>
      <c r="AD35" s="1232"/>
      <c r="AE35" s="1232"/>
      <c r="AF35" s="1232"/>
      <c r="AG35" s="1232"/>
      <c r="AH35" s="1232"/>
      <c r="AI35" s="1232"/>
      <c r="AJ35" s="1232"/>
      <c r="AK35" s="1232"/>
      <c r="AL35" s="1232"/>
      <c r="AM35" s="1232"/>
      <c r="AN35" s="1232"/>
      <c r="AO35" s="1232"/>
      <c r="AP35" s="1232"/>
      <c r="AQ35" s="1232"/>
      <c r="AR35" s="1232"/>
      <c r="AS35" s="1232"/>
      <c r="AT35" s="1232"/>
      <c r="AU35" s="1232"/>
      <c r="AV35" s="1232"/>
      <c r="AW35" s="1232"/>
      <c r="AX35" s="1232"/>
      <c r="AY35" s="1232"/>
      <c r="AZ35" s="1232"/>
      <c r="BA35" s="1232"/>
      <c r="BB35" s="1232"/>
      <c r="BC35" s="1232"/>
      <c r="BD35" s="1232"/>
      <c r="BE35" s="1232"/>
      <c r="BF35" s="1232"/>
      <c r="BG35" s="1232"/>
      <c r="BH35" s="1232"/>
      <c r="BI35" s="1232"/>
      <c r="BJ35" s="1232"/>
      <c r="BK35" s="1232"/>
      <c r="BL35" s="1232"/>
      <c r="BM35" s="1232"/>
      <c r="BN35" s="1232"/>
      <c r="BO35" s="1232"/>
      <c r="BP35" s="1232"/>
      <c r="BQ35" s="1232"/>
      <c r="BR35" s="1232"/>
      <c r="BS35" s="1232"/>
      <c r="BT35" s="1232"/>
      <c r="BU35" s="1232"/>
      <c r="BV35" s="1232"/>
      <c r="BW35" s="1232"/>
      <c r="BX35" s="1232"/>
      <c r="BY35" s="1232"/>
      <c r="BZ35" s="1232"/>
      <c r="CA35" s="1232"/>
      <c r="CB35" s="1232"/>
      <c r="CC35" s="1232"/>
      <c r="CD35" s="1232"/>
      <c r="CE35" s="1232"/>
      <c r="CF35" s="1232"/>
      <c r="CG35" s="1232"/>
      <c r="CH35" s="1232"/>
      <c r="CI35" s="1232"/>
      <c r="CJ35" s="1232"/>
      <c r="CK35" s="1232"/>
      <c r="CL35" s="1232"/>
      <c r="CM35" s="1232"/>
      <c r="CN35" s="1232"/>
      <c r="CO35" s="1232"/>
      <c r="CP35" s="1232"/>
      <c r="CQ35" s="1232"/>
      <c r="CR35" s="1232"/>
      <c r="CS35" s="1232"/>
      <c r="CT35" s="1232"/>
      <c r="CU35" s="1232"/>
      <c r="CV35" s="1232"/>
      <c r="CW35" s="1232"/>
      <c r="CX35" s="1232"/>
      <c r="CY35" s="1232"/>
      <c r="CZ35" s="1232"/>
      <c r="DA35" s="1232"/>
      <c r="DB35" s="1232"/>
      <c r="DC35" s="1232"/>
      <c r="DD35" s="1232"/>
      <c r="DE35" s="1232"/>
      <c r="DF35" s="1232"/>
      <c r="DG35" s="1232"/>
      <c r="DH35" s="1232"/>
      <c r="DI35" s="1232"/>
      <c r="DJ35" s="1232"/>
      <c r="DK35" s="1232"/>
      <c r="DL35" s="1232"/>
      <c r="DM35" s="1232"/>
      <c r="DN35" s="1232"/>
      <c r="DO35" s="1232"/>
      <c r="DP35" s="1232"/>
      <c r="DQ35" s="1232"/>
    </row>
    <row r="36" spans="1:121" s="1233" customFormat="1" ht="13.8">
      <c r="A36" s="1232" t="s">
        <v>736</v>
      </c>
      <c r="B36" s="1232"/>
      <c r="C36" s="1232"/>
      <c r="D36" s="1232">
        <f>Overview!L28</f>
        <v>24000</v>
      </c>
      <c r="E36" s="1232"/>
      <c r="F36" s="1232"/>
      <c r="G36" s="1234"/>
      <c r="H36" s="1232"/>
      <c r="I36" s="1232"/>
      <c r="J36" s="1232"/>
      <c r="K36" s="1232"/>
      <c r="L36" s="1232"/>
      <c r="M36" s="1232" t="s">
        <v>164</v>
      </c>
      <c r="N36" s="1232"/>
      <c r="O36" s="1232"/>
      <c r="P36" s="1232">
        <f>P33+P35+P34</f>
        <v>871483.52</v>
      </c>
      <c r="Q36" s="1232"/>
      <c r="R36" s="1232"/>
      <c r="S36" s="1232" t="s">
        <v>745</v>
      </c>
      <c r="T36" s="1232"/>
      <c r="U36" s="1232"/>
      <c r="V36" s="1232">
        <f>'GF020'!E58+'GF020'!E62</f>
        <v>7500</v>
      </c>
      <c r="W36" s="1232"/>
      <c r="X36" s="1232"/>
      <c r="Y36" s="1232"/>
      <c r="Z36" s="1232"/>
      <c r="AA36" s="1232"/>
      <c r="AB36" s="1232"/>
      <c r="AC36" s="1232"/>
      <c r="AD36" s="1232"/>
      <c r="AE36" s="1232"/>
      <c r="AF36" s="1232"/>
      <c r="AG36" s="1232"/>
      <c r="AH36" s="1232"/>
      <c r="AI36" s="1232"/>
      <c r="AJ36" s="1232"/>
      <c r="AK36" s="1232"/>
      <c r="AL36" s="1232"/>
      <c r="AM36" s="1232"/>
      <c r="AN36" s="1232"/>
      <c r="AO36" s="1232"/>
      <c r="AP36" s="1232"/>
      <c r="AQ36" s="1232"/>
      <c r="AR36" s="1232"/>
      <c r="AS36" s="1232"/>
      <c r="AT36" s="1232"/>
      <c r="AU36" s="1232"/>
      <c r="AV36" s="1232"/>
      <c r="AW36" s="1232"/>
      <c r="AX36" s="1232"/>
      <c r="AY36" s="1232"/>
      <c r="AZ36" s="1232"/>
      <c r="BA36" s="1232"/>
      <c r="BB36" s="1232"/>
      <c r="BC36" s="1232"/>
      <c r="BD36" s="1232"/>
      <c r="BE36" s="1232"/>
      <c r="BF36" s="1232"/>
      <c r="BG36" s="1232"/>
      <c r="BH36" s="1232"/>
      <c r="BI36" s="1232"/>
      <c r="BJ36" s="1232"/>
      <c r="BK36" s="1232"/>
      <c r="BL36" s="1232"/>
      <c r="BM36" s="1232"/>
      <c r="BN36" s="1232"/>
      <c r="BO36" s="1232"/>
      <c r="BP36" s="1232"/>
      <c r="BQ36" s="1232"/>
      <c r="BR36" s="1232"/>
      <c r="BS36" s="1232"/>
      <c r="BT36" s="1232"/>
      <c r="BU36" s="1232"/>
      <c r="BV36" s="1232"/>
      <c r="BW36" s="1232"/>
      <c r="BX36" s="1232"/>
      <c r="BY36" s="1232"/>
      <c r="BZ36" s="1232"/>
      <c r="CA36" s="1232"/>
      <c r="CB36" s="1232"/>
      <c r="CC36" s="1232"/>
      <c r="CD36" s="1232"/>
      <c r="CE36" s="1232"/>
      <c r="CF36" s="1232"/>
      <c r="CG36" s="1232"/>
      <c r="CH36" s="1232"/>
      <c r="CI36" s="1232"/>
      <c r="CJ36" s="1232"/>
      <c r="CK36" s="1232"/>
      <c r="CL36" s="1232"/>
      <c r="CM36" s="1232"/>
      <c r="CN36" s="1232"/>
      <c r="CO36" s="1232"/>
      <c r="CP36" s="1232"/>
      <c r="CQ36" s="1232"/>
      <c r="CR36" s="1232"/>
      <c r="CS36" s="1232"/>
      <c r="CT36" s="1232"/>
      <c r="CU36" s="1232"/>
      <c r="CV36" s="1232"/>
      <c r="CW36" s="1232"/>
      <c r="CX36" s="1232"/>
      <c r="CY36" s="1232"/>
      <c r="CZ36" s="1232"/>
      <c r="DA36" s="1232"/>
      <c r="DB36" s="1232"/>
      <c r="DC36" s="1232"/>
      <c r="DD36" s="1232"/>
      <c r="DE36" s="1232"/>
      <c r="DF36" s="1232"/>
      <c r="DG36" s="1232"/>
      <c r="DH36" s="1232"/>
      <c r="DI36" s="1232"/>
      <c r="DJ36" s="1232"/>
      <c r="DK36" s="1232"/>
      <c r="DL36" s="1232"/>
      <c r="DM36" s="1232"/>
      <c r="DN36" s="1232"/>
      <c r="DO36" s="1232"/>
      <c r="DP36" s="1232"/>
      <c r="DQ36" s="1232"/>
    </row>
    <row r="37" spans="1:121" s="1233" customFormat="1" ht="13.8">
      <c r="A37" s="1232"/>
      <c r="B37" s="1232"/>
      <c r="C37" s="1232"/>
      <c r="D37" s="1232"/>
      <c r="E37" s="1232"/>
      <c r="F37" s="1232"/>
      <c r="G37" s="1234"/>
      <c r="H37" s="1232"/>
      <c r="I37" s="1232"/>
      <c r="J37" s="1232"/>
      <c r="K37" s="1232"/>
      <c r="L37" s="1232"/>
      <c r="M37" s="1232"/>
      <c r="N37" s="1232"/>
      <c r="O37" s="1232"/>
      <c r="P37" s="1232"/>
      <c r="Q37" s="1232"/>
      <c r="R37" s="1232"/>
      <c r="S37" s="1232" t="s">
        <v>747</v>
      </c>
      <c r="T37" s="1232"/>
      <c r="U37" s="1232"/>
      <c r="V37" s="1232">
        <f>V34+V35+V36</f>
        <v>23500</v>
      </c>
      <c r="W37" s="1232"/>
      <c r="X37" s="1232"/>
      <c r="Y37" s="1232"/>
      <c r="Z37" s="1232"/>
      <c r="AA37" s="1232"/>
      <c r="AB37" s="1232"/>
      <c r="AC37" s="1232"/>
      <c r="AD37" s="1232"/>
      <c r="AE37" s="1232"/>
      <c r="AF37" s="1232"/>
      <c r="AG37" s="1232"/>
      <c r="AH37" s="1232"/>
      <c r="AI37" s="1232"/>
      <c r="AJ37" s="1232"/>
      <c r="AK37" s="1232"/>
      <c r="AL37" s="1232"/>
      <c r="AM37" s="1232"/>
      <c r="AN37" s="1232"/>
      <c r="AO37" s="1232"/>
      <c r="AP37" s="1232"/>
      <c r="AQ37" s="1232"/>
      <c r="AR37" s="1232"/>
      <c r="AS37" s="1232"/>
      <c r="AT37" s="1232"/>
      <c r="AU37" s="1232"/>
      <c r="AV37" s="1232"/>
      <c r="AW37" s="1232"/>
      <c r="AX37" s="1232"/>
      <c r="AY37" s="1232"/>
      <c r="AZ37" s="1232"/>
      <c r="BA37" s="1232"/>
      <c r="BB37" s="1232"/>
      <c r="BC37" s="1232"/>
      <c r="BD37" s="1232"/>
      <c r="BE37" s="1232"/>
      <c r="BF37" s="1232"/>
      <c r="BG37" s="1232"/>
      <c r="BH37" s="1232"/>
      <c r="BI37" s="1232"/>
      <c r="BJ37" s="1232"/>
      <c r="BK37" s="1232"/>
      <c r="BL37" s="1232"/>
      <c r="BM37" s="1232"/>
      <c r="BN37" s="1232"/>
      <c r="BO37" s="1232"/>
      <c r="BP37" s="1232"/>
      <c r="BQ37" s="1232"/>
      <c r="BR37" s="1232"/>
      <c r="BS37" s="1232"/>
      <c r="BT37" s="1232"/>
      <c r="BU37" s="1232"/>
      <c r="BV37" s="1232"/>
      <c r="BW37" s="1232"/>
      <c r="BX37" s="1232"/>
      <c r="BY37" s="1232"/>
      <c r="BZ37" s="1232"/>
      <c r="CA37" s="1232"/>
      <c r="CB37" s="1232"/>
      <c r="CC37" s="1232"/>
      <c r="CD37" s="1232"/>
      <c r="CE37" s="1232"/>
      <c r="CF37" s="1232"/>
      <c r="CG37" s="1232"/>
      <c r="CH37" s="1232"/>
      <c r="CI37" s="1232"/>
      <c r="CJ37" s="1232"/>
      <c r="CK37" s="1232"/>
      <c r="CL37" s="1232"/>
      <c r="CM37" s="1232"/>
      <c r="CN37" s="1232"/>
      <c r="CO37" s="1232"/>
      <c r="CP37" s="1232"/>
      <c r="CQ37" s="1232"/>
      <c r="CR37" s="1232"/>
      <c r="CS37" s="1232"/>
      <c r="CT37" s="1232"/>
      <c r="CU37" s="1232"/>
      <c r="CV37" s="1232"/>
      <c r="CW37" s="1232"/>
      <c r="CX37" s="1232"/>
      <c r="CY37" s="1232"/>
      <c r="CZ37" s="1232"/>
      <c r="DA37" s="1232"/>
      <c r="DB37" s="1232"/>
      <c r="DC37" s="1232"/>
      <c r="DD37" s="1232"/>
      <c r="DE37" s="1232"/>
      <c r="DF37" s="1232"/>
      <c r="DG37" s="1232"/>
      <c r="DH37" s="1232"/>
      <c r="DI37" s="1232"/>
      <c r="DJ37" s="1232"/>
      <c r="DK37" s="1232"/>
      <c r="DL37" s="1232"/>
      <c r="DM37" s="1232"/>
      <c r="DN37" s="1232"/>
      <c r="DO37" s="1232"/>
      <c r="DP37" s="1232"/>
      <c r="DQ37" s="1232"/>
    </row>
    <row r="38" spans="1:121" s="1233" customFormat="1" ht="13.8">
      <c r="A38" s="1232"/>
      <c r="B38" s="1232"/>
      <c r="C38" s="1232"/>
      <c r="D38" s="1232"/>
      <c r="E38" s="1232"/>
      <c r="F38" s="1232"/>
      <c r="K38" s="1232"/>
      <c r="L38" s="1232"/>
      <c r="M38" s="1232"/>
      <c r="N38" s="1232"/>
      <c r="O38" s="1232"/>
      <c r="P38" s="1232"/>
      <c r="Q38" s="1232"/>
      <c r="R38" s="1232"/>
      <c r="S38" s="1232"/>
      <c r="T38" s="1232"/>
      <c r="U38" s="1232"/>
      <c r="V38" s="1232"/>
      <c r="W38" s="1232"/>
      <c r="X38" s="1232"/>
      <c r="Y38" s="1232"/>
      <c r="Z38" s="1232"/>
      <c r="AA38" s="1232"/>
      <c r="AB38" s="1232"/>
      <c r="AC38" s="1232"/>
      <c r="AD38" s="1232"/>
      <c r="AE38" s="1232"/>
      <c r="AF38" s="1232"/>
      <c r="AG38" s="1232"/>
      <c r="AH38" s="1232"/>
      <c r="AI38" s="1232"/>
      <c r="AJ38" s="1232"/>
      <c r="AK38" s="1232"/>
      <c r="AL38" s="1232"/>
      <c r="AM38" s="1232"/>
      <c r="AN38" s="1232"/>
      <c r="AO38" s="1232"/>
      <c r="AP38" s="1232"/>
      <c r="AQ38" s="1232"/>
      <c r="AR38" s="1232"/>
      <c r="AS38" s="1232"/>
      <c r="AT38" s="1232"/>
      <c r="AU38" s="1232"/>
      <c r="AV38" s="1232"/>
      <c r="AW38" s="1232"/>
      <c r="AX38" s="1232"/>
      <c r="AY38" s="1232"/>
      <c r="AZ38" s="1232"/>
      <c r="BA38" s="1232"/>
      <c r="BB38" s="1232"/>
      <c r="BC38" s="1232"/>
      <c r="BD38" s="1232"/>
      <c r="BE38" s="1232"/>
      <c r="BF38" s="1232"/>
      <c r="BG38" s="1232"/>
      <c r="BH38" s="1232"/>
      <c r="BI38" s="1232"/>
      <c r="BJ38" s="1232"/>
      <c r="BK38" s="1232"/>
      <c r="BL38" s="1232"/>
      <c r="BM38" s="1232"/>
      <c r="BN38" s="1232"/>
      <c r="BO38" s="1232"/>
      <c r="BP38" s="1232"/>
      <c r="BQ38" s="1232"/>
      <c r="BR38" s="1232"/>
      <c r="BS38" s="1232"/>
      <c r="BT38" s="1232"/>
      <c r="BU38" s="1232"/>
      <c r="BV38" s="1232"/>
      <c r="BW38" s="1232"/>
      <c r="BX38" s="1232"/>
      <c r="BY38" s="1232"/>
      <c r="BZ38" s="1232"/>
      <c r="CA38" s="1232"/>
      <c r="CB38" s="1232"/>
      <c r="CC38" s="1232"/>
      <c r="CD38" s="1232"/>
      <c r="CE38" s="1232"/>
      <c r="CF38" s="1232"/>
      <c r="CG38" s="1232"/>
      <c r="CH38" s="1232"/>
      <c r="CI38" s="1232"/>
      <c r="CJ38" s="1232"/>
      <c r="CK38" s="1232"/>
      <c r="CL38" s="1232"/>
      <c r="CM38" s="1232"/>
      <c r="CN38" s="1232"/>
      <c r="CO38" s="1232"/>
      <c r="CP38" s="1232"/>
      <c r="CQ38" s="1232"/>
      <c r="CR38" s="1232"/>
      <c r="CS38" s="1232"/>
      <c r="CT38" s="1232"/>
      <c r="CU38" s="1232"/>
      <c r="CV38" s="1232"/>
      <c r="CW38" s="1232"/>
      <c r="CX38" s="1232"/>
      <c r="CY38" s="1232"/>
      <c r="CZ38" s="1232"/>
      <c r="DA38" s="1232"/>
      <c r="DB38" s="1232"/>
      <c r="DC38" s="1232"/>
      <c r="DD38" s="1232"/>
      <c r="DE38" s="1232"/>
      <c r="DF38" s="1232"/>
      <c r="DG38" s="1232"/>
      <c r="DH38" s="1232"/>
      <c r="DI38" s="1232"/>
      <c r="DJ38" s="1232"/>
      <c r="DK38" s="1232"/>
      <c r="DL38" s="1232"/>
      <c r="DM38" s="1232"/>
      <c r="DN38" s="1232"/>
      <c r="DO38" s="1232"/>
      <c r="DP38" s="1232"/>
      <c r="DQ38" s="1232"/>
    </row>
    <row r="39" spans="1:121" s="1227" customFormat="1" ht="13.8">
      <c r="G39" s="1226"/>
      <c r="H39" s="1226"/>
      <c r="I39" s="1226"/>
      <c r="J39" s="1226"/>
      <c r="P39" s="1226"/>
    </row>
    <row r="40" spans="1:121" s="1227" customFormat="1" ht="13.8">
      <c r="M40" s="1229"/>
      <c r="O40" s="1229"/>
      <c r="P40" s="1226"/>
    </row>
    <row r="41" spans="1:121" s="1227" customFormat="1" ht="13.8">
      <c r="P41" s="1226"/>
    </row>
    <row r="42" spans="1:121" s="1227" customFormat="1" ht="13.8">
      <c r="P42" s="1226"/>
    </row>
    <row r="43" spans="1:121" s="1227" customFormat="1" ht="13.8">
      <c r="M43" s="1229"/>
      <c r="O43" s="1229"/>
      <c r="P43" s="1226"/>
    </row>
    <row r="44" spans="1:121" s="1227" customFormat="1" ht="13.8">
      <c r="P44" s="1226"/>
    </row>
    <row r="45" spans="1:121" s="1227" customFormat="1" ht="13.8">
      <c r="P45" s="1226"/>
    </row>
    <row r="46" spans="1:121" s="1227" customFormat="1" ht="13.8">
      <c r="P46" s="1226"/>
      <c r="Q46" s="1226"/>
    </row>
    <row r="47" spans="1:121" s="1227" customFormat="1" ht="13.8">
      <c r="P47" s="1226"/>
      <c r="Q47" s="1226"/>
    </row>
    <row r="48" spans="1:121" s="1227" customFormat="1" ht="13.8">
      <c r="P48" s="1226"/>
      <c r="Q48" s="1226"/>
    </row>
    <row r="49" spans="13:17" s="1227" customFormat="1" ht="13.8">
      <c r="P49" s="1226"/>
      <c r="Q49" s="1226"/>
    </row>
    <row r="50" spans="13:17" s="1227" customFormat="1" ht="13.8">
      <c r="P50" s="1226"/>
      <c r="Q50" s="1226"/>
    </row>
    <row r="51" spans="13:17" s="1227" customFormat="1" ht="13.8">
      <c r="M51" s="1229"/>
      <c r="O51" s="1229"/>
      <c r="P51" s="1226"/>
    </row>
    <row r="52" spans="13:17" s="1227" customFormat="1" ht="13.8">
      <c r="P52" s="1226"/>
    </row>
    <row r="53" spans="13:17" s="1227" customFormat="1" ht="13.8">
      <c r="P53" s="1226"/>
    </row>
    <row r="54" spans="13:17" s="1227" customFormat="1" ht="13.8">
      <c r="P54" s="1226"/>
      <c r="Q54" s="1226"/>
    </row>
    <row r="55" spans="13:17" s="1227" customFormat="1" ht="13.8">
      <c r="P55" s="1226"/>
      <c r="Q55" s="1226"/>
    </row>
    <row r="56" spans="13:17" s="1227" customFormat="1" ht="13.8">
      <c r="P56" s="1226"/>
      <c r="Q56" s="1226"/>
    </row>
    <row r="57" spans="13:17" s="1227" customFormat="1" ht="13.8">
      <c r="P57" s="1226"/>
      <c r="Q57" s="1226"/>
    </row>
    <row r="58" spans="13:17" s="1227" customFormat="1" ht="13.8">
      <c r="P58" s="1226"/>
      <c r="Q58" s="1226"/>
    </row>
    <row r="59" spans="13:17" s="1227" customFormat="1" ht="15.75" customHeight="1"/>
    <row r="60" spans="13:17" s="1227" customFormat="1" ht="15.75" customHeight="1"/>
    <row r="61" spans="13:17" s="1227" customFormat="1" ht="15.75" customHeight="1"/>
    <row r="62" spans="13:17" s="1227" customFormat="1" ht="15.75" customHeight="1"/>
    <row r="63" spans="13:17" s="1227" customFormat="1" ht="15.75" customHeight="1"/>
    <row r="64" spans="13:17" s="1227" customFormat="1" ht="15.75" customHeight="1"/>
    <row r="65" s="1227" customFormat="1" ht="15.75" customHeight="1"/>
    <row r="66" s="1227" customFormat="1" ht="15.75" customHeight="1"/>
    <row r="67" s="1227" customFormat="1" ht="15.75" customHeight="1"/>
    <row r="68" s="1227" customFormat="1" ht="15.75" customHeight="1"/>
    <row r="69" s="1227" customFormat="1" ht="15.75" customHeight="1"/>
    <row r="70" s="1227" customFormat="1" ht="15.75" customHeight="1"/>
    <row r="71" s="1227" customFormat="1" ht="15.75" customHeight="1"/>
    <row r="72" s="1227" customFormat="1" ht="15.75" customHeight="1"/>
    <row r="73" s="1227" customFormat="1" ht="15.75" customHeight="1"/>
    <row r="74" s="1227" customFormat="1" ht="15.75" customHeight="1"/>
    <row r="75" s="1227" customFormat="1" ht="15.75" customHeight="1"/>
    <row r="76" s="1227" customFormat="1" ht="15.75" customHeight="1"/>
    <row r="77" s="1227" customFormat="1" ht="15.75" customHeight="1"/>
    <row r="78" s="1227" customFormat="1" ht="15.75" customHeight="1"/>
    <row r="79" s="1227" customFormat="1" ht="15.75" customHeight="1"/>
    <row r="80" s="1227" customFormat="1" ht="15.75" customHeight="1"/>
    <row r="81" spans="7:23" s="1227" customFormat="1" ht="15.75" customHeight="1"/>
    <row r="82" spans="7:23" s="1227" customFormat="1" ht="15.75" customHeight="1"/>
    <row r="83" spans="7:23" s="1227" customFormat="1" ht="15.75" customHeight="1"/>
    <row r="84" spans="7:23" s="1227" customFormat="1" ht="15.75" customHeight="1"/>
    <row r="85" spans="7:23" s="1227" customFormat="1" ht="15.75" customHeight="1"/>
    <row r="86" spans="7:23" s="1227" customFormat="1" ht="13.8">
      <c r="G86" s="1225"/>
      <c r="H86" s="1226"/>
      <c r="I86" s="1226"/>
      <c r="J86" s="1226"/>
      <c r="K86" s="1225"/>
      <c r="M86" s="1225"/>
      <c r="N86" s="1226"/>
      <c r="O86" s="1226"/>
      <c r="P86" s="1226"/>
      <c r="Q86" s="1225"/>
      <c r="S86" s="1225"/>
      <c r="T86" s="1226"/>
      <c r="U86" s="1226"/>
      <c r="V86" s="1226"/>
      <c r="W86" s="1226"/>
    </row>
    <row r="87" spans="7:23" s="1227" customFormat="1" ht="13.8">
      <c r="G87" s="1226"/>
      <c r="H87" s="1226"/>
      <c r="I87" s="1226"/>
      <c r="J87" s="1226"/>
      <c r="K87" s="1226"/>
      <c r="M87" s="1226"/>
      <c r="N87" s="1226"/>
      <c r="O87" s="1226"/>
      <c r="P87" s="1226"/>
      <c r="Q87" s="1226"/>
      <c r="S87" s="1226"/>
      <c r="T87" s="1226"/>
      <c r="U87" s="1226"/>
      <c r="V87" s="1226"/>
      <c r="W87" s="1226"/>
    </row>
    <row r="88" spans="7:23" s="1227" customFormat="1" ht="13.8">
      <c r="G88" s="1228"/>
      <c r="H88" s="1226"/>
      <c r="I88" s="1226"/>
      <c r="J88" s="1226"/>
      <c r="K88" s="1226"/>
      <c r="M88" s="1226"/>
      <c r="N88" s="1226"/>
      <c r="O88" s="1226"/>
      <c r="P88" s="1226"/>
      <c r="Q88" s="1226"/>
      <c r="S88" s="1226"/>
      <c r="T88" s="1226"/>
      <c r="U88" s="1226"/>
      <c r="V88" s="1226"/>
      <c r="W88" s="1226"/>
    </row>
    <row r="89" spans="7:23" s="1227" customFormat="1" ht="13.8">
      <c r="G89" s="1226"/>
      <c r="H89" s="1226"/>
      <c r="I89" s="1226"/>
      <c r="J89" s="1226"/>
      <c r="K89" s="1226"/>
      <c r="M89" s="1226"/>
      <c r="N89" s="1226"/>
      <c r="O89" s="1226"/>
      <c r="P89" s="1226"/>
      <c r="Q89" s="1226"/>
      <c r="S89" s="1226"/>
      <c r="T89" s="1226"/>
      <c r="U89" s="1226"/>
      <c r="V89" s="1226"/>
      <c r="W89" s="1226"/>
    </row>
    <row r="90" spans="7:23" s="1227" customFormat="1" ht="13.8">
      <c r="G90" s="1226"/>
      <c r="H90" s="1226"/>
      <c r="I90" s="1226"/>
      <c r="J90" s="1226"/>
      <c r="K90" s="1226"/>
      <c r="M90" s="1226"/>
      <c r="N90" s="1226"/>
      <c r="O90" s="1226"/>
      <c r="P90" s="1226"/>
      <c r="Q90" s="1226"/>
      <c r="S90" s="1226"/>
      <c r="T90" s="1226"/>
      <c r="U90" s="1226"/>
      <c r="V90" s="1226"/>
      <c r="W90" s="1226"/>
    </row>
    <row r="91" spans="7:23" s="1227" customFormat="1" ht="13.8">
      <c r="G91" s="1226"/>
      <c r="H91" s="1226"/>
      <c r="I91" s="1226"/>
      <c r="J91" s="1226"/>
      <c r="K91" s="1226"/>
      <c r="M91" s="1226"/>
      <c r="N91" s="1226"/>
      <c r="O91" s="1226"/>
      <c r="P91" s="1226"/>
      <c r="Q91" s="1226"/>
      <c r="S91" s="1226"/>
      <c r="T91" s="1226"/>
      <c r="U91" s="1226"/>
      <c r="V91" s="1226"/>
      <c r="W91" s="1226"/>
    </row>
    <row r="92" spans="7:23" s="1227" customFormat="1" ht="13.8">
      <c r="G92" s="1226"/>
      <c r="H92" s="1226"/>
      <c r="I92" s="1226"/>
      <c r="J92" s="1226"/>
      <c r="K92" s="1226"/>
      <c r="M92" s="1226"/>
      <c r="N92" s="1226"/>
      <c r="O92" s="1226"/>
      <c r="P92" s="1226"/>
      <c r="Q92" s="1226"/>
    </row>
    <row r="93" spans="7:23" s="1227" customFormat="1" ht="13.8">
      <c r="M93" s="1226"/>
      <c r="N93" s="1226"/>
      <c r="O93" s="1226"/>
      <c r="P93" s="1226"/>
      <c r="Q93" s="1226"/>
    </row>
    <row r="94" spans="7:23" s="1227" customFormat="1" ht="13.8">
      <c r="P94" s="1226"/>
      <c r="Q94" s="1226"/>
    </row>
    <row r="95" spans="7:23" ht="13.8">
      <c r="M95" s="1230"/>
      <c r="N95" s="1230"/>
      <c r="O95" s="1230"/>
      <c r="P95" s="1221"/>
      <c r="Q95" s="1221"/>
    </row>
    <row r="96" spans="7:23" ht="13.8">
      <c r="M96" s="1230"/>
      <c r="N96" s="1230"/>
      <c r="O96" s="1230"/>
      <c r="P96" s="1221"/>
      <c r="Q96" s="1221"/>
    </row>
    <row r="97" spans="13:17" ht="13.8">
      <c r="M97" s="1230"/>
      <c r="N97" s="1230"/>
      <c r="O97" s="1230"/>
      <c r="P97" s="1221"/>
      <c r="Q97" s="1221"/>
    </row>
    <row r="98" spans="13:17" ht="13.8">
      <c r="M98" s="1230"/>
      <c r="N98" s="1230"/>
      <c r="O98" s="1230"/>
      <c r="P98" s="1221"/>
      <c r="Q98" s="1221"/>
    </row>
    <row r="99" spans="13:17" ht="13.8">
      <c r="M99" s="1230"/>
      <c r="N99" s="1230"/>
      <c r="O99" s="1230"/>
      <c r="P99" s="1221"/>
      <c r="Q99" s="1221"/>
    </row>
    <row r="100" spans="13:17" ht="9" customHeight="1"/>
  </sheetData>
  <printOptions horizontalCentered="1" gridLines="1"/>
  <pageMargins left="0.7" right="0.7" top="0.75" bottom="0.75" header="0" footer="0"/>
  <pageSetup scale="47" pageOrder="overThenDown" orientation="landscape" cellComments="atEnd"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228DD-4602-49D6-87FE-41BCB29D1421}">
  <sheetPr>
    <tabColor theme="4" tint="-0.499984740745262"/>
    <outlinePr summaryBelow="0" summaryRight="0"/>
    <pageSetUpPr fitToPage="1"/>
  </sheetPr>
  <dimension ref="A16:DQ100"/>
  <sheetViews>
    <sheetView showGridLines="0" zoomScaleNormal="100" workbookViewId="0">
      <selection activeCell="M13" sqref="M13"/>
    </sheetView>
  </sheetViews>
  <sheetFormatPr defaultColWidth="14" defaultRowHeight="15.75" customHeight="1"/>
  <cols>
    <col min="1" max="1" width="19.5546875" style="1222" customWidth="1"/>
    <col min="2" max="3" width="5.6640625" style="1222" customWidth="1"/>
    <col min="4" max="4" width="16.5546875" style="1222" customWidth="1"/>
    <col min="5" max="5" width="15.44140625" style="1222" customWidth="1"/>
    <col min="6" max="6" width="3.5546875" style="1222" customWidth="1"/>
    <col min="7" max="7" width="19.5546875" style="1222" customWidth="1"/>
    <col min="8" max="9" width="5.6640625" style="1222" customWidth="1"/>
    <col min="10" max="10" width="17.21875" style="1222" customWidth="1"/>
    <col min="11" max="11" width="15.44140625" style="1222" customWidth="1"/>
    <col min="12" max="12" width="3.5546875" style="1222" customWidth="1"/>
    <col min="13" max="13" width="19.5546875" style="1222" customWidth="1"/>
    <col min="14" max="15" width="5.6640625" style="1222" customWidth="1"/>
    <col min="16" max="17" width="15.44140625" style="1222" customWidth="1"/>
    <col min="18" max="18" width="3.5546875" style="1222" customWidth="1"/>
    <col min="19" max="19" width="19.5546875" style="1222" customWidth="1"/>
    <col min="20" max="21" width="5.6640625" style="1222" customWidth="1"/>
    <col min="22" max="23" width="15.44140625" style="1222" customWidth="1"/>
    <col min="24" max="16384" width="14" style="1222"/>
  </cols>
  <sheetData>
    <row r="16" spans="1:121" ht="13.8">
      <c r="A16" s="1220"/>
      <c r="B16" s="1221"/>
      <c r="C16" s="1221"/>
      <c r="D16" s="1221"/>
      <c r="E16" s="1220"/>
      <c r="F16" s="1220"/>
      <c r="G16" s="1220"/>
      <c r="H16" s="1221"/>
      <c r="I16" s="1221"/>
      <c r="J16" s="1221"/>
      <c r="K16" s="1220"/>
      <c r="L16" s="1220"/>
      <c r="M16" s="1220"/>
      <c r="N16" s="1221"/>
      <c r="O16" s="1221"/>
      <c r="P16" s="1221"/>
      <c r="Q16" s="1220"/>
      <c r="R16" s="1220"/>
      <c r="S16" s="1220"/>
      <c r="T16" s="1221"/>
      <c r="U16" s="1221"/>
      <c r="V16" s="1221"/>
      <c r="W16" s="1221"/>
      <c r="X16" s="1221"/>
      <c r="Y16" s="1221"/>
      <c r="Z16" s="1221"/>
      <c r="AA16" s="1221"/>
      <c r="AB16" s="1221"/>
      <c r="AC16" s="1221"/>
      <c r="AD16" s="1221"/>
      <c r="AE16" s="1221"/>
      <c r="AF16" s="1221"/>
      <c r="AG16" s="1221"/>
      <c r="AH16" s="1221"/>
      <c r="AI16" s="1221"/>
      <c r="AJ16" s="1221"/>
      <c r="AK16" s="1221"/>
      <c r="AL16" s="1221"/>
      <c r="AM16" s="1221"/>
      <c r="AN16" s="1221"/>
      <c r="AO16" s="1221"/>
      <c r="AP16" s="1221"/>
      <c r="AQ16" s="1221"/>
      <c r="AR16" s="1221"/>
      <c r="AS16" s="1221"/>
      <c r="AT16" s="1221"/>
      <c r="AU16" s="1221"/>
      <c r="AV16" s="1221"/>
      <c r="AW16" s="1221"/>
      <c r="AX16" s="1221"/>
      <c r="AY16" s="1221"/>
      <c r="AZ16" s="1221"/>
      <c r="BA16" s="1221"/>
      <c r="BB16" s="1221"/>
      <c r="BC16" s="1221"/>
      <c r="BD16" s="1221"/>
      <c r="BE16" s="1221"/>
      <c r="BF16" s="1221"/>
      <c r="BG16" s="1221"/>
      <c r="BH16" s="1221"/>
      <c r="BI16" s="1221"/>
      <c r="BJ16" s="1221"/>
      <c r="BK16" s="1221"/>
      <c r="BL16" s="1221"/>
      <c r="BM16" s="1221"/>
      <c r="BN16" s="1221"/>
      <c r="BO16" s="1221"/>
      <c r="BP16" s="1221"/>
      <c r="BQ16" s="1221"/>
      <c r="BR16" s="1221"/>
      <c r="BS16" s="1221"/>
      <c r="BT16" s="1221"/>
      <c r="BU16" s="1221"/>
      <c r="BV16" s="1221"/>
      <c r="BW16" s="1221"/>
      <c r="BX16" s="1221"/>
      <c r="BY16" s="1221"/>
      <c r="BZ16" s="1221"/>
      <c r="CA16" s="1221"/>
      <c r="CB16" s="1221"/>
      <c r="CC16" s="1221"/>
      <c r="CD16" s="1221"/>
      <c r="CE16" s="1221"/>
      <c r="CF16" s="1221"/>
      <c r="CG16" s="1221"/>
      <c r="CH16" s="1221"/>
      <c r="CI16" s="1221"/>
      <c r="CJ16" s="1221"/>
      <c r="CK16" s="1221"/>
      <c r="CL16" s="1221"/>
      <c r="CM16" s="1221"/>
      <c r="CN16" s="1221"/>
      <c r="CO16" s="1221"/>
      <c r="CP16" s="1221"/>
      <c r="CQ16" s="1221"/>
      <c r="CR16" s="1221"/>
      <c r="CS16" s="1221"/>
      <c r="CT16" s="1221"/>
      <c r="CU16" s="1221"/>
      <c r="CV16" s="1221"/>
      <c r="CW16" s="1221"/>
      <c r="CX16" s="1221"/>
      <c r="CY16" s="1221"/>
      <c r="CZ16" s="1221"/>
      <c r="DA16" s="1221"/>
      <c r="DB16" s="1221"/>
      <c r="DC16" s="1221"/>
      <c r="DD16" s="1221"/>
      <c r="DE16" s="1221"/>
      <c r="DF16" s="1221"/>
      <c r="DG16" s="1221"/>
      <c r="DH16" s="1221"/>
      <c r="DI16" s="1221"/>
      <c r="DJ16" s="1221"/>
      <c r="DK16" s="1221"/>
      <c r="DL16" s="1221"/>
      <c r="DM16" s="1221"/>
      <c r="DN16" s="1221"/>
      <c r="DO16" s="1221"/>
      <c r="DP16" s="1221"/>
      <c r="DQ16" s="1221"/>
    </row>
    <row r="17" spans="1:121" ht="13.8">
      <c r="A17" s="1220"/>
      <c r="B17" s="1221"/>
      <c r="C17" s="1221"/>
      <c r="D17" s="1221"/>
      <c r="E17" s="1220"/>
      <c r="F17" s="1220"/>
      <c r="G17" s="1220"/>
      <c r="H17" s="1221"/>
      <c r="I17" s="1221"/>
      <c r="J17" s="1221"/>
      <c r="K17" s="1220"/>
      <c r="L17" s="1220"/>
      <c r="M17" s="1220"/>
      <c r="N17" s="1221"/>
      <c r="O17" s="1221"/>
      <c r="P17" s="1221"/>
      <c r="Q17" s="1220"/>
      <c r="R17" s="1220"/>
      <c r="S17" s="1220"/>
      <c r="T17" s="1221"/>
      <c r="U17" s="1221"/>
      <c r="V17" s="1221"/>
      <c r="W17" s="1221"/>
      <c r="X17" s="1221"/>
      <c r="Y17" s="1221"/>
      <c r="Z17" s="1221"/>
      <c r="AA17" s="1221"/>
      <c r="AB17" s="1221"/>
      <c r="AC17" s="1221"/>
      <c r="AD17" s="1221"/>
      <c r="AE17" s="1221"/>
      <c r="AF17" s="1221"/>
      <c r="AG17" s="1221"/>
      <c r="AH17" s="1221"/>
      <c r="AI17" s="1221"/>
      <c r="AJ17" s="1221"/>
      <c r="AK17" s="1221"/>
      <c r="AL17" s="1221"/>
      <c r="AM17" s="1221"/>
      <c r="AN17" s="1221"/>
      <c r="AO17" s="1221"/>
      <c r="AP17" s="1221"/>
      <c r="AQ17" s="1221"/>
      <c r="AR17" s="1221"/>
      <c r="AS17" s="1221"/>
      <c r="AT17" s="1221"/>
      <c r="AU17" s="1221"/>
      <c r="AV17" s="1221"/>
      <c r="AW17" s="1221"/>
      <c r="AX17" s="1221"/>
      <c r="AY17" s="1221"/>
      <c r="AZ17" s="1221"/>
      <c r="BA17" s="1221"/>
      <c r="BB17" s="1221"/>
      <c r="BC17" s="1221"/>
      <c r="BD17" s="1221"/>
      <c r="BE17" s="1221"/>
      <c r="BF17" s="1221"/>
      <c r="BG17" s="1221"/>
      <c r="BH17" s="1221"/>
      <c r="BI17" s="1221"/>
      <c r="BJ17" s="1221"/>
      <c r="BK17" s="1221"/>
      <c r="BL17" s="1221"/>
      <c r="BM17" s="1221"/>
      <c r="BN17" s="1221"/>
      <c r="BO17" s="1221"/>
      <c r="BP17" s="1221"/>
      <c r="BQ17" s="1221"/>
      <c r="BR17" s="1221"/>
      <c r="BS17" s="1221"/>
      <c r="BT17" s="1221"/>
      <c r="BU17" s="1221"/>
      <c r="BV17" s="1221"/>
      <c r="BW17" s="1221"/>
      <c r="BX17" s="1221"/>
      <c r="BY17" s="1221"/>
      <c r="BZ17" s="1221"/>
      <c r="CA17" s="1221"/>
      <c r="CB17" s="1221"/>
      <c r="CC17" s="1221"/>
      <c r="CD17" s="1221"/>
      <c r="CE17" s="1221"/>
      <c r="CF17" s="1221"/>
      <c r="CG17" s="1221"/>
      <c r="CH17" s="1221"/>
      <c r="CI17" s="1221"/>
      <c r="CJ17" s="1221"/>
      <c r="CK17" s="1221"/>
      <c r="CL17" s="1221"/>
      <c r="CM17" s="1221"/>
      <c r="CN17" s="1221"/>
      <c r="CO17" s="1221"/>
      <c r="CP17" s="1221"/>
      <c r="CQ17" s="1221"/>
      <c r="CR17" s="1221"/>
      <c r="CS17" s="1221"/>
      <c r="CT17" s="1221"/>
      <c r="CU17" s="1221"/>
      <c r="CV17" s="1221"/>
      <c r="CW17" s="1221"/>
      <c r="CX17" s="1221"/>
      <c r="CY17" s="1221"/>
      <c r="CZ17" s="1221"/>
      <c r="DA17" s="1221"/>
      <c r="DB17" s="1221"/>
      <c r="DC17" s="1221"/>
      <c r="DD17" s="1221"/>
      <c r="DE17" s="1221"/>
      <c r="DF17" s="1221"/>
      <c r="DG17" s="1221"/>
      <c r="DH17" s="1221"/>
      <c r="DI17" s="1221"/>
      <c r="DJ17" s="1221"/>
      <c r="DK17" s="1221"/>
      <c r="DL17" s="1221"/>
      <c r="DM17" s="1221"/>
      <c r="DN17" s="1221"/>
      <c r="DO17" s="1221"/>
      <c r="DP17" s="1221"/>
      <c r="DQ17" s="1221"/>
    </row>
    <row r="18" spans="1:121" ht="13.8">
      <c r="A18" s="1220"/>
      <c r="B18" s="1221"/>
      <c r="C18" s="1221"/>
      <c r="D18" s="1221"/>
      <c r="E18" s="1220"/>
      <c r="F18" s="1220"/>
      <c r="G18" s="1220"/>
      <c r="H18" s="1221"/>
      <c r="I18" s="1221"/>
      <c r="J18" s="1221"/>
      <c r="K18" s="1220"/>
      <c r="L18" s="1220"/>
      <c r="M18" s="1220"/>
      <c r="N18" s="1221"/>
      <c r="O18" s="1221"/>
      <c r="P18" s="1221"/>
      <c r="Q18" s="1220"/>
      <c r="R18" s="1220"/>
      <c r="S18" s="1220"/>
      <c r="T18" s="1221"/>
      <c r="U18" s="1221"/>
      <c r="V18" s="1221"/>
      <c r="W18" s="1221"/>
      <c r="X18" s="1221"/>
      <c r="Y18" s="1221"/>
      <c r="Z18" s="1221"/>
      <c r="AA18" s="1221"/>
      <c r="AB18" s="1221"/>
      <c r="AC18" s="1221"/>
      <c r="AD18" s="1221"/>
      <c r="AE18" s="1221"/>
      <c r="AF18" s="1221"/>
      <c r="AG18" s="1221"/>
      <c r="AH18" s="1221"/>
      <c r="AI18" s="1221"/>
      <c r="AJ18" s="1221"/>
      <c r="AK18" s="1221"/>
      <c r="AL18" s="1221"/>
      <c r="AM18" s="1221"/>
      <c r="AN18" s="1221"/>
      <c r="AO18" s="1221"/>
      <c r="AP18" s="1221"/>
      <c r="AQ18" s="1221"/>
      <c r="AR18" s="1221"/>
      <c r="AS18" s="1221"/>
      <c r="AT18" s="1221"/>
      <c r="AU18" s="1221"/>
      <c r="AV18" s="1221"/>
      <c r="AW18" s="1221"/>
      <c r="AX18" s="1221"/>
      <c r="AY18" s="1221"/>
      <c r="AZ18" s="1221"/>
      <c r="BA18" s="1221"/>
      <c r="BB18" s="1221"/>
      <c r="BC18" s="1221"/>
      <c r="BD18" s="1221"/>
      <c r="BE18" s="1221"/>
      <c r="BF18" s="1221"/>
      <c r="BG18" s="1221"/>
      <c r="BH18" s="1221"/>
      <c r="BI18" s="1221"/>
      <c r="BJ18" s="1221"/>
      <c r="BK18" s="1221"/>
      <c r="BL18" s="1221"/>
      <c r="BM18" s="1221"/>
      <c r="BN18" s="1221"/>
      <c r="BO18" s="1221"/>
      <c r="BP18" s="1221"/>
      <c r="BQ18" s="1221"/>
      <c r="BR18" s="1221"/>
      <c r="BS18" s="1221"/>
      <c r="BT18" s="1221"/>
      <c r="BU18" s="1221"/>
      <c r="BV18" s="1221"/>
      <c r="BW18" s="1221"/>
      <c r="BX18" s="1221"/>
      <c r="BY18" s="1221"/>
      <c r="BZ18" s="1221"/>
      <c r="CA18" s="1221"/>
      <c r="CB18" s="1221"/>
      <c r="CC18" s="1221"/>
      <c r="CD18" s="1221"/>
      <c r="CE18" s="1221"/>
      <c r="CF18" s="1221"/>
      <c r="CG18" s="1221"/>
      <c r="CH18" s="1221"/>
      <c r="CI18" s="1221"/>
      <c r="CJ18" s="1221"/>
      <c r="CK18" s="1221"/>
      <c r="CL18" s="1221"/>
      <c r="CM18" s="1221"/>
      <c r="CN18" s="1221"/>
      <c r="CO18" s="1221"/>
      <c r="CP18" s="1221"/>
      <c r="CQ18" s="1221"/>
      <c r="CR18" s="1221"/>
      <c r="CS18" s="1221"/>
      <c r="CT18" s="1221"/>
      <c r="CU18" s="1221"/>
      <c r="CV18" s="1221"/>
      <c r="CW18" s="1221"/>
      <c r="CX18" s="1221"/>
      <c r="CY18" s="1221"/>
      <c r="CZ18" s="1221"/>
      <c r="DA18" s="1221"/>
      <c r="DB18" s="1221"/>
      <c r="DC18" s="1221"/>
      <c r="DD18" s="1221"/>
      <c r="DE18" s="1221"/>
      <c r="DF18" s="1221"/>
      <c r="DG18" s="1221"/>
      <c r="DH18" s="1221"/>
      <c r="DI18" s="1221"/>
      <c r="DJ18" s="1221"/>
      <c r="DK18" s="1221"/>
      <c r="DL18" s="1221"/>
      <c r="DM18" s="1221"/>
      <c r="DN18" s="1221"/>
      <c r="DO18" s="1221"/>
      <c r="DP18" s="1221"/>
      <c r="DQ18" s="1221"/>
    </row>
    <row r="19" spans="1:121" ht="13.8">
      <c r="A19" s="1220"/>
      <c r="B19" s="1221"/>
      <c r="C19" s="1221"/>
      <c r="D19" s="1221"/>
      <c r="E19" s="1220"/>
      <c r="F19" s="1220"/>
      <c r="G19" s="1220"/>
      <c r="H19" s="1221"/>
      <c r="I19" s="1221"/>
      <c r="J19" s="1221"/>
      <c r="K19" s="1220"/>
      <c r="L19" s="1220"/>
      <c r="M19" s="1220"/>
      <c r="N19" s="1221"/>
      <c r="O19" s="1221"/>
      <c r="P19" s="1221"/>
      <c r="Q19" s="1220"/>
      <c r="R19" s="1220"/>
      <c r="S19" s="1220"/>
      <c r="T19" s="1221"/>
      <c r="U19" s="1221"/>
      <c r="V19" s="1221"/>
      <c r="W19" s="1221"/>
      <c r="X19" s="1221"/>
      <c r="Y19" s="1221"/>
      <c r="Z19" s="1221"/>
      <c r="AA19" s="1221"/>
      <c r="AB19" s="1221"/>
      <c r="AC19" s="1221"/>
      <c r="AD19" s="1221"/>
      <c r="AE19" s="1221"/>
      <c r="AF19" s="1221"/>
      <c r="AG19" s="1221"/>
      <c r="AH19" s="1221"/>
      <c r="AI19" s="1221"/>
      <c r="AJ19" s="1221"/>
      <c r="AK19" s="1221"/>
      <c r="AL19" s="1221"/>
      <c r="AM19" s="1221"/>
      <c r="AN19" s="1221"/>
      <c r="AO19" s="1221"/>
      <c r="AP19" s="1221"/>
      <c r="AQ19" s="1221"/>
      <c r="AR19" s="1221"/>
      <c r="AS19" s="1221"/>
      <c r="AT19" s="1221"/>
      <c r="AU19" s="1221"/>
      <c r="AV19" s="1221"/>
      <c r="AW19" s="1221"/>
      <c r="AX19" s="1221"/>
      <c r="AY19" s="1221"/>
      <c r="AZ19" s="1221"/>
      <c r="BA19" s="1221"/>
      <c r="BB19" s="1221"/>
      <c r="BC19" s="1221"/>
      <c r="BD19" s="1221"/>
      <c r="BE19" s="1221"/>
      <c r="BF19" s="1221"/>
      <c r="BG19" s="1221"/>
      <c r="BH19" s="1221"/>
      <c r="BI19" s="1221"/>
      <c r="BJ19" s="1221"/>
      <c r="BK19" s="1221"/>
      <c r="BL19" s="1221"/>
      <c r="BM19" s="1221"/>
      <c r="BN19" s="1221"/>
      <c r="BO19" s="1221"/>
      <c r="BP19" s="1221"/>
      <c r="BQ19" s="1221"/>
      <c r="BR19" s="1221"/>
      <c r="BS19" s="1221"/>
      <c r="BT19" s="1221"/>
      <c r="BU19" s="1221"/>
      <c r="BV19" s="1221"/>
      <c r="BW19" s="1221"/>
      <c r="BX19" s="1221"/>
      <c r="BY19" s="1221"/>
      <c r="BZ19" s="1221"/>
      <c r="CA19" s="1221"/>
      <c r="CB19" s="1221"/>
      <c r="CC19" s="1221"/>
      <c r="CD19" s="1221"/>
      <c r="CE19" s="1221"/>
      <c r="CF19" s="1221"/>
      <c r="CG19" s="1221"/>
      <c r="CH19" s="1221"/>
      <c r="CI19" s="1221"/>
      <c r="CJ19" s="1221"/>
      <c r="CK19" s="1221"/>
      <c r="CL19" s="1221"/>
      <c r="CM19" s="1221"/>
      <c r="CN19" s="1221"/>
      <c r="CO19" s="1221"/>
      <c r="CP19" s="1221"/>
      <c r="CQ19" s="1221"/>
      <c r="CR19" s="1221"/>
      <c r="CS19" s="1221"/>
      <c r="CT19" s="1221"/>
      <c r="CU19" s="1221"/>
      <c r="CV19" s="1221"/>
      <c r="CW19" s="1221"/>
      <c r="CX19" s="1221"/>
      <c r="CY19" s="1221"/>
      <c r="CZ19" s="1221"/>
      <c r="DA19" s="1221"/>
      <c r="DB19" s="1221"/>
      <c r="DC19" s="1221"/>
      <c r="DD19" s="1221"/>
      <c r="DE19" s="1221"/>
      <c r="DF19" s="1221"/>
      <c r="DG19" s="1221"/>
      <c r="DH19" s="1221"/>
      <c r="DI19" s="1221"/>
      <c r="DJ19" s="1221"/>
      <c r="DK19" s="1221"/>
      <c r="DL19" s="1221"/>
      <c r="DM19" s="1221"/>
      <c r="DN19" s="1221"/>
      <c r="DO19" s="1221"/>
      <c r="DP19" s="1221"/>
      <c r="DQ19" s="1221"/>
    </row>
    <row r="20" spans="1:121" ht="13.8">
      <c r="A20" s="1220"/>
      <c r="B20" s="1221"/>
      <c r="C20" s="1221"/>
      <c r="D20" s="1221"/>
      <c r="E20" s="1220"/>
      <c r="F20" s="1220"/>
      <c r="G20" s="1220"/>
      <c r="H20" s="1221"/>
      <c r="I20" s="1221"/>
      <c r="J20" s="1221"/>
      <c r="K20" s="1220"/>
      <c r="L20" s="1220"/>
      <c r="M20" s="1220"/>
      <c r="N20" s="1221"/>
      <c r="O20" s="1221"/>
      <c r="P20" s="1221"/>
      <c r="Q20" s="1220"/>
      <c r="R20" s="1220"/>
      <c r="S20" s="1220"/>
      <c r="T20" s="1221"/>
      <c r="U20" s="1221"/>
      <c r="V20" s="1221"/>
      <c r="W20" s="1221"/>
      <c r="X20" s="1221"/>
      <c r="Y20" s="1221"/>
      <c r="Z20" s="1221"/>
      <c r="AA20" s="1221"/>
      <c r="AB20" s="1221"/>
      <c r="AC20" s="1221"/>
      <c r="AD20" s="1221"/>
      <c r="AE20" s="1221"/>
      <c r="AF20" s="1221"/>
      <c r="AG20" s="1221"/>
      <c r="AH20" s="1221"/>
      <c r="AI20" s="1221"/>
      <c r="AJ20" s="1221"/>
      <c r="AK20" s="1221"/>
      <c r="AL20" s="1221"/>
      <c r="AM20" s="1221"/>
      <c r="AN20" s="1221"/>
      <c r="AO20" s="1221"/>
      <c r="AP20" s="1221"/>
      <c r="AQ20" s="1221"/>
      <c r="AR20" s="1221"/>
      <c r="AS20" s="1221"/>
      <c r="AT20" s="1221"/>
      <c r="AU20" s="1221"/>
      <c r="AV20" s="1221"/>
      <c r="AW20" s="1221"/>
      <c r="AX20" s="1221"/>
      <c r="AY20" s="1221"/>
      <c r="AZ20" s="1221"/>
      <c r="BA20" s="1221"/>
      <c r="BB20" s="1221"/>
      <c r="BC20" s="1221"/>
      <c r="BD20" s="1221"/>
      <c r="BE20" s="1221"/>
      <c r="BF20" s="1221"/>
      <c r="BG20" s="1221"/>
      <c r="BH20" s="1221"/>
      <c r="BI20" s="1221"/>
      <c r="BJ20" s="1221"/>
      <c r="BK20" s="1221"/>
      <c r="BL20" s="1221"/>
      <c r="BM20" s="1221"/>
      <c r="BN20" s="1221"/>
      <c r="BO20" s="1221"/>
      <c r="BP20" s="1221"/>
      <c r="BQ20" s="1221"/>
      <c r="BR20" s="1221"/>
      <c r="BS20" s="1221"/>
      <c r="BT20" s="1221"/>
      <c r="BU20" s="1221"/>
      <c r="BV20" s="1221"/>
      <c r="BW20" s="1221"/>
      <c r="BX20" s="1221"/>
      <c r="BY20" s="1221"/>
      <c r="BZ20" s="1221"/>
      <c r="CA20" s="1221"/>
      <c r="CB20" s="1221"/>
      <c r="CC20" s="1221"/>
      <c r="CD20" s="1221"/>
      <c r="CE20" s="1221"/>
      <c r="CF20" s="1221"/>
      <c r="CG20" s="1221"/>
      <c r="CH20" s="1221"/>
      <c r="CI20" s="1221"/>
      <c r="CJ20" s="1221"/>
      <c r="CK20" s="1221"/>
      <c r="CL20" s="1221"/>
      <c r="CM20" s="1221"/>
      <c r="CN20" s="1221"/>
      <c r="CO20" s="1221"/>
      <c r="CP20" s="1221"/>
      <c r="CQ20" s="1221"/>
      <c r="CR20" s="1221"/>
      <c r="CS20" s="1221"/>
      <c r="CT20" s="1221"/>
      <c r="CU20" s="1221"/>
      <c r="CV20" s="1221"/>
      <c r="CW20" s="1221"/>
      <c r="CX20" s="1221"/>
      <c r="CY20" s="1221"/>
      <c r="CZ20" s="1221"/>
      <c r="DA20" s="1221"/>
      <c r="DB20" s="1221"/>
      <c r="DC20" s="1221"/>
      <c r="DD20" s="1221"/>
      <c r="DE20" s="1221"/>
      <c r="DF20" s="1221"/>
      <c r="DG20" s="1221"/>
      <c r="DH20" s="1221"/>
      <c r="DI20" s="1221"/>
      <c r="DJ20" s="1221"/>
      <c r="DK20" s="1221"/>
      <c r="DL20" s="1221"/>
      <c r="DM20" s="1221"/>
      <c r="DN20" s="1221"/>
      <c r="DO20" s="1221"/>
      <c r="DP20" s="1221"/>
      <c r="DQ20" s="1221"/>
    </row>
    <row r="21" spans="1:121" ht="13.8">
      <c r="A21" s="1220"/>
      <c r="B21" s="1221"/>
      <c r="C21" s="1221"/>
      <c r="D21" s="1221"/>
      <c r="E21" s="1220"/>
      <c r="F21" s="1220"/>
      <c r="G21" s="1220"/>
      <c r="H21" s="1221"/>
      <c r="I21" s="1221"/>
      <c r="J21" s="1221"/>
      <c r="K21" s="1220"/>
      <c r="L21" s="1220"/>
      <c r="M21" s="1220"/>
      <c r="N21" s="1221"/>
      <c r="O21" s="1221"/>
      <c r="P21" s="1221"/>
      <c r="Q21" s="1220"/>
      <c r="R21" s="1220"/>
      <c r="S21" s="1220"/>
      <c r="T21" s="1221"/>
      <c r="U21" s="1221"/>
      <c r="V21" s="1221"/>
      <c r="W21" s="1221"/>
      <c r="X21" s="1221"/>
      <c r="Y21" s="1221"/>
      <c r="Z21" s="1221"/>
      <c r="AA21" s="1221"/>
      <c r="AB21" s="1221"/>
      <c r="AC21" s="1221"/>
      <c r="AD21" s="1221"/>
      <c r="AE21" s="1221"/>
      <c r="AF21" s="1221"/>
      <c r="AG21" s="1221"/>
      <c r="AH21" s="1221"/>
      <c r="AI21" s="1221"/>
      <c r="AJ21" s="1221"/>
      <c r="AK21" s="1221"/>
      <c r="AL21" s="1221"/>
      <c r="AM21" s="1221"/>
      <c r="AN21" s="1221"/>
      <c r="AO21" s="1221"/>
      <c r="AP21" s="1221"/>
      <c r="AQ21" s="1221"/>
      <c r="AR21" s="1221"/>
      <c r="AS21" s="1221"/>
      <c r="AT21" s="1221"/>
      <c r="AU21" s="1221"/>
      <c r="AV21" s="1221"/>
      <c r="AW21" s="1221"/>
      <c r="AX21" s="1221"/>
      <c r="AY21" s="1221"/>
      <c r="AZ21" s="1221"/>
      <c r="BA21" s="1221"/>
      <c r="BB21" s="1221"/>
      <c r="BC21" s="1221"/>
      <c r="BD21" s="1221"/>
      <c r="BE21" s="1221"/>
      <c r="BF21" s="1221"/>
      <c r="BG21" s="1221"/>
      <c r="BH21" s="1221"/>
      <c r="BI21" s="1221"/>
      <c r="BJ21" s="1221"/>
      <c r="BK21" s="1221"/>
      <c r="BL21" s="1221"/>
      <c r="BM21" s="1221"/>
      <c r="BN21" s="1221"/>
      <c r="BO21" s="1221"/>
      <c r="BP21" s="1221"/>
      <c r="BQ21" s="1221"/>
      <c r="BR21" s="1221"/>
      <c r="BS21" s="1221"/>
      <c r="BT21" s="1221"/>
      <c r="BU21" s="1221"/>
      <c r="BV21" s="1221"/>
      <c r="BW21" s="1221"/>
      <c r="BX21" s="1221"/>
      <c r="BY21" s="1221"/>
      <c r="BZ21" s="1221"/>
      <c r="CA21" s="1221"/>
      <c r="CB21" s="1221"/>
      <c r="CC21" s="1221"/>
      <c r="CD21" s="1221"/>
      <c r="CE21" s="1221"/>
      <c r="CF21" s="1221"/>
      <c r="CG21" s="1221"/>
      <c r="CH21" s="1221"/>
      <c r="CI21" s="1221"/>
      <c r="CJ21" s="1221"/>
      <c r="CK21" s="1221"/>
      <c r="CL21" s="1221"/>
      <c r="CM21" s="1221"/>
      <c r="CN21" s="1221"/>
      <c r="CO21" s="1221"/>
      <c r="CP21" s="1221"/>
      <c r="CQ21" s="1221"/>
      <c r="CR21" s="1221"/>
      <c r="CS21" s="1221"/>
      <c r="CT21" s="1221"/>
      <c r="CU21" s="1221"/>
      <c r="CV21" s="1221"/>
      <c r="CW21" s="1221"/>
      <c r="CX21" s="1221"/>
      <c r="CY21" s="1221"/>
      <c r="CZ21" s="1221"/>
      <c r="DA21" s="1221"/>
      <c r="DB21" s="1221"/>
      <c r="DC21" s="1221"/>
      <c r="DD21" s="1221"/>
      <c r="DE21" s="1221"/>
      <c r="DF21" s="1221"/>
      <c r="DG21" s="1221"/>
      <c r="DH21" s="1221"/>
      <c r="DI21" s="1221"/>
      <c r="DJ21" s="1221"/>
      <c r="DK21" s="1221"/>
      <c r="DL21" s="1221"/>
      <c r="DM21" s="1221"/>
      <c r="DN21" s="1221"/>
      <c r="DO21" s="1221"/>
      <c r="DP21" s="1221"/>
      <c r="DQ21" s="1221"/>
    </row>
    <row r="22" spans="1:121" ht="13.8">
      <c r="A22" s="1220"/>
      <c r="B22" s="1221"/>
      <c r="C22" s="1221"/>
      <c r="D22" s="1221"/>
      <c r="E22" s="1220"/>
      <c r="F22" s="1220"/>
      <c r="G22" s="1220"/>
      <c r="H22" s="1221"/>
      <c r="I22" s="1221"/>
      <c r="J22" s="1221"/>
      <c r="K22" s="1220"/>
      <c r="L22" s="1220"/>
      <c r="M22" s="1220"/>
      <c r="N22" s="1221"/>
      <c r="O22" s="1221"/>
      <c r="P22" s="1221"/>
      <c r="Q22" s="1220"/>
      <c r="R22" s="1220"/>
      <c r="S22" s="1220"/>
      <c r="T22" s="1221"/>
      <c r="U22" s="1221"/>
      <c r="V22" s="1221"/>
      <c r="W22" s="1221"/>
      <c r="X22" s="1221"/>
      <c r="Y22" s="1221"/>
      <c r="Z22" s="1221"/>
      <c r="AA22" s="1221"/>
      <c r="AB22" s="1221"/>
      <c r="AC22" s="1221"/>
      <c r="AD22" s="1221"/>
      <c r="AE22" s="1221"/>
      <c r="AF22" s="1221"/>
      <c r="AG22" s="1221"/>
      <c r="AH22" s="1221"/>
      <c r="AI22" s="1221"/>
      <c r="AJ22" s="1221"/>
      <c r="AK22" s="1221"/>
      <c r="AL22" s="1221"/>
      <c r="AM22" s="1221"/>
      <c r="AN22" s="1221"/>
      <c r="AO22" s="1221"/>
      <c r="AP22" s="1221"/>
      <c r="AQ22" s="1221"/>
      <c r="AR22" s="1221"/>
      <c r="AS22" s="1221"/>
      <c r="AT22" s="1221"/>
      <c r="AU22" s="1221"/>
      <c r="AV22" s="1221"/>
      <c r="AW22" s="1221"/>
      <c r="AX22" s="1221"/>
      <c r="AY22" s="1221"/>
      <c r="AZ22" s="1221"/>
      <c r="BA22" s="1221"/>
      <c r="BB22" s="1221"/>
      <c r="BC22" s="1221"/>
      <c r="BD22" s="1221"/>
      <c r="BE22" s="1221"/>
      <c r="BF22" s="1221"/>
      <c r="BG22" s="1221"/>
      <c r="BH22" s="1221"/>
      <c r="BI22" s="1221"/>
      <c r="BJ22" s="1221"/>
      <c r="BK22" s="1221"/>
      <c r="BL22" s="1221"/>
      <c r="BM22" s="1221"/>
      <c r="BN22" s="1221"/>
      <c r="BO22" s="1221"/>
      <c r="BP22" s="1221"/>
      <c r="BQ22" s="1221"/>
      <c r="BR22" s="1221"/>
      <c r="BS22" s="1221"/>
      <c r="BT22" s="1221"/>
      <c r="BU22" s="1221"/>
      <c r="BV22" s="1221"/>
      <c r="BW22" s="1221"/>
      <c r="BX22" s="1221"/>
      <c r="BY22" s="1221"/>
      <c r="BZ22" s="1221"/>
      <c r="CA22" s="1221"/>
      <c r="CB22" s="1221"/>
      <c r="CC22" s="1221"/>
      <c r="CD22" s="1221"/>
      <c r="CE22" s="1221"/>
      <c r="CF22" s="1221"/>
      <c r="CG22" s="1221"/>
      <c r="CH22" s="1221"/>
      <c r="CI22" s="1221"/>
      <c r="CJ22" s="1221"/>
      <c r="CK22" s="1221"/>
      <c r="CL22" s="1221"/>
      <c r="CM22" s="1221"/>
      <c r="CN22" s="1221"/>
      <c r="CO22" s="1221"/>
      <c r="CP22" s="1221"/>
      <c r="CQ22" s="1221"/>
      <c r="CR22" s="1221"/>
      <c r="CS22" s="1221"/>
      <c r="CT22" s="1221"/>
      <c r="CU22" s="1221"/>
      <c r="CV22" s="1221"/>
      <c r="CW22" s="1221"/>
      <c r="CX22" s="1221"/>
      <c r="CY22" s="1221"/>
      <c r="CZ22" s="1221"/>
      <c r="DA22" s="1221"/>
      <c r="DB22" s="1221"/>
      <c r="DC22" s="1221"/>
      <c r="DD22" s="1221"/>
      <c r="DE22" s="1221"/>
      <c r="DF22" s="1221"/>
      <c r="DG22" s="1221"/>
      <c r="DH22" s="1221"/>
      <c r="DI22" s="1221"/>
      <c r="DJ22" s="1221"/>
      <c r="DK22" s="1221"/>
      <c r="DL22" s="1221"/>
      <c r="DM22" s="1221"/>
      <c r="DN22" s="1221"/>
      <c r="DO22" s="1221"/>
      <c r="DP22" s="1221"/>
      <c r="DQ22" s="1221"/>
    </row>
    <row r="23" spans="1:121" ht="13.8">
      <c r="A23" s="1220"/>
      <c r="B23" s="1221"/>
      <c r="C23" s="1221"/>
      <c r="D23" s="1221"/>
      <c r="E23" s="1220"/>
      <c r="F23" s="1220"/>
      <c r="G23" s="1220"/>
      <c r="H23" s="1221"/>
      <c r="I23" s="1221"/>
      <c r="J23" s="1221"/>
      <c r="K23" s="1220"/>
      <c r="L23" s="1220"/>
      <c r="M23" s="1220"/>
      <c r="N23" s="1221"/>
      <c r="O23" s="1221"/>
      <c r="P23" s="1221"/>
      <c r="Q23" s="1220"/>
      <c r="R23" s="1220"/>
      <c r="S23" s="1220"/>
      <c r="T23" s="1221"/>
      <c r="U23" s="1221"/>
      <c r="V23" s="1221"/>
      <c r="W23" s="1221"/>
      <c r="X23" s="1221"/>
      <c r="Y23" s="1221"/>
      <c r="Z23" s="1221"/>
      <c r="AA23" s="1221"/>
      <c r="AB23" s="1221"/>
      <c r="AC23" s="1221"/>
      <c r="AD23" s="1221"/>
      <c r="AE23" s="1221"/>
      <c r="AF23" s="1221"/>
      <c r="AG23" s="1221"/>
      <c r="AH23" s="1221"/>
      <c r="AI23" s="1221"/>
      <c r="AJ23" s="1221"/>
      <c r="AK23" s="1221"/>
      <c r="AL23" s="1221"/>
      <c r="AM23" s="1221"/>
      <c r="AN23" s="1221"/>
      <c r="AO23" s="1221"/>
      <c r="AP23" s="1221"/>
      <c r="AQ23" s="1221"/>
      <c r="AR23" s="1221"/>
      <c r="AS23" s="1221"/>
      <c r="AT23" s="1221"/>
      <c r="AU23" s="1221"/>
      <c r="AV23" s="1221"/>
      <c r="AW23" s="1221"/>
      <c r="AX23" s="1221"/>
      <c r="AY23" s="1221"/>
      <c r="AZ23" s="1221"/>
      <c r="BA23" s="1221"/>
      <c r="BB23" s="1221"/>
      <c r="BC23" s="1221"/>
      <c r="BD23" s="1221"/>
      <c r="BE23" s="1221"/>
      <c r="BF23" s="1221"/>
      <c r="BG23" s="1221"/>
      <c r="BH23" s="1221"/>
      <c r="BI23" s="1221"/>
      <c r="BJ23" s="1221"/>
      <c r="BK23" s="1221"/>
      <c r="BL23" s="1221"/>
      <c r="BM23" s="1221"/>
      <c r="BN23" s="1221"/>
      <c r="BO23" s="1221"/>
      <c r="BP23" s="1221"/>
      <c r="BQ23" s="1221"/>
      <c r="BR23" s="1221"/>
      <c r="BS23" s="1221"/>
      <c r="BT23" s="1221"/>
      <c r="BU23" s="1221"/>
      <c r="BV23" s="1221"/>
      <c r="BW23" s="1221"/>
      <c r="BX23" s="1221"/>
      <c r="BY23" s="1221"/>
      <c r="BZ23" s="1221"/>
      <c r="CA23" s="1221"/>
      <c r="CB23" s="1221"/>
      <c r="CC23" s="1221"/>
      <c r="CD23" s="1221"/>
      <c r="CE23" s="1221"/>
      <c r="CF23" s="1221"/>
      <c r="CG23" s="1221"/>
      <c r="CH23" s="1221"/>
      <c r="CI23" s="1221"/>
      <c r="CJ23" s="1221"/>
      <c r="CK23" s="1221"/>
      <c r="CL23" s="1221"/>
      <c r="CM23" s="1221"/>
      <c r="CN23" s="1221"/>
      <c r="CO23" s="1221"/>
      <c r="CP23" s="1221"/>
      <c r="CQ23" s="1221"/>
      <c r="CR23" s="1221"/>
      <c r="CS23" s="1221"/>
      <c r="CT23" s="1221"/>
      <c r="CU23" s="1221"/>
      <c r="CV23" s="1221"/>
      <c r="CW23" s="1221"/>
      <c r="CX23" s="1221"/>
      <c r="CY23" s="1221"/>
      <c r="CZ23" s="1221"/>
      <c r="DA23" s="1221"/>
      <c r="DB23" s="1221"/>
      <c r="DC23" s="1221"/>
      <c r="DD23" s="1221"/>
      <c r="DE23" s="1221"/>
      <c r="DF23" s="1221"/>
      <c r="DG23" s="1221"/>
      <c r="DH23" s="1221"/>
      <c r="DI23" s="1221"/>
      <c r="DJ23" s="1221"/>
      <c r="DK23" s="1221"/>
      <c r="DL23" s="1221"/>
      <c r="DM23" s="1221"/>
      <c r="DN23" s="1221"/>
      <c r="DO23" s="1221"/>
      <c r="DP23" s="1221"/>
      <c r="DQ23" s="1221"/>
    </row>
    <row r="24" spans="1:121" ht="13.8">
      <c r="A24" s="1220"/>
      <c r="B24" s="1221"/>
      <c r="C24" s="1221"/>
      <c r="D24" s="1221"/>
      <c r="E24" s="1220"/>
      <c r="F24" s="1220"/>
      <c r="G24" s="1220"/>
      <c r="H24" s="1221"/>
      <c r="I24" s="1221"/>
      <c r="J24" s="1221"/>
      <c r="K24" s="1220"/>
      <c r="L24" s="1220"/>
      <c r="M24" s="1220"/>
      <c r="N24" s="1221"/>
      <c r="O24" s="1221"/>
      <c r="P24" s="1221"/>
      <c r="Q24" s="1220"/>
      <c r="R24" s="1220"/>
      <c r="S24" s="1220"/>
      <c r="T24" s="1221"/>
      <c r="U24" s="1221"/>
      <c r="V24" s="1221"/>
      <c r="W24" s="1221"/>
      <c r="X24" s="1221"/>
      <c r="Y24" s="1221"/>
      <c r="Z24" s="1221"/>
      <c r="AA24" s="1221"/>
      <c r="AB24" s="1221"/>
      <c r="AC24" s="1221"/>
      <c r="AD24" s="1221"/>
      <c r="AE24" s="1221"/>
      <c r="AF24" s="1221"/>
      <c r="AG24" s="1221"/>
      <c r="AH24" s="1221"/>
      <c r="AI24" s="1221"/>
      <c r="AJ24" s="1221"/>
      <c r="AK24" s="1221"/>
      <c r="AL24" s="1221"/>
      <c r="AM24" s="1221"/>
      <c r="AN24" s="1221"/>
      <c r="AO24" s="1221"/>
      <c r="AP24" s="1221"/>
      <c r="AQ24" s="1221"/>
      <c r="AR24" s="1221"/>
      <c r="AS24" s="1221"/>
      <c r="AT24" s="1221"/>
      <c r="AU24" s="1221"/>
      <c r="AV24" s="1221"/>
      <c r="AW24" s="1221"/>
      <c r="AX24" s="1221"/>
      <c r="AY24" s="1221"/>
      <c r="AZ24" s="1221"/>
      <c r="BA24" s="1221"/>
      <c r="BB24" s="1221"/>
      <c r="BC24" s="1221"/>
      <c r="BD24" s="1221"/>
      <c r="BE24" s="1221"/>
      <c r="BF24" s="1221"/>
      <c r="BG24" s="1221"/>
      <c r="BH24" s="1221"/>
      <c r="BI24" s="1221"/>
      <c r="BJ24" s="1221"/>
      <c r="BK24" s="1221"/>
      <c r="BL24" s="1221"/>
      <c r="BM24" s="1221"/>
      <c r="BN24" s="1221"/>
      <c r="BO24" s="1221"/>
      <c r="BP24" s="1221"/>
      <c r="BQ24" s="1221"/>
      <c r="BR24" s="1221"/>
      <c r="BS24" s="1221"/>
      <c r="BT24" s="1221"/>
      <c r="BU24" s="1221"/>
      <c r="BV24" s="1221"/>
      <c r="BW24" s="1221"/>
      <c r="BX24" s="1221"/>
      <c r="BY24" s="1221"/>
      <c r="BZ24" s="1221"/>
      <c r="CA24" s="1221"/>
      <c r="CB24" s="1221"/>
      <c r="CC24" s="1221"/>
      <c r="CD24" s="1221"/>
      <c r="CE24" s="1221"/>
      <c r="CF24" s="1221"/>
      <c r="CG24" s="1221"/>
      <c r="CH24" s="1221"/>
      <c r="CI24" s="1221"/>
      <c r="CJ24" s="1221"/>
      <c r="CK24" s="1221"/>
      <c r="CL24" s="1221"/>
      <c r="CM24" s="1221"/>
      <c r="CN24" s="1221"/>
      <c r="CO24" s="1221"/>
      <c r="CP24" s="1221"/>
      <c r="CQ24" s="1221"/>
      <c r="CR24" s="1221"/>
      <c r="CS24" s="1221"/>
      <c r="CT24" s="1221"/>
      <c r="CU24" s="1221"/>
      <c r="CV24" s="1221"/>
      <c r="CW24" s="1221"/>
      <c r="CX24" s="1221"/>
      <c r="CY24" s="1221"/>
      <c r="CZ24" s="1221"/>
      <c r="DA24" s="1221"/>
      <c r="DB24" s="1221"/>
      <c r="DC24" s="1221"/>
      <c r="DD24" s="1221"/>
      <c r="DE24" s="1221"/>
      <c r="DF24" s="1221"/>
      <c r="DG24" s="1221"/>
      <c r="DH24" s="1221"/>
      <c r="DI24" s="1221"/>
      <c r="DJ24" s="1221"/>
      <c r="DK24" s="1221"/>
      <c r="DL24" s="1221"/>
      <c r="DM24" s="1221"/>
      <c r="DN24" s="1221"/>
      <c r="DO24" s="1221"/>
      <c r="DP24" s="1221"/>
      <c r="DQ24" s="1221"/>
    </row>
    <row r="25" spans="1:121" ht="13.8">
      <c r="A25" s="1220"/>
      <c r="B25" s="1221"/>
      <c r="C25" s="1221"/>
      <c r="D25" s="1221"/>
      <c r="E25" s="1220"/>
      <c r="F25" s="1220"/>
      <c r="G25" s="1220"/>
      <c r="H25" s="1221"/>
      <c r="I25" s="1221"/>
      <c r="J25" s="1221"/>
      <c r="K25" s="1220"/>
      <c r="L25" s="1220"/>
      <c r="M25" s="1220"/>
      <c r="N25" s="1221"/>
      <c r="O25" s="1221"/>
      <c r="P25" s="1221"/>
      <c r="Q25" s="1220"/>
      <c r="R25" s="1220"/>
      <c r="S25" s="1220"/>
      <c r="T25" s="1221"/>
      <c r="U25" s="1221"/>
      <c r="V25" s="1221"/>
      <c r="W25" s="1221"/>
      <c r="X25" s="1221"/>
      <c r="Y25" s="1221"/>
      <c r="Z25" s="1221"/>
      <c r="AA25" s="1221"/>
      <c r="AB25" s="1221"/>
      <c r="AC25" s="1221"/>
      <c r="AD25" s="1221"/>
      <c r="AE25" s="1221"/>
      <c r="AF25" s="1221"/>
      <c r="AG25" s="1221"/>
      <c r="AH25" s="1221"/>
      <c r="AI25" s="1221"/>
      <c r="AJ25" s="1221"/>
      <c r="AK25" s="1221"/>
      <c r="AL25" s="1221"/>
      <c r="AM25" s="1221"/>
      <c r="AN25" s="1221"/>
      <c r="AO25" s="1221"/>
      <c r="AP25" s="1221"/>
      <c r="AQ25" s="1221"/>
      <c r="AR25" s="1221"/>
      <c r="AS25" s="1221"/>
      <c r="AT25" s="1221"/>
      <c r="AU25" s="1221"/>
      <c r="AV25" s="1221"/>
      <c r="AW25" s="1221"/>
      <c r="AX25" s="1221"/>
      <c r="AY25" s="1221"/>
      <c r="AZ25" s="1221"/>
      <c r="BA25" s="1221"/>
      <c r="BB25" s="1221"/>
      <c r="BC25" s="1221"/>
      <c r="BD25" s="1221"/>
      <c r="BE25" s="1221"/>
      <c r="BF25" s="1221"/>
      <c r="BG25" s="1221"/>
      <c r="BH25" s="1221"/>
      <c r="BI25" s="1221"/>
      <c r="BJ25" s="1221"/>
      <c r="BK25" s="1221"/>
      <c r="BL25" s="1221"/>
      <c r="BM25" s="1221"/>
      <c r="BN25" s="1221"/>
      <c r="BO25" s="1221"/>
      <c r="BP25" s="1221"/>
      <c r="BQ25" s="1221"/>
      <c r="BR25" s="1221"/>
      <c r="BS25" s="1221"/>
      <c r="BT25" s="1221"/>
      <c r="BU25" s="1221"/>
      <c r="BV25" s="1221"/>
      <c r="BW25" s="1221"/>
      <c r="BX25" s="1221"/>
      <c r="BY25" s="1221"/>
      <c r="BZ25" s="1221"/>
      <c r="CA25" s="1221"/>
      <c r="CB25" s="1221"/>
      <c r="CC25" s="1221"/>
      <c r="CD25" s="1221"/>
      <c r="CE25" s="1221"/>
      <c r="CF25" s="1221"/>
      <c r="CG25" s="1221"/>
      <c r="CH25" s="1221"/>
      <c r="CI25" s="1221"/>
      <c r="CJ25" s="1221"/>
      <c r="CK25" s="1221"/>
      <c r="CL25" s="1221"/>
      <c r="CM25" s="1221"/>
      <c r="CN25" s="1221"/>
      <c r="CO25" s="1221"/>
      <c r="CP25" s="1221"/>
      <c r="CQ25" s="1221"/>
      <c r="CR25" s="1221"/>
      <c r="CS25" s="1221"/>
      <c r="CT25" s="1221"/>
      <c r="CU25" s="1221"/>
      <c r="CV25" s="1221"/>
      <c r="CW25" s="1221"/>
      <c r="CX25" s="1221"/>
      <c r="CY25" s="1221"/>
      <c r="CZ25" s="1221"/>
      <c r="DA25" s="1221"/>
      <c r="DB25" s="1221"/>
      <c r="DC25" s="1221"/>
      <c r="DD25" s="1221"/>
      <c r="DE25" s="1221"/>
      <c r="DF25" s="1221"/>
      <c r="DG25" s="1221"/>
      <c r="DH25" s="1221"/>
      <c r="DI25" s="1221"/>
      <c r="DJ25" s="1221"/>
      <c r="DK25" s="1221"/>
      <c r="DL25" s="1221"/>
      <c r="DM25" s="1221"/>
      <c r="DN25" s="1221"/>
      <c r="DO25" s="1221"/>
      <c r="DP25" s="1221"/>
      <c r="DQ25" s="1221"/>
    </row>
    <row r="26" spans="1:121" ht="13.8">
      <c r="A26" s="1223"/>
      <c r="B26" s="1224"/>
      <c r="C26" s="1224"/>
      <c r="D26" s="1224"/>
      <c r="E26" s="1223"/>
      <c r="F26" s="1223"/>
      <c r="G26" s="1223"/>
      <c r="H26" s="1224"/>
      <c r="I26" s="1224"/>
      <c r="J26" s="1224"/>
      <c r="K26" s="1223"/>
      <c r="L26" s="1223"/>
      <c r="M26" s="1223"/>
      <c r="N26" s="1224"/>
      <c r="O26" s="1224"/>
      <c r="P26" s="1224"/>
      <c r="Q26" s="1223"/>
      <c r="R26" s="1223"/>
      <c r="S26" s="1223"/>
      <c r="T26" s="1224"/>
      <c r="U26" s="1224"/>
      <c r="V26" s="1224"/>
      <c r="W26" s="1224"/>
      <c r="X26" s="1224"/>
      <c r="Y26" s="1224"/>
      <c r="Z26" s="1224"/>
      <c r="AA26" s="1224"/>
      <c r="AB26" s="1224"/>
      <c r="AC26" s="1224"/>
      <c r="AD26" s="1224"/>
      <c r="AE26" s="1224"/>
      <c r="AF26" s="1224"/>
      <c r="AG26" s="1224"/>
      <c r="AH26" s="1224"/>
      <c r="AI26" s="1224"/>
      <c r="AJ26" s="1224"/>
      <c r="AK26" s="1224"/>
      <c r="AL26" s="1224"/>
      <c r="AM26" s="1224"/>
      <c r="AN26" s="1224"/>
      <c r="AO26" s="1224"/>
      <c r="AP26" s="1224"/>
      <c r="AQ26" s="1224"/>
      <c r="AR26" s="1224"/>
      <c r="AS26" s="1224"/>
      <c r="AT26" s="1224"/>
      <c r="AU26" s="1224"/>
      <c r="AV26" s="1224"/>
      <c r="AW26" s="1224"/>
      <c r="AX26" s="1224"/>
      <c r="AY26" s="1224"/>
      <c r="AZ26" s="1224"/>
      <c r="BA26" s="1224"/>
      <c r="BB26" s="1224"/>
      <c r="BC26" s="1224"/>
      <c r="BD26" s="1224"/>
      <c r="BE26" s="1224"/>
      <c r="BF26" s="1224"/>
      <c r="BG26" s="1224"/>
      <c r="BH26" s="1224"/>
      <c r="BI26" s="1224"/>
      <c r="BJ26" s="1224"/>
      <c r="BK26" s="1224"/>
      <c r="BL26" s="1224"/>
      <c r="BM26" s="1224"/>
      <c r="BN26" s="1224"/>
      <c r="BO26" s="1224"/>
      <c r="BP26" s="1224"/>
      <c r="BQ26" s="1224"/>
      <c r="BR26" s="1224"/>
      <c r="BS26" s="1224"/>
      <c r="BT26" s="1224"/>
      <c r="BU26" s="1224"/>
      <c r="BV26" s="1224"/>
      <c r="BW26" s="1224"/>
      <c r="BX26" s="1224"/>
      <c r="BY26" s="1224"/>
      <c r="BZ26" s="1224"/>
      <c r="CA26" s="1224"/>
      <c r="CB26" s="1224"/>
      <c r="CC26" s="1224"/>
      <c r="CD26" s="1224"/>
      <c r="CE26" s="1224"/>
      <c r="CF26" s="1224"/>
      <c r="CG26" s="1224"/>
      <c r="CH26" s="1224"/>
      <c r="CI26" s="1224"/>
      <c r="CJ26" s="1224"/>
      <c r="CK26" s="1224"/>
      <c r="CL26" s="1224"/>
      <c r="CM26" s="1224"/>
      <c r="CN26" s="1224"/>
      <c r="CO26" s="1224"/>
      <c r="CP26" s="1224"/>
      <c r="CQ26" s="1224"/>
      <c r="CR26" s="1224"/>
      <c r="CS26" s="1224"/>
      <c r="CT26" s="1224"/>
      <c r="CU26" s="1224"/>
      <c r="CV26" s="1224"/>
      <c r="CW26" s="1224"/>
      <c r="CX26" s="1224"/>
      <c r="CY26" s="1224"/>
      <c r="CZ26" s="1224"/>
      <c r="DA26" s="1224"/>
      <c r="DB26" s="1224"/>
      <c r="DC26" s="1224"/>
      <c r="DD26" s="1224"/>
      <c r="DE26" s="1224"/>
      <c r="DF26" s="1224"/>
      <c r="DG26" s="1224"/>
      <c r="DH26" s="1224"/>
      <c r="DI26" s="1224"/>
      <c r="DJ26" s="1224"/>
      <c r="DK26" s="1224"/>
      <c r="DL26" s="1224"/>
      <c r="DM26" s="1224"/>
      <c r="DN26" s="1224"/>
      <c r="DO26" s="1224"/>
      <c r="DP26" s="1224"/>
      <c r="DQ26" s="1224"/>
    </row>
    <row r="27" spans="1:121" s="1227" customFormat="1" ht="13.8">
      <c r="A27" s="1225"/>
      <c r="B27" s="1226"/>
      <c r="C27" s="1226"/>
      <c r="D27" s="1226"/>
      <c r="E27" s="1225"/>
      <c r="F27" s="1225"/>
      <c r="G27" s="1225"/>
      <c r="H27" s="1226"/>
      <c r="I27" s="1226"/>
      <c r="J27" s="1226"/>
      <c r="K27" s="1225"/>
      <c r="L27" s="1225"/>
      <c r="M27" s="1225"/>
      <c r="N27" s="1226"/>
      <c r="O27" s="1226"/>
      <c r="P27" s="1226"/>
      <c r="Q27" s="1225"/>
      <c r="R27" s="1225"/>
      <c r="S27" s="1225"/>
      <c r="T27" s="1226"/>
      <c r="U27" s="1226"/>
      <c r="V27" s="1226"/>
      <c r="W27" s="1226"/>
      <c r="X27" s="1226"/>
      <c r="Y27" s="1226"/>
      <c r="Z27" s="1226"/>
      <c r="AA27" s="1226"/>
      <c r="AB27" s="1226"/>
      <c r="AC27" s="1226"/>
      <c r="AD27" s="1226"/>
      <c r="AE27" s="1226"/>
      <c r="AF27" s="1226"/>
      <c r="AG27" s="1226"/>
      <c r="AH27" s="1226"/>
      <c r="AI27" s="1226"/>
      <c r="AJ27" s="1226"/>
      <c r="AK27" s="1226"/>
      <c r="AL27" s="1226"/>
      <c r="AM27" s="1226"/>
      <c r="AN27" s="1226"/>
      <c r="AO27" s="1226"/>
      <c r="AP27" s="1226"/>
      <c r="AQ27" s="1226"/>
      <c r="AR27" s="1226"/>
      <c r="AS27" s="1226"/>
      <c r="AT27" s="1226"/>
      <c r="AU27" s="1226"/>
      <c r="AV27" s="1226"/>
      <c r="AW27" s="1226"/>
      <c r="AX27" s="1226"/>
      <c r="AY27" s="1226"/>
      <c r="AZ27" s="1226"/>
      <c r="BA27" s="1226"/>
      <c r="BB27" s="1226"/>
      <c r="BC27" s="1226"/>
      <c r="BD27" s="1226"/>
      <c r="BE27" s="1226"/>
      <c r="BF27" s="1226"/>
      <c r="BG27" s="1226"/>
      <c r="BH27" s="1226"/>
      <c r="BI27" s="1226"/>
      <c r="BJ27" s="1226"/>
      <c r="BK27" s="1226"/>
      <c r="BL27" s="1226"/>
      <c r="BM27" s="1226"/>
      <c r="BN27" s="1226"/>
      <c r="BO27" s="1226"/>
      <c r="BP27" s="1226"/>
      <c r="BQ27" s="1226"/>
      <c r="BR27" s="1226"/>
      <c r="BS27" s="1226"/>
      <c r="BT27" s="1226"/>
      <c r="BU27" s="1226"/>
      <c r="BV27" s="1226"/>
      <c r="BW27" s="1226"/>
      <c r="BX27" s="1226"/>
      <c r="BY27" s="1226"/>
      <c r="BZ27" s="1226"/>
      <c r="CA27" s="1226"/>
      <c r="CB27" s="1226"/>
      <c r="CC27" s="1226"/>
      <c r="CD27" s="1226"/>
      <c r="CE27" s="1226"/>
      <c r="CF27" s="1226"/>
      <c r="CG27" s="1226"/>
      <c r="CH27" s="1226"/>
      <c r="CI27" s="1226"/>
      <c r="CJ27" s="1226"/>
      <c r="CK27" s="1226"/>
      <c r="CL27" s="1226"/>
      <c r="CM27" s="1226"/>
      <c r="CN27" s="1226"/>
      <c r="CO27" s="1226"/>
      <c r="CP27" s="1226"/>
      <c r="CQ27" s="1226"/>
      <c r="CR27" s="1226"/>
      <c r="CS27" s="1226"/>
      <c r="CT27" s="1226"/>
      <c r="CU27" s="1226"/>
      <c r="CV27" s="1226"/>
      <c r="CW27" s="1226"/>
      <c r="CX27" s="1226"/>
      <c r="CY27" s="1226"/>
      <c r="CZ27" s="1226"/>
      <c r="DA27" s="1226"/>
      <c r="DB27" s="1226"/>
      <c r="DC27" s="1226"/>
      <c r="DD27" s="1226"/>
      <c r="DE27" s="1226"/>
      <c r="DF27" s="1226"/>
      <c r="DG27" s="1226"/>
      <c r="DH27" s="1226"/>
      <c r="DI27" s="1226"/>
      <c r="DJ27" s="1226"/>
      <c r="DK27" s="1226"/>
      <c r="DL27" s="1226"/>
      <c r="DM27" s="1226"/>
      <c r="DN27" s="1226"/>
      <c r="DO27" s="1226"/>
      <c r="DP27" s="1226"/>
      <c r="DQ27" s="1226"/>
    </row>
    <row r="28" spans="1:121" s="1227" customFormat="1" ht="13.8">
      <c r="A28" s="1225"/>
      <c r="B28" s="1226"/>
      <c r="C28" s="1226"/>
      <c r="D28" s="1226"/>
      <c r="E28" s="1225"/>
      <c r="F28" s="1225"/>
      <c r="G28" s="1225"/>
      <c r="H28" s="1226"/>
      <c r="I28" s="1226"/>
      <c r="J28" s="1226"/>
      <c r="K28" s="1225"/>
      <c r="L28" s="1225"/>
      <c r="M28" s="1225"/>
      <c r="N28" s="1226"/>
      <c r="O28" s="1226"/>
      <c r="P28" s="1226"/>
      <c r="Q28" s="1225"/>
      <c r="R28" s="1225"/>
      <c r="S28" s="1225"/>
      <c r="T28" s="1226"/>
      <c r="U28" s="1226"/>
      <c r="V28" s="1226"/>
      <c r="W28" s="1226"/>
      <c r="X28" s="1226"/>
      <c r="Y28" s="1226"/>
      <c r="Z28" s="1226"/>
      <c r="AA28" s="1226"/>
      <c r="AB28" s="1226"/>
      <c r="AC28" s="1226"/>
      <c r="AD28" s="1226"/>
      <c r="AE28" s="1226"/>
      <c r="AF28" s="1226"/>
      <c r="AG28" s="1226"/>
      <c r="AH28" s="1226"/>
      <c r="AI28" s="1226"/>
      <c r="AJ28" s="1226"/>
      <c r="AK28" s="1226"/>
      <c r="AL28" s="1226"/>
      <c r="AM28" s="1226"/>
      <c r="AN28" s="1226"/>
      <c r="AO28" s="1226"/>
      <c r="AP28" s="1226"/>
      <c r="AQ28" s="1226"/>
      <c r="AR28" s="1226"/>
      <c r="AS28" s="1226"/>
      <c r="AT28" s="1226"/>
      <c r="AU28" s="1226"/>
      <c r="AV28" s="1226"/>
      <c r="AW28" s="1226"/>
      <c r="AX28" s="1226"/>
      <c r="AY28" s="1226"/>
      <c r="AZ28" s="1226"/>
      <c r="BA28" s="1226"/>
      <c r="BB28" s="1226"/>
      <c r="BC28" s="1226"/>
      <c r="BD28" s="1226"/>
      <c r="BE28" s="1226"/>
      <c r="BF28" s="1226"/>
      <c r="BG28" s="1226"/>
      <c r="BH28" s="1226"/>
      <c r="BI28" s="1226"/>
      <c r="BJ28" s="1226"/>
      <c r="BK28" s="1226"/>
      <c r="BL28" s="1226"/>
      <c r="BM28" s="1226"/>
      <c r="BN28" s="1226"/>
      <c r="BO28" s="1226"/>
      <c r="BP28" s="1226"/>
      <c r="BQ28" s="1226"/>
      <c r="BR28" s="1226"/>
      <c r="BS28" s="1226"/>
      <c r="BT28" s="1226"/>
      <c r="BU28" s="1226"/>
      <c r="BV28" s="1226"/>
      <c r="BW28" s="1226"/>
      <c r="BX28" s="1226"/>
      <c r="BY28" s="1226"/>
      <c r="BZ28" s="1226"/>
      <c r="CA28" s="1226"/>
      <c r="CB28" s="1226"/>
      <c r="CC28" s="1226"/>
      <c r="CD28" s="1226"/>
      <c r="CE28" s="1226"/>
      <c r="CF28" s="1226"/>
      <c r="CG28" s="1226"/>
      <c r="CH28" s="1226"/>
      <c r="CI28" s="1226"/>
      <c r="CJ28" s="1226"/>
      <c r="CK28" s="1226"/>
      <c r="CL28" s="1226"/>
      <c r="CM28" s="1226"/>
      <c r="CN28" s="1226"/>
      <c r="CO28" s="1226"/>
      <c r="CP28" s="1226"/>
      <c r="CQ28" s="1226"/>
      <c r="CR28" s="1226"/>
      <c r="CS28" s="1226"/>
      <c r="CT28" s="1226"/>
      <c r="CU28" s="1226"/>
      <c r="CV28" s="1226"/>
      <c r="CW28" s="1226"/>
      <c r="CX28" s="1226"/>
      <c r="CY28" s="1226"/>
      <c r="CZ28" s="1226"/>
      <c r="DA28" s="1226"/>
      <c r="DB28" s="1226"/>
      <c r="DC28" s="1226"/>
      <c r="DD28" s="1226"/>
      <c r="DE28" s="1226"/>
      <c r="DF28" s="1226"/>
      <c r="DG28" s="1226"/>
      <c r="DH28" s="1226"/>
      <c r="DI28" s="1226"/>
      <c r="DJ28" s="1226"/>
      <c r="DK28" s="1226"/>
      <c r="DL28" s="1226"/>
      <c r="DM28" s="1226"/>
      <c r="DN28" s="1226"/>
      <c r="DO28" s="1226"/>
      <c r="DP28" s="1226"/>
      <c r="DQ28" s="1226"/>
    </row>
    <row r="29" spans="1:121" s="1233" customFormat="1" ht="13.8">
      <c r="A29" s="1231"/>
      <c r="B29" s="1232"/>
      <c r="C29" s="1232"/>
      <c r="D29" s="1232"/>
      <c r="E29" s="1231"/>
      <c r="F29" s="1231"/>
      <c r="G29" s="1231"/>
      <c r="H29" s="1232"/>
      <c r="I29" s="1232"/>
      <c r="J29" s="1232"/>
      <c r="K29" s="1231"/>
      <c r="L29" s="1231"/>
      <c r="M29" s="1231"/>
      <c r="N29" s="1232"/>
      <c r="O29" s="1232"/>
      <c r="P29" s="1232"/>
      <c r="Q29" s="1231"/>
      <c r="R29" s="1231"/>
      <c r="S29" s="1231"/>
      <c r="T29" s="1232"/>
      <c r="U29" s="1232"/>
      <c r="V29" s="1232"/>
      <c r="W29" s="1232"/>
      <c r="X29" s="1232"/>
      <c r="Y29" s="1232"/>
      <c r="Z29" s="1232"/>
      <c r="AA29" s="1232"/>
      <c r="AB29" s="1232"/>
      <c r="AC29" s="1232"/>
      <c r="AD29" s="1232"/>
      <c r="AE29" s="1232"/>
      <c r="AF29" s="1232"/>
      <c r="AG29" s="1232"/>
      <c r="AH29" s="1232"/>
      <c r="AI29" s="1232"/>
      <c r="AJ29" s="1232"/>
      <c r="AK29" s="1232"/>
      <c r="AL29" s="1232"/>
      <c r="AM29" s="1232"/>
      <c r="AN29" s="1232"/>
      <c r="AO29" s="1232"/>
      <c r="AP29" s="1232"/>
      <c r="AQ29" s="1232"/>
      <c r="AR29" s="1232"/>
      <c r="AS29" s="1232"/>
      <c r="AT29" s="1232"/>
      <c r="AU29" s="1232"/>
      <c r="AV29" s="1232"/>
      <c r="AW29" s="1232"/>
      <c r="AX29" s="1232"/>
      <c r="AY29" s="1232"/>
      <c r="AZ29" s="1232"/>
      <c r="BA29" s="1232"/>
      <c r="BB29" s="1232"/>
      <c r="BC29" s="1232"/>
      <c r="BD29" s="1232"/>
      <c r="BE29" s="1232"/>
      <c r="BF29" s="1232"/>
      <c r="BG29" s="1232"/>
      <c r="BH29" s="1232"/>
      <c r="BI29" s="1232"/>
      <c r="BJ29" s="1232"/>
      <c r="BK29" s="1232"/>
      <c r="BL29" s="1232"/>
      <c r="BM29" s="1232"/>
      <c r="BN29" s="1232"/>
      <c r="BO29" s="1232"/>
      <c r="BP29" s="1232"/>
      <c r="BQ29" s="1232"/>
      <c r="BR29" s="1232"/>
      <c r="BS29" s="1232"/>
      <c r="BT29" s="1232"/>
      <c r="BU29" s="1232"/>
      <c r="BV29" s="1232"/>
      <c r="BW29" s="1232"/>
      <c r="BX29" s="1232"/>
      <c r="BY29" s="1232"/>
      <c r="BZ29" s="1232"/>
      <c r="CA29" s="1232"/>
      <c r="CB29" s="1232"/>
      <c r="CC29" s="1232"/>
      <c r="CD29" s="1232"/>
      <c r="CE29" s="1232"/>
      <c r="CF29" s="1232"/>
      <c r="CG29" s="1232"/>
      <c r="CH29" s="1232"/>
      <c r="CI29" s="1232"/>
      <c r="CJ29" s="1232"/>
      <c r="CK29" s="1232"/>
      <c r="CL29" s="1232"/>
      <c r="CM29" s="1232"/>
      <c r="CN29" s="1232"/>
      <c r="CO29" s="1232"/>
      <c r="CP29" s="1232"/>
      <c r="CQ29" s="1232"/>
      <c r="CR29" s="1232"/>
      <c r="CS29" s="1232"/>
      <c r="CT29" s="1232"/>
      <c r="CU29" s="1232"/>
      <c r="CV29" s="1232"/>
      <c r="CW29" s="1232"/>
      <c r="CX29" s="1232"/>
      <c r="CY29" s="1232"/>
      <c r="CZ29" s="1232"/>
      <c r="DA29" s="1232"/>
      <c r="DB29" s="1232"/>
      <c r="DC29" s="1232"/>
      <c r="DD29" s="1232"/>
      <c r="DE29" s="1232"/>
      <c r="DF29" s="1232"/>
      <c r="DG29" s="1232"/>
      <c r="DH29" s="1232"/>
      <c r="DI29" s="1232"/>
      <c r="DJ29" s="1232"/>
      <c r="DK29" s="1232"/>
      <c r="DL29" s="1232"/>
      <c r="DM29" s="1232"/>
      <c r="DN29" s="1232"/>
      <c r="DO29" s="1232"/>
      <c r="DP29" s="1232"/>
      <c r="DQ29" s="1232"/>
    </row>
    <row r="30" spans="1:121" s="1233" customFormat="1" ht="13.8">
      <c r="A30" s="1231"/>
      <c r="B30" s="1232"/>
      <c r="C30" s="1232"/>
      <c r="D30" s="1232"/>
      <c r="E30" s="1231"/>
      <c r="F30" s="1231"/>
      <c r="G30" s="1231"/>
      <c r="H30" s="1232"/>
      <c r="I30" s="1232"/>
      <c r="J30" s="1232"/>
      <c r="K30" s="1231"/>
      <c r="L30" s="1231"/>
      <c r="M30" s="1231"/>
      <c r="N30" s="1232"/>
      <c r="O30" s="1232"/>
      <c r="P30" s="1232"/>
      <c r="Q30" s="1231"/>
      <c r="R30" s="1231"/>
      <c r="S30" s="1231"/>
      <c r="T30" s="1232"/>
      <c r="U30" s="1232"/>
      <c r="V30" s="1232"/>
      <c r="W30" s="1232"/>
      <c r="X30" s="1232"/>
      <c r="Y30" s="1232"/>
      <c r="Z30" s="1232"/>
      <c r="AA30" s="1232"/>
      <c r="AB30" s="1232"/>
      <c r="AC30" s="1232"/>
      <c r="AD30" s="1232"/>
      <c r="AE30" s="1232"/>
      <c r="AF30" s="1232"/>
      <c r="AG30" s="1232"/>
      <c r="AH30" s="1232"/>
      <c r="AI30" s="1232"/>
      <c r="AJ30" s="1232"/>
      <c r="AK30" s="1232"/>
      <c r="AL30" s="1232"/>
      <c r="AM30" s="1232"/>
      <c r="AN30" s="1232"/>
      <c r="AO30" s="1232"/>
      <c r="AP30" s="1232"/>
      <c r="AQ30" s="1232"/>
      <c r="AR30" s="1232"/>
      <c r="AS30" s="1232"/>
      <c r="AT30" s="1232"/>
      <c r="AU30" s="1232"/>
      <c r="AV30" s="1232"/>
      <c r="AW30" s="1232"/>
      <c r="AX30" s="1232"/>
      <c r="AY30" s="1232"/>
      <c r="AZ30" s="1232"/>
      <c r="BA30" s="1232"/>
      <c r="BB30" s="1232"/>
      <c r="BC30" s="1232"/>
      <c r="BD30" s="1232"/>
      <c r="BE30" s="1232"/>
      <c r="BF30" s="1232"/>
      <c r="BG30" s="1232"/>
      <c r="BH30" s="1232"/>
      <c r="BI30" s="1232"/>
      <c r="BJ30" s="1232"/>
      <c r="BK30" s="1232"/>
      <c r="BL30" s="1232"/>
      <c r="BM30" s="1232"/>
      <c r="BN30" s="1232"/>
      <c r="BO30" s="1232"/>
      <c r="BP30" s="1232"/>
      <c r="BQ30" s="1232"/>
      <c r="BR30" s="1232"/>
      <c r="BS30" s="1232"/>
      <c r="BT30" s="1232"/>
      <c r="BU30" s="1232"/>
      <c r="BV30" s="1232"/>
      <c r="BW30" s="1232"/>
      <c r="BX30" s="1232"/>
      <c r="BY30" s="1232"/>
      <c r="BZ30" s="1232"/>
      <c r="CA30" s="1232"/>
      <c r="CB30" s="1232"/>
      <c r="CC30" s="1232"/>
      <c r="CD30" s="1232"/>
      <c r="CE30" s="1232"/>
      <c r="CF30" s="1232"/>
      <c r="CG30" s="1232"/>
      <c r="CH30" s="1232"/>
      <c r="CI30" s="1232"/>
      <c r="CJ30" s="1232"/>
      <c r="CK30" s="1232"/>
      <c r="CL30" s="1232"/>
      <c r="CM30" s="1232"/>
      <c r="CN30" s="1232"/>
      <c r="CO30" s="1232"/>
      <c r="CP30" s="1232"/>
      <c r="CQ30" s="1232"/>
      <c r="CR30" s="1232"/>
      <c r="CS30" s="1232"/>
      <c r="CT30" s="1232"/>
      <c r="CU30" s="1232"/>
      <c r="CV30" s="1232"/>
      <c r="CW30" s="1232"/>
      <c r="CX30" s="1232"/>
      <c r="CY30" s="1232"/>
      <c r="CZ30" s="1232"/>
      <c r="DA30" s="1232"/>
      <c r="DB30" s="1232"/>
      <c r="DC30" s="1232"/>
      <c r="DD30" s="1232"/>
      <c r="DE30" s="1232"/>
      <c r="DF30" s="1232"/>
      <c r="DG30" s="1232"/>
      <c r="DH30" s="1232"/>
      <c r="DI30" s="1232"/>
      <c r="DJ30" s="1232"/>
      <c r="DK30" s="1232"/>
      <c r="DL30" s="1232"/>
      <c r="DM30" s="1232"/>
      <c r="DN30" s="1232"/>
      <c r="DO30" s="1232"/>
      <c r="DP30" s="1232"/>
      <c r="DQ30" s="1232"/>
    </row>
    <row r="31" spans="1:121" s="1233" customFormat="1" ht="13.8">
      <c r="A31" s="1231" t="s">
        <v>750</v>
      </c>
      <c r="B31" s="1232"/>
      <c r="C31" s="1232"/>
      <c r="D31" s="1232" t="s">
        <v>734</v>
      </c>
      <c r="E31" s="1231"/>
      <c r="F31" s="1231"/>
      <c r="G31" s="1231" t="s">
        <v>84</v>
      </c>
      <c r="H31" s="1232"/>
      <c r="I31" s="1232"/>
      <c r="J31" s="1232" t="s">
        <v>734</v>
      </c>
      <c r="K31" s="1231"/>
      <c r="L31" s="1231"/>
      <c r="M31" s="1231"/>
      <c r="N31" s="1232"/>
      <c r="O31" s="1232"/>
      <c r="P31" s="1232"/>
      <c r="Q31" s="1231"/>
      <c r="R31" s="1231"/>
      <c r="S31" s="1231"/>
      <c r="T31" s="1232"/>
      <c r="U31" s="1232"/>
      <c r="V31" s="1232"/>
      <c r="W31" s="1232"/>
      <c r="X31" s="1232"/>
      <c r="Y31" s="1232"/>
      <c r="Z31" s="1232"/>
      <c r="AA31" s="1232"/>
      <c r="AB31" s="1232"/>
      <c r="AC31" s="1232"/>
      <c r="AD31" s="1232"/>
      <c r="AE31" s="1232"/>
      <c r="AF31" s="1232"/>
      <c r="AG31" s="1232"/>
      <c r="AH31" s="1232"/>
      <c r="AI31" s="1232"/>
      <c r="AJ31" s="1232"/>
      <c r="AK31" s="1232"/>
      <c r="AL31" s="1232"/>
      <c r="AM31" s="1232"/>
      <c r="AN31" s="1232"/>
      <c r="AO31" s="1232"/>
      <c r="AP31" s="1232"/>
      <c r="AQ31" s="1232"/>
      <c r="AR31" s="1232"/>
      <c r="AS31" s="1232"/>
      <c r="AT31" s="1232"/>
      <c r="AU31" s="1232"/>
      <c r="AV31" s="1232"/>
      <c r="AW31" s="1232"/>
      <c r="AX31" s="1232"/>
      <c r="AY31" s="1232"/>
      <c r="AZ31" s="1232"/>
      <c r="BA31" s="1232"/>
      <c r="BB31" s="1232"/>
      <c r="BC31" s="1232"/>
      <c r="BD31" s="1232"/>
      <c r="BE31" s="1232"/>
      <c r="BF31" s="1232"/>
      <c r="BG31" s="1232"/>
      <c r="BH31" s="1232"/>
      <c r="BI31" s="1232"/>
      <c r="BJ31" s="1232"/>
      <c r="BK31" s="1232"/>
      <c r="BL31" s="1232"/>
      <c r="BM31" s="1232"/>
      <c r="BN31" s="1232"/>
      <c r="BO31" s="1232"/>
      <c r="BP31" s="1232"/>
      <c r="BQ31" s="1232"/>
      <c r="BR31" s="1232"/>
      <c r="BS31" s="1232"/>
      <c r="BT31" s="1232"/>
      <c r="BU31" s="1232"/>
      <c r="BV31" s="1232"/>
      <c r="BW31" s="1232"/>
      <c r="BX31" s="1232"/>
      <c r="BY31" s="1232"/>
      <c r="BZ31" s="1232"/>
      <c r="CA31" s="1232"/>
      <c r="CB31" s="1232"/>
      <c r="CC31" s="1232"/>
      <c r="CD31" s="1232"/>
      <c r="CE31" s="1232"/>
      <c r="CF31" s="1232"/>
      <c r="CG31" s="1232"/>
      <c r="CH31" s="1232"/>
      <c r="CI31" s="1232"/>
      <c r="CJ31" s="1232"/>
      <c r="CK31" s="1232"/>
      <c r="CL31" s="1232"/>
      <c r="CM31" s="1232"/>
      <c r="CN31" s="1232"/>
      <c r="CO31" s="1232"/>
      <c r="CP31" s="1232"/>
      <c r="CQ31" s="1232"/>
      <c r="CR31" s="1232"/>
      <c r="CS31" s="1232"/>
      <c r="CT31" s="1232"/>
      <c r="CU31" s="1232"/>
      <c r="CV31" s="1232"/>
      <c r="CW31" s="1232"/>
      <c r="CX31" s="1232"/>
      <c r="CY31" s="1232"/>
      <c r="CZ31" s="1232"/>
      <c r="DA31" s="1232"/>
      <c r="DB31" s="1232"/>
      <c r="DC31" s="1232"/>
      <c r="DD31" s="1232"/>
      <c r="DE31" s="1232"/>
      <c r="DF31" s="1232"/>
      <c r="DG31" s="1232"/>
      <c r="DH31" s="1232"/>
      <c r="DI31" s="1232"/>
      <c r="DJ31" s="1232"/>
      <c r="DK31" s="1232"/>
      <c r="DL31" s="1232"/>
      <c r="DM31" s="1232"/>
      <c r="DN31" s="1232"/>
      <c r="DO31" s="1232"/>
      <c r="DP31" s="1232"/>
      <c r="DQ31" s="1232"/>
    </row>
    <row r="32" spans="1:121" s="1233" customFormat="1" ht="13.8">
      <c r="A32" s="1232" t="s">
        <v>737</v>
      </c>
      <c r="B32" s="1232"/>
      <c r="C32" s="1232"/>
      <c r="D32" s="1232">
        <f>D33+D34+D35+D36</f>
        <v>380860</v>
      </c>
      <c r="E32" s="1232"/>
      <c r="F32" s="1232"/>
      <c r="G32" s="1234" t="s">
        <v>648</v>
      </c>
      <c r="H32" s="1232"/>
      <c r="I32" s="1232"/>
      <c r="J32" s="1232">
        <f>'GF020'!E9</f>
        <v>281079.78000000003</v>
      </c>
      <c r="K32" s="1232"/>
      <c r="L32" s="1232"/>
      <c r="M32" s="1232"/>
      <c r="N32" s="1232"/>
      <c r="O32" s="1232"/>
      <c r="P32" s="1232"/>
      <c r="Q32" s="1232"/>
      <c r="R32" s="1232"/>
      <c r="S32" s="1232"/>
      <c r="T32" s="1232"/>
      <c r="U32" s="1232"/>
      <c r="V32" s="1232"/>
      <c r="W32" s="1232"/>
      <c r="X32" s="1232"/>
      <c r="Y32" s="1232"/>
      <c r="Z32" s="1232"/>
      <c r="AA32" s="1232"/>
      <c r="AB32" s="1232"/>
      <c r="AC32" s="1232"/>
      <c r="AD32" s="1232"/>
      <c r="AE32" s="1232"/>
      <c r="AF32" s="1232"/>
      <c r="AG32" s="1232"/>
      <c r="AH32" s="1232"/>
      <c r="AI32" s="1232"/>
      <c r="AJ32" s="1232"/>
      <c r="AK32" s="1232"/>
      <c r="AL32" s="1232"/>
      <c r="AM32" s="1232"/>
      <c r="AN32" s="1232"/>
      <c r="AO32" s="1232"/>
      <c r="AP32" s="1232"/>
      <c r="AQ32" s="1232"/>
      <c r="AR32" s="1232"/>
      <c r="AS32" s="1232"/>
      <c r="AT32" s="1232"/>
      <c r="AU32" s="1232"/>
      <c r="AV32" s="1232"/>
      <c r="AW32" s="1232"/>
      <c r="AX32" s="1232"/>
      <c r="AY32" s="1232"/>
      <c r="AZ32" s="1232"/>
      <c r="BA32" s="1232"/>
      <c r="BB32" s="1232"/>
      <c r="BC32" s="1232"/>
      <c r="BD32" s="1232"/>
      <c r="BE32" s="1232"/>
      <c r="BF32" s="1232"/>
      <c r="BG32" s="1232"/>
      <c r="BH32" s="1232"/>
      <c r="BI32" s="1232"/>
      <c r="BJ32" s="1232"/>
      <c r="BK32" s="1232"/>
      <c r="BL32" s="1232"/>
      <c r="BM32" s="1232"/>
      <c r="BN32" s="1232"/>
      <c r="BO32" s="1232"/>
      <c r="BP32" s="1232"/>
      <c r="BQ32" s="1232"/>
      <c r="BR32" s="1232"/>
      <c r="BS32" s="1232"/>
      <c r="BT32" s="1232"/>
      <c r="BU32" s="1232"/>
      <c r="BV32" s="1232"/>
      <c r="BW32" s="1232"/>
      <c r="BX32" s="1232"/>
      <c r="BY32" s="1232"/>
      <c r="BZ32" s="1232"/>
      <c r="CA32" s="1232"/>
      <c r="CB32" s="1232"/>
      <c r="CC32" s="1232"/>
      <c r="CD32" s="1232"/>
      <c r="CE32" s="1232"/>
      <c r="CF32" s="1232"/>
      <c r="CG32" s="1232"/>
      <c r="CH32" s="1232"/>
      <c r="CI32" s="1232"/>
      <c r="CJ32" s="1232"/>
      <c r="CK32" s="1232"/>
      <c r="CL32" s="1232"/>
      <c r="CM32" s="1232"/>
      <c r="CN32" s="1232"/>
      <c r="CO32" s="1232"/>
      <c r="CP32" s="1232"/>
      <c r="CQ32" s="1232"/>
      <c r="CR32" s="1232"/>
      <c r="CS32" s="1232"/>
      <c r="CT32" s="1232"/>
      <c r="CU32" s="1232"/>
      <c r="CV32" s="1232"/>
      <c r="CW32" s="1232"/>
      <c r="CX32" s="1232"/>
      <c r="CY32" s="1232"/>
      <c r="CZ32" s="1232"/>
      <c r="DA32" s="1232"/>
      <c r="DB32" s="1232"/>
      <c r="DC32" s="1232"/>
      <c r="DD32" s="1232"/>
      <c r="DE32" s="1232"/>
      <c r="DF32" s="1232"/>
      <c r="DG32" s="1232"/>
      <c r="DH32" s="1232"/>
      <c r="DI32" s="1232"/>
      <c r="DJ32" s="1232"/>
      <c r="DK32" s="1232"/>
      <c r="DL32" s="1232"/>
      <c r="DM32" s="1232"/>
      <c r="DN32" s="1232"/>
      <c r="DO32" s="1232"/>
      <c r="DP32" s="1232"/>
      <c r="DQ32" s="1232"/>
    </row>
    <row r="33" spans="1:121" s="1233" customFormat="1" ht="13.8">
      <c r="A33" s="1232" t="s">
        <v>751</v>
      </c>
      <c r="B33" s="1232"/>
      <c r="C33" s="1232"/>
      <c r="D33" s="1232">
        <v>43200</v>
      </c>
      <c r="E33" s="1232"/>
      <c r="F33" s="1234"/>
      <c r="G33" s="1235" t="s">
        <v>238</v>
      </c>
      <c r="J33" s="1232">
        <f>'GF020'!E8</f>
        <v>528452.04820452991</v>
      </c>
      <c r="L33" s="1232"/>
      <c r="P33" s="1232"/>
      <c r="Q33" s="1232"/>
      <c r="R33" s="1232"/>
      <c r="S33" s="1232"/>
      <c r="T33" s="1232"/>
      <c r="U33" s="1232"/>
      <c r="V33" s="1232"/>
      <c r="W33" s="1232"/>
      <c r="X33" s="1232"/>
      <c r="Y33" s="1232"/>
      <c r="Z33" s="1232"/>
      <c r="AA33" s="1232"/>
      <c r="AB33" s="1232"/>
      <c r="AC33" s="1232"/>
      <c r="AD33" s="1232"/>
      <c r="AE33" s="1232"/>
      <c r="AF33" s="1232"/>
      <c r="AG33" s="1232"/>
      <c r="AH33" s="1232"/>
      <c r="AI33" s="1232"/>
      <c r="AJ33" s="1232"/>
      <c r="AK33" s="1232"/>
      <c r="AL33" s="1232"/>
      <c r="AM33" s="1232"/>
      <c r="AN33" s="1232"/>
      <c r="AO33" s="1232"/>
      <c r="AP33" s="1232"/>
      <c r="AQ33" s="1232"/>
      <c r="AR33" s="1232"/>
      <c r="AS33" s="1232"/>
      <c r="AT33" s="1232"/>
      <c r="AU33" s="1232"/>
      <c r="AV33" s="1232"/>
      <c r="AW33" s="1232"/>
      <c r="AX33" s="1232"/>
      <c r="AY33" s="1232"/>
      <c r="AZ33" s="1232"/>
      <c r="BA33" s="1232"/>
      <c r="BB33" s="1232"/>
      <c r="BC33" s="1232"/>
      <c r="BD33" s="1232"/>
      <c r="BE33" s="1232"/>
      <c r="BF33" s="1232"/>
      <c r="BG33" s="1232"/>
      <c r="BH33" s="1232"/>
      <c r="BI33" s="1232"/>
      <c r="BJ33" s="1232"/>
      <c r="BK33" s="1232"/>
      <c r="BL33" s="1232"/>
      <c r="BM33" s="1232"/>
      <c r="BN33" s="1232"/>
      <c r="BO33" s="1232"/>
      <c r="BP33" s="1232"/>
      <c r="BQ33" s="1232"/>
      <c r="BR33" s="1232"/>
      <c r="BS33" s="1232"/>
      <c r="BT33" s="1232"/>
      <c r="BU33" s="1232"/>
      <c r="BV33" s="1232"/>
      <c r="BW33" s="1232"/>
      <c r="BX33" s="1232"/>
      <c r="BY33" s="1232"/>
      <c r="BZ33" s="1232"/>
      <c r="CA33" s="1232"/>
      <c r="CB33" s="1232"/>
      <c r="CC33" s="1232"/>
      <c r="CD33" s="1232"/>
      <c r="CE33" s="1232"/>
      <c r="CF33" s="1232"/>
      <c r="CG33" s="1232"/>
      <c r="CH33" s="1232"/>
      <c r="CI33" s="1232"/>
      <c r="CJ33" s="1232"/>
      <c r="CK33" s="1232"/>
      <c r="CL33" s="1232"/>
      <c r="CM33" s="1232"/>
      <c r="CN33" s="1232"/>
      <c r="CO33" s="1232"/>
      <c r="CP33" s="1232"/>
      <c r="CQ33" s="1232"/>
      <c r="CR33" s="1232"/>
      <c r="CS33" s="1232"/>
      <c r="CT33" s="1232"/>
      <c r="CU33" s="1232"/>
      <c r="CV33" s="1232"/>
      <c r="CW33" s="1232"/>
      <c r="CX33" s="1232"/>
      <c r="CY33" s="1232"/>
      <c r="CZ33" s="1232"/>
      <c r="DA33" s="1232"/>
      <c r="DB33" s="1232"/>
      <c r="DC33" s="1232"/>
      <c r="DD33" s="1232"/>
      <c r="DE33" s="1232"/>
      <c r="DF33" s="1232"/>
      <c r="DG33" s="1232"/>
      <c r="DH33" s="1232"/>
      <c r="DI33" s="1232"/>
      <c r="DJ33" s="1232"/>
      <c r="DK33" s="1232"/>
      <c r="DL33" s="1232"/>
      <c r="DM33" s="1232"/>
      <c r="DN33" s="1232"/>
      <c r="DO33" s="1232"/>
      <c r="DP33" s="1232"/>
      <c r="DQ33" s="1232"/>
    </row>
    <row r="34" spans="1:121" s="1233" customFormat="1" ht="13.8">
      <c r="A34" s="1232" t="s">
        <v>752</v>
      </c>
      <c r="B34" s="1232"/>
      <c r="C34" s="1232"/>
      <c r="D34" s="1232">
        <v>6000</v>
      </c>
      <c r="E34" s="1232"/>
      <c r="F34" s="1232"/>
      <c r="G34" s="1234" t="s">
        <v>742</v>
      </c>
      <c r="H34" s="1232"/>
      <c r="I34" s="1232"/>
      <c r="J34" s="1232">
        <f>'GF020'!E11</f>
        <v>526000</v>
      </c>
      <c r="K34" s="1232"/>
      <c r="L34" s="1232"/>
      <c r="M34" s="1232"/>
      <c r="N34" s="1232"/>
      <c r="O34" s="1232"/>
      <c r="P34" s="1232"/>
      <c r="Q34" s="1232"/>
      <c r="R34" s="1232"/>
      <c r="S34" s="1232"/>
      <c r="T34" s="1232"/>
      <c r="U34" s="1232"/>
      <c r="V34" s="1232"/>
      <c r="W34" s="1232"/>
      <c r="X34" s="1232"/>
      <c r="Y34" s="1232"/>
      <c r="Z34" s="1232"/>
      <c r="AA34" s="1232"/>
      <c r="AB34" s="1232"/>
      <c r="AC34" s="1232"/>
      <c r="AD34" s="1232"/>
      <c r="AE34" s="1232"/>
      <c r="AF34" s="1232"/>
      <c r="AG34" s="1232"/>
      <c r="AH34" s="1232"/>
      <c r="AI34" s="1232"/>
      <c r="AJ34" s="1232"/>
      <c r="AK34" s="1232"/>
      <c r="AL34" s="1232"/>
      <c r="AM34" s="1232"/>
      <c r="AN34" s="1232"/>
      <c r="AO34" s="1232"/>
      <c r="AP34" s="1232"/>
      <c r="AQ34" s="1232"/>
      <c r="AR34" s="1232"/>
      <c r="AS34" s="1232"/>
      <c r="AT34" s="1232"/>
      <c r="AU34" s="1232"/>
      <c r="AV34" s="1232"/>
      <c r="AW34" s="1232"/>
      <c r="AX34" s="1232"/>
      <c r="AY34" s="1232"/>
      <c r="AZ34" s="1232"/>
      <c r="BA34" s="1232"/>
      <c r="BB34" s="1232"/>
      <c r="BC34" s="1232"/>
      <c r="BD34" s="1232"/>
      <c r="BE34" s="1232"/>
      <c r="BF34" s="1232"/>
      <c r="BG34" s="1232"/>
      <c r="BH34" s="1232"/>
      <c r="BI34" s="1232"/>
      <c r="BJ34" s="1232"/>
      <c r="BK34" s="1232"/>
      <c r="BL34" s="1232"/>
      <c r="BM34" s="1232"/>
      <c r="BN34" s="1232"/>
      <c r="BO34" s="1232"/>
      <c r="BP34" s="1232"/>
      <c r="BQ34" s="1232"/>
      <c r="BR34" s="1232"/>
      <c r="BS34" s="1232"/>
      <c r="BT34" s="1232"/>
      <c r="BU34" s="1232"/>
      <c r="BV34" s="1232"/>
      <c r="BW34" s="1232"/>
      <c r="BX34" s="1232"/>
      <c r="BY34" s="1232"/>
      <c r="BZ34" s="1232"/>
      <c r="CA34" s="1232"/>
      <c r="CB34" s="1232"/>
      <c r="CC34" s="1232"/>
      <c r="CD34" s="1232"/>
      <c r="CE34" s="1232"/>
      <c r="CF34" s="1232"/>
      <c r="CG34" s="1232"/>
      <c r="CH34" s="1232"/>
      <c r="CI34" s="1232"/>
      <c r="CJ34" s="1232"/>
      <c r="CK34" s="1232"/>
      <c r="CL34" s="1232"/>
      <c r="CM34" s="1232"/>
      <c r="CN34" s="1232"/>
      <c r="CO34" s="1232"/>
      <c r="CP34" s="1232"/>
      <c r="CQ34" s="1232"/>
      <c r="CR34" s="1232"/>
      <c r="CS34" s="1232"/>
      <c r="CT34" s="1232"/>
      <c r="CU34" s="1232"/>
      <c r="CV34" s="1232"/>
      <c r="CW34" s="1232"/>
      <c r="CX34" s="1232"/>
      <c r="CY34" s="1232"/>
      <c r="CZ34" s="1232"/>
      <c r="DA34" s="1232"/>
      <c r="DB34" s="1232"/>
      <c r="DC34" s="1232"/>
      <c r="DD34" s="1232"/>
      <c r="DE34" s="1232"/>
      <c r="DF34" s="1232"/>
      <c r="DG34" s="1232"/>
      <c r="DH34" s="1232"/>
      <c r="DI34" s="1232"/>
      <c r="DJ34" s="1232"/>
      <c r="DK34" s="1232"/>
      <c r="DL34" s="1232"/>
      <c r="DM34" s="1232"/>
      <c r="DN34" s="1232"/>
      <c r="DO34" s="1232"/>
      <c r="DP34" s="1232"/>
      <c r="DQ34" s="1232"/>
    </row>
    <row r="35" spans="1:121" s="1233" customFormat="1" ht="13.8">
      <c r="A35" s="1232" t="s">
        <v>753</v>
      </c>
      <c r="B35" s="1232"/>
      <c r="C35" s="1232"/>
      <c r="D35" s="1232">
        <v>139000</v>
      </c>
      <c r="E35" s="1232"/>
      <c r="F35" s="1232"/>
      <c r="G35" s="1234" t="s">
        <v>744</v>
      </c>
      <c r="H35" s="1232"/>
      <c r="I35" s="1232"/>
      <c r="J35" s="1232">
        <f>'GF020'!E10</f>
        <v>3025000</v>
      </c>
      <c r="K35" s="1232"/>
      <c r="L35" s="1232"/>
      <c r="M35" s="1232"/>
      <c r="N35" s="1232"/>
      <c r="O35" s="1232"/>
      <c r="P35" s="1232"/>
      <c r="Q35" s="1232"/>
      <c r="R35" s="1232"/>
      <c r="S35" s="1232"/>
      <c r="T35" s="1232"/>
      <c r="U35" s="1232"/>
      <c r="V35" s="1232"/>
      <c r="W35" s="1232"/>
      <c r="X35" s="1232"/>
      <c r="Y35" s="1232"/>
      <c r="Z35" s="1232"/>
      <c r="AA35" s="1232"/>
      <c r="AB35" s="1232"/>
      <c r="AC35" s="1232"/>
      <c r="AD35" s="1232"/>
      <c r="AE35" s="1232"/>
      <c r="AF35" s="1232"/>
      <c r="AG35" s="1232"/>
      <c r="AH35" s="1232"/>
      <c r="AI35" s="1232"/>
      <c r="AJ35" s="1232"/>
      <c r="AK35" s="1232"/>
      <c r="AL35" s="1232"/>
      <c r="AM35" s="1232"/>
      <c r="AN35" s="1232"/>
      <c r="AO35" s="1232"/>
      <c r="AP35" s="1232"/>
      <c r="AQ35" s="1232"/>
      <c r="AR35" s="1232"/>
      <c r="AS35" s="1232"/>
      <c r="AT35" s="1232"/>
      <c r="AU35" s="1232"/>
      <c r="AV35" s="1232"/>
      <c r="AW35" s="1232"/>
      <c r="AX35" s="1232"/>
      <c r="AY35" s="1232"/>
      <c r="AZ35" s="1232"/>
      <c r="BA35" s="1232"/>
      <c r="BB35" s="1232"/>
      <c r="BC35" s="1232"/>
      <c r="BD35" s="1232"/>
      <c r="BE35" s="1232"/>
      <c r="BF35" s="1232"/>
      <c r="BG35" s="1232"/>
      <c r="BH35" s="1232"/>
      <c r="BI35" s="1232"/>
      <c r="BJ35" s="1232"/>
      <c r="BK35" s="1232"/>
      <c r="BL35" s="1232"/>
      <c r="BM35" s="1232"/>
      <c r="BN35" s="1232"/>
      <c r="BO35" s="1232"/>
      <c r="BP35" s="1232"/>
      <c r="BQ35" s="1232"/>
      <c r="BR35" s="1232"/>
      <c r="BS35" s="1232"/>
      <c r="BT35" s="1232"/>
      <c r="BU35" s="1232"/>
      <c r="BV35" s="1232"/>
      <c r="BW35" s="1232"/>
      <c r="BX35" s="1232"/>
      <c r="BY35" s="1232"/>
      <c r="BZ35" s="1232"/>
      <c r="CA35" s="1232"/>
      <c r="CB35" s="1232"/>
      <c r="CC35" s="1232"/>
      <c r="CD35" s="1232"/>
      <c r="CE35" s="1232"/>
      <c r="CF35" s="1232"/>
      <c r="CG35" s="1232"/>
      <c r="CH35" s="1232"/>
      <c r="CI35" s="1232"/>
      <c r="CJ35" s="1232"/>
      <c r="CK35" s="1232"/>
      <c r="CL35" s="1232"/>
      <c r="CM35" s="1232"/>
      <c r="CN35" s="1232"/>
      <c r="CO35" s="1232"/>
      <c r="CP35" s="1232"/>
      <c r="CQ35" s="1232"/>
      <c r="CR35" s="1232"/>
      <c r="CS35" s="1232"/>
      <c r="CT35" s="1232"/>
      <c r="CU35" s="1232"/>
      <c r="CV35" s="1232"/>
      <c r="CW35" s="1232"/>
      <c r="CX35" s="1232"/>
      <c r="CY35" s="1232"/>
      <c r="CZ35" s="1232"/>
      <c r="DA35" s="1232"/>
      <c r="DB35" s="1232"/>
      <c r="DC35" s="1232"/>
      <c r="DD35" s="1232"/>
      <c r="DE35" s="1232"/>
      <c r="DF35" s="1232"/>
      <c r="DG35" s="1232"/>
      <c r="DH35" s="1232"/>
      <c r="DI35" s="1232"/>
      <c r="DJ35" s="1232"/>
      <c r="DK35" s="1232"/>
      <c r="DL35" s="1232"/>
      <c r="DM35" s="1232"/>
      <c r="DN35" s="1232"/>
      <c r="DO35" s="1232"/>
      <c r="DP35" s="1232"/>
      <c r="DQ35" s="1232"/>
    </row>
    <row r="36" spans="1:121" s="1233" customFormat="1" ht="13.8">
      <c r="A36" s="1232" t="s">
        <v>754</v>
      </c>
      <c r="B36" s="1232"/>
      <c r="C36" s="1232"/>
      <c r="D36" s="1232">
        <v>192660</v>
      </c>
      <c r="E36" s="1232"/>
      <c r="F36" s="1232"/>
      <c r="G36" s="1234" t="s">
        <v>746</v>
      </c>
      <c r="H36" s="1232"/>
      <c r="I36" s="1232"/>
      <c r="J36" s="1232">
        <f>'GF020'!E12</f>
        <v>83000</v>
      </c>
      <c r="K36" s="1232"/>
      <c r="L36" s="1232"/>
      <c r="M36" s="1232"/>
      <c r="N36" s="1232"/>
      <c r="O36" s="1232"/>
      <c r="P36" s="1232"/>
      <c r="Q36" s="1232"/>
      <c r="R36" s="1232"/>
      <c r="S36" s="1232"/>
      <c r="T36" s="1232"/>
      <c r="U36" s="1232"/>
      <c r="V36" s="1232"/>
      <c r="W36" s="1232"/>
      <c r="X36" s="1232"/>
      <c r="Y36" s="1232"/>
      <c r="Z36" s="1232"/>
      <c r="AA36" s="1232"/>
      <c r="AB36" s="1232"/>
      <c r="AC36" s="1232"/>
      <c r="AD36" s="1232"/>
      <c r="AE36" s="1232"/>
      <c r="AF36" s="1232"/>
      <c r="AG36" s="1232"/>
      <c r="AH36" s="1232"/>
      <c r="AI36" s="1232"/>
      <c r="AJ36" s="1232"/>
      <c r="AK36" s="1232"/>
      <c r="AL36" s="1232"/>
      <c r="AM36" s="1232"/>
      <c r="AN36" s="1232"/>
      <c r="AO36" s="1232"/>
      <c r="AP36" s="1232"/>
      <c r="AQ36" s="1232"/>
      <c r="AR36" s="1232"/>
      <c r="AS36" s="1232"/>
      <c r="AT36" s="1232"/>
      <c r="AU36" s="1232"/>
      <c r="AV36" s="1232"/>
      <c r="AW36" s="1232"/>
      <c r="AX36" s="1232"/>
      <c r="AY36" s="1232"/>
      <c r="AZ36" s="1232"/>
      <c r="BA36" s="1232"/>
      <c r="BB36" s="1232"/>
      <c r="BC36" s="1232"/>
      <c r="BD36" s="1232"/>
      <c r="BE36" s="1232"/>
      <c r="BF36" s="1232"/>
      <c r="BG36" s="1232"/>
      <c r="BH36" s="1232"/>
      <c r="BI36" s="1232"/>
      <c r="BJ36" s="1232"/>
      <c r="BK36" s="1232"/>
      <c r="BL36" s="1232"/>
      <c r="BM36" s="1232"/>
      <c r="BN36" s="1232"/>
      <c r="BO36" s="1232"/>
      <c r="BP36" s="1232"/>
      <c r="BQ36" s="1232"/>
      <c r="BR36" s="1232"/>
      <c r="BS36" s="1232"/>
      <c r="BT36" s="1232"/>
      <c r="BU36" s="1232"/>
      <c r="BV36" s="1232"/>
      <c r="BW36" s="1232"/>
      <c r="BX36" s="1232"/>
      <c r="BY36" s="1232"/>
      <c r="BZ36" s="1232"/>
      <c r="CA36" s="1232"/>
      <c r="CB36" s="1232"/>
      <c r="CC36" s="1232"/>
      <c r="CD36" s="1232"/>
      <c r="CE36" s="1232"/>
      <c r="CF36" s="1232"/>
      <c r="CG36" s="1232"/>
      <c r="CH36" s="1232"/>
      <c r="CI36" s="1232"/>
      <c r="CJ36" s="1232"/>
      <c r="CK36" s="1232"/>
      <c r="CL36" s="1232"/>
      <c r="CM36" s="1232"/>
      <c r="CN36" s="1232"/>
      <c r="CO36" s="1232"/>
      <c r="CP36" s="1232"/>
      <c r="CQ36" s="1232"/>
      <c r="CR36" s="1232"/>
      <c r="CS36" s="1232"/>
      <c r="CT36" s="1232"/>
      <c r="CU36" s="1232"/>
      <c r="CV36" s="1232"/>
      <c r="CW36" s="1232"/>
      <c r="CX36" s="1232"/>
      <c r="CY36" s="1232"/>
      <c r="CZ36" s="1232"/>
      <c r="DA36" s="1232"/>
      <c r="DB36" s="1232"/>
      <c r="DC36" s="1232"/>
      <c r="DD36" s="1232"/>
      <c r="DE36" s="1232"/>
      <c r="DF36" s="1232"/>
      <c r="DG36" s="1232"/>
      <c r="DH36" s="1232"/>
      <c r="DI36" s="1232"/>
      <c r="DJ36" s="1232"/>
      <c r="DK36" s="1232"/>
      <c r="DL36" s="1232"/>
      <c r="DM36" s="1232"/>
      <c r="DN36" s="1232"/>
      <c r="DO36" s="1232"/>
      <c r="DP36" s="1232"/>
      <c r="DQ36" s="1232"/>
    </row>
    <row r="37" spans="1:121" s="1233" customFormat="1" ht="13.8">
      <c r="A37" s="1233" t="s">
        <v>755</v>
      </c>
      <c r="B37" s="1232"/>
      <c r="C37" s="1232"/>
      <c r="D37" s="1236">
        <v>82335</v>
      </c>
      <c r="E37" s="1232"/>
      <c r="F37" s="1232"/>
      <c r="G37" s="1232" t="s">
        <v>748</v>
      </c>
      <c r="H37" s="1232"/>
      <c r="I37" s="1232"/>
      <c r="J37" s="1232">
        <f>'GF020'!E14</f>
        <v>50311.9</v>
      </c>
      <c r="K37" s="1232"/>
      <c r="L37" s="1232"/>
      <c r="M37" s="1232"/>
      <c r="N37" s="1232"/>
      <c r="O37" s="1232"/>
      <c r="P37" s="1232"/>
      <c r="Q37" s="1232"/>
      <c r="R37" s="1232"/>
      <c r="S37" s="1232"/>
      <c r="T37" s="1232"/>
      <c r="U37" s="1232"/>
      <c r="V37" s="1232"/>
      <c r="W37" s="1232"/>
      <c r="X37" s="1232"/>
      <c r="Y37" s="1232"/>
      <c r="Z37" s="1232"/>
      <c r="AA37" s="1232"/>
      <c r="AB37" s="1232"/>
      <c r="AC37" s="1232"/>
      <c r="AD37" s="1232"/>
      <c r="AE37" s="1232"/>
      <c r="AF37" s="1232"/>
      <c r="AG37" s="1232"/>
      <c r="AH37" s="1232"/>
      <c r="AI37" s="1232"/>
      <c r="AJ37" s="1232"/>
      <c r="AK37" s="1232"/>
      <c r="AL37" s="1232"/>
      <c r="AM37" s="1232"/>
      <c r="AN37" s="1232"/>
      <c r="AO37" s="1232"/>
      <c r="AP37" s="1232"/>
      <c r="AQ37" s="1232"/>
      <c r="AR37" s="1232"/>
      <c r="AS37" s="1232"/>
      <c r="AT37" s="1232"/>
      <c r="AU37" s="1232"/>
      <c r="AV37" s="1232"/>
      <c r="AW37" s="1232"/>
      <c r="AX37" s="1232"/>
      <c r="AY37" s="1232"/>
      <c r="AZ37" s="1232"/>
      <c r="BA37" s="1232"/>
      <c r="BB37" s="1232"/>
      <c r="BC37" s="1232"/>
      <c r="BD37" s="1232"/>
      <c r="BE37" s="1232"/>
      <c r="BF37" s="1232"/>
      <c r="BG37" s="1232"/>
      <c r="BH37" s="1232"/>
      <c r="BI37" s="1232"/>
      <c r="BJ37" s="1232"/>
      <c r="BK37" s="1232"/>
      <c r="BL37" s="1232"/>
      <c r="BM37" s="1232"/>
      <c r="BN37" s="1232"/>
      <c r="BO37" s="1232"/>
      <c r="BP37" s="1232"/>
      <c r="BQ37" s="1232"/>
      <c r="BR37" s="1232"/>
      <c r="BS37" s="1232"/>
      <c r="BT37" s="1232"/>
      <c r="BU37" s="1232"/>
      <c r="BV37" s="1232"/>
      <c r="BW37" s="1232"/>
      <c r="BX37" s="1232"/>
      <c r="BY37" s="1232"/>
      <c r="BZ37" s="1232"/>
      <c r="CA37" s="1232"/>
      <c r="CB37" s="1232"/>
      <c r="CC37" s="1232"/>
      <c r="CD37" s="1232"/>
      <c r="CE37" s="1232"/>
      <c r="CF37" s="1232"/>
      <c r="CG37" s="1232"/>
      <c r="CH37" s="1232"/>
      <c r="CI37" s="1232"/>
      <c r="CJ37" s="1232"/>
      <c r="CK37" s="1232"/>
      <c r="CL37" s="1232"/>
      <c r="CM37" s="1232"/>
      <c r="CN37" s="1232"/>
      <c r="CO37" s="1232"/>
      <c r="CP37" s="1232"/>
      <c r="CQ37" s="1232"/>
      <c r="CR37" s="1232"/>
      <c r="CS37" s="1232"/>
      <c r="CT37" s="1232"/>
      <c r="CU37" s="1232"/>
      <c r="CV37" s="1232"/>
      <c r="CW37" s="1232"/>
      <c r="CX37" s="1232"/>
      <c r="CY37" s="1232"/>
      <c r="CZ37" s="1232"/>
      <c r="DA37" s="1232"/>
      <c r="DB37" s="1232"/>
      <c r="DC37" s="1232"/>
      <c r="DD37" s="1232"/>
      <c r="DE37" s="1232"/>
      <c r="DF37" s="1232"/>
      <c r="DG37" s="1232"/>
      <c r="DH37" s="1232"/>
      <c r="DI37" s="1232"/>
      <c r="DJ37" s="1232"/>
      <c r="DK37" s="1232"/>
      <c r="DL37" s="1232"/>
      <c r="DM37" s="1232"/>
      <c r="DN37" s="1232"/>
      <c r="DO37" s="1232"/>
      <c r="DP37" s="1232"/>
      <c r="DQ37" s="1232"/>
    </row>
    <row r="38" spans="1:121" s="1233" customFormat="1" ht="13.8">
      <c r="A38" s="1232"/>
      <c r="B38" s="1232"/>
      <c r="C38" s="1232"/>
      <c r="D38" s="1232"/>
      <c r="E38" s="1232"/>
      <c r="F38" s="1232"/>
      <c r="G38" s="1233" t="s">
        <v>749</v>
      </c>
      <c r="K38" s="1232"/>
      <c r="L38" s="1232"/>
      <c r="M38" s="1232"/>
      <c r="N38" s="1232"/>
      <c r="O38" s="1232"/>
      <c r="P38" s="1232"/>
      <c r="Q38" s="1232"/>
      <c r="R38" s="1232"/>
      <c r="S38" s="1232"/>
      <c r="T38" s="1232"/>
      <c r="U38" s="1232"/>
      <c r="V38" s="1232"/>
      <c r="W38" s="1232"/>
      <c r="X38" s="1232"/>
      <c r="Y38" s="1232"/>
      <c r="Z38" s="1232"/>
      <c r="AA38" s="1232"/>
      <c r="AB38" s="1232"/>
      <c r="AC38" s="1232"/>
      <c r="AD38" s="1232"/>
      <c r="AE38" s="1232"/>
      <c r="AF38" s="1232"/>
      <c r="AG38" s="1232"/>
      <c r="AH38" s="1232"/>
      <c r="AI38" s="1232"/>
      <c r="AJ38" s="1232"/>
      <c r="AK38" s="1232"/>
      <c r="AL38" s="1232"/>
      <c r="AM38" s="1232"/>
      <c r="AN38" s="1232"/>
      <c r="AO38" s="1232"/>
      <c r="AP38" s="1232"/>
      <c r="AQ38" s="1232"/>
      <c r="AR38" s="1232"/>
      <c r="AS38" s="1232"/>
      <c r="AT38" s="1232"/>
      <c r="AU38" s="1232"/>
      <c r="AV38" s="1232"/>
      <c r="AW38" s="1232"/>
      <c r="AX38" s="1232"/>
      <c r="AY38" s="1232"/>
      <c r="AZ38" s="1232"/>
      <c r="BA38" s="1232"/>
      <c r="BB38" s="1232"/>
      <c r="BC38" s="1232"/>
      <c r="BD38" s="1232"/>
      <c r="BE38" s="1232"/>
      <c r="BF38" s="1232"/>
      <c r="BG38" s="1232"/>
      <c r="BH38" s="1232"/>
      <c r="BI38" s="1232"/>
      <c r="BJ38" s="1232"/>
      <c r="BK38" s="1232"/>
      <c r="BL38" s="1232"/>
      <c r="BM38" s="1232"/>
      <c r="BN38" s="1232"/>
      <c r="BO38" s="1232"/>
      <c r="BP38" s="1232"/>
      <c r="BQ38" s="1232"/>
      <c r="BR38" s="1232"/>
      <c r="BS38" s="1232"/>
      <c r="BT38" s="1232"/>
      <c r="BU38" s="1232"/>
      <c r="BV38" s="1232"/>
      <c r="BW38" s="1232"/>
      <c r="BX38" s="1232"/>
      <c r="BY38" s="1232"/>
      <c r="BZ38" s="1232"/>
      <c r="CA38" s="1232"/>
      <c r="CB38" s="1232"/>
      <c r="CC38" s="1232"/>
      <c r="CD38" s="1232"/>
      <c r="CE38" s="1232"/>
      <c r="CF38" s="1232"/>
      <c r="CG38" s="1232"/>
      <c r="CH38" s="1232"/>
      <c r="CI38" s="1232"/>
      <c r="CJ38" s="1232"/>
      <c r="CK38" s="1232"/>
      <c r="CL38" s="1232"/>
      <c r="CM38" s="1232"/>
      <c r="CN38" s="1232"/>
      <c r="CO38" s="1232"/>
      <c r="CP38" s="1232"/>
      <c r="CQ38" s="1232"/>
      <c r="CR38" s="1232"/>
      <c r="CS38" s="1232"/>
      <c r="CT38" s="1232"/>
      <c r="CU38" s="1232"/>
      <c r="CV38" s="1232"/>
      <c r="CW38" s="1232"/>
      <c r="CX38" s="1232"/>
      <c r="CY38" s="1232"/>
      <c r="CZ38" s="1232"/>
      <c r="DA38" s="1232"/>
      <c r="DB38" s="1232"/>
      <c r="DC38" s="1232"/>
      <c r="DD38" s="1232"/>
      <c r="DE38" s="1232"/>
      <c r="DF38" s="1232"/>
      <c r="DG38" s="1232"/>
      <c r="DH38" s="1232"/>
      <c r="DI38" s="1232"/>
      <c r="DJ38" s="1232"/>
      <c r="DK38" s="1232"/>
      <c r="DL38" s="1232"/>
      <c r="DM38" s="1232"/>
      <c r="DN38" s="1232"/>
      <c r="DO38" s="1232"/>
      <c r="DP38" s="1232"/>
      <c r="DQ38" s="1232"/>
    </row>
    <row r="39" spans="1:121" s="1233" customFormat="1" ht="13.8">
      <c r="G39" s="1232" t="s">
        <v>747</v>
      </c>
      <c r="H39" s="1232"/>
      <c r="I39" s="1232"/>
      <c r="J39" s="1232">
        <f>SUM(J32:J37)</f>
        <v>4493843.7282045297</v>
      </c>
      <c r="P39" s="1232"/>
    </row>
    <row r="40" spans="1:121" s="1233" customFormat="1" ht="13.8">
      <c r="M40" s="1335"/>
      <c r="O40" s="1335"/>
      <c r="P40" s="1232"/>
    </row>
    <row r="41" spans="1:121" s="1233" customFormat="1" ht="13.8">
      <c r="P41" s="1232"/>
    </row>
    <row r="42" spans="1:121" s="1227" customFormat="1" ht="13.8">
      <c r="P42" s="1226"/>
    </row>
    <row r="43" spans="1:121" s="1227" customFormat="1" ht="13.8">
      <c r="M43" s="1229"/>
      <c r="O43" s="1229"/>
      <c r="P43" s="1226"/>
    </row>
    <row r="44" spans="1:121" s="1227" customFormat="1" ht="13.8">
      <c r="P44" s="1226"/>
    </row>
    <row r="45" spans="1:121" s="1227" customFormat="1" ht="13.8">
      <c r="P45" s="1226"/>
    </row>
    <row r="46" spans="1:121" s="1227" customFormat="1" ht="13.8">
      <c r="P46" s="1226"/>
      <c r="Q46" s="1226"/>
    </row>
    <row r="47" spans="1:121" s="1227" customFormat="1" ht="13.8">
      <c r="P47" s="1226"/>
      <c r="Q47" s="1226"/>
    </row>
    <row r="48" spans="1:121" s="1227" customFormat="1" ht="13.8">
      <c r="P48" s="1226"/>
      <c r="Q48" s="1226"/>
    </row>
    <row r="49" spans="13:17" s="1227" customFormat="1" ht="13.8">
      <c r="P49" s="1226"/>
      <c r="Q49" s="1226"/>
    </row>
    <row r="50" spans="13:17" s="1227" customFormat="1" ht="13.8">
      <c r="P50" s="1226"/>
      <c r="Q50" s="1226"/>
    </row>
    <row r="51" spans="13:17" s="1227" customFormat="1" ht="13.8">
      <c r="M51" s="1229"/>
      <c r="O51" s="1229"/>
      <c r="P51" s="1226"/>
    </row>
    <row r="52" spans="13:17" s="1227" customFormat="1" ht="13.8">
      <c r="P52" s="1226"/>
    </row>
    <row r="53" spans="13:17" s="1227" customFormat="1" ht="13.8">
      <c r="P53" s="1226"/>
    </row>
    <row r="54" spans="13:17" s="1227" customFormat="1" ht="13.8">
      <c r="P54" s="1226"/>
      <c r="Q54" s="1226"/>
    </row>
    <row r="55" spans="13:17" s="1227" customFormat="1" ht="13.8">
      <c r="P55" s="1226"/>
      <c r="Q55" s="1226"/>
    </row>
    <row r="56" spans="13:17" s="1227" customFormat="1" ht="13.8">
      <c r="P56" s="1226"/>
      <c r="Q56" s="1226"/>
    </row>
    <row r="57" spans="13:17" s="1227" customFormat="1" ht="13.8">
      <c r="P57" s="1226"/>
      <c r="Q57" s="1226"/>
    </row>
    <row r="58" spans="13:17" s="1227" customFormat="1" ht="13.8">
      <c r="P58" s="1226"/>
      <c r="Q58" s="1226"/>
    </row>
    <row r="59" spans="13:17" s="1227" customFormat="1" ht="15.75" customHeight="1"/>
    <row r="60" spans="13:17" s="1227" customFormat="1" ht="15.75" customHeight="1"/>
    <row r="61" spans="13:17" s="1227" customFormat="1" ht="15.75" customHeight="1"/>
    <row r="62" spans="13:17" s="1227" customFormat="1" ht="15.75" customHeight="1"/>
    <row r="63" spans="13:17" s="1227" customFormat="1" ht="15.75" customHeight="1"/>
    <row r="64" spans="13:17" s="1227" customFormat="1" ht="15.75" customHeight="1"/>
    <row r="65" s="1227" customFormat="1" ht="15.75" customHeight="1"/>
    <row r="66" s="1227" customFormat="1" ht="15.75" customHeight="1"/>
    <row r="67" s="1227" customFormat="1" ht="15.75" customHeight="1"/>
    <row r="68" s="1227" customFormat="1" ht="15.75" customHeight="1"/>
    <row r="69" s="1227" customFormat="1" ht="15.75" customHeight="1"/>
    <row r="70" s="1227" customFormat="1" ht="15.75" customHeight="1"/>
    <row r="71" s="1227" customFormat="1" ht="15.75" customHeight="1"/>
    <row r="72" s="1227" customFormat="1" ht="15.75" customHeight="1"/>
    <row r="73" s="1227" customFormat="1" ht="15.75" customHeight="1"/>
    <row r="74" s="1227" customFormat="1" ht="15.75" customHeight="1"/>
    <row r="75" s="1227" customFormat="1" ht="15.75" customHeight="1"/>
    <row r="76" s="1227" customFormat="1" ht="15.75" customHeight="1"/>
    <row r="77" s="1227" customFormat="1" ht="15.75" customHeight="1"/>
    <row r="78" s="1227" customFormat="1" ht="15.75" customHeight="1"/>
    <row r="79" s="1227" customFormat="1" ht="15.75" customHeight="1"/>
    <row r="80" s="1227" customFormat="1" ht="15.75" customHeight="1"/>
    <row r="81" spans="7:23" s="1227" customFormat="1" ht="15.75" customHeight="1"/>
    <row r="82" spans="7:23" s="1227" customFormat="1" ht="15.75" customHeight="1"/>
    <row r="83" spans="7:23" s="1227" customFormat="1" ht="15.75" customHeight="1"/>
    <row r="84" spans="7:23" s="1227" customFormat="1" ht="15.75" customHeight="1"/>
    <row r="85" spans="7:23" s="1227" customFormat="1" ht="15.75" customHeight="1"/>
    <row r="86" spans="7:23" s="1227" customFormat="1" ht="13.8">
      <c r="G86" s="1225"/>
      <c r="H86" s="1226"/>
      <c r="I86" s="1226"/>
      <c r="J86" s="1226"/>
      <c r="K86" s="1225"/>
      <c r="M86" s="1225"/>
      <c r="N86" s="1226"/>
      <c r="O86" s="1226"/>
      <c r="P86" s="1226"/>
      <c r="Q86" s="1225"/>
      <c r="S86" s="1225"/>
      <c r="T86" s="1226"/>
      <c r="U86" s="1226"/>
      <c r="V86" s="1226"/>
      <c r="W86" s="1226"/>
    </row>
    <row r="87" spans="7:23" s="1227" customFormat="1" ht="13.8">
      <c r="G87" s="1226"/>
      <c r="H87" s="1226"/>
      <c r="I87" s="1226"/>
      <c r="J87" s="1226"/>
      <c r="K87" s="1226"/>
      <c r="M87" s="1226"/>
      <c r="N87" s="1226"/>
      <c r="O87" s="1226"/>
      <c r="P87" s="1226"/>
      <c r="Q87" s="1226"/>
      <c r="S87" s="1226"/>
      <c r="T87" s="1226"/>
      <c r="U87" s="1226"/>
      <c r="V87" s="1226"/>
      <c r="W87" s="1226"/>
    </row>
    <row r="88" spans="7:23" s="1227" customFormat="1" ht="13.8">
      <c r="G88" s="1228"/>
      <c r="H88" s="1226"/>
      <c r="I88" s="1226"/>
      <c r="J88" s="1226"/>
      <c r="K88" s="1226"/>
      <c r="M88" s="1226"/>
      <c r="N88" s="1226"/>
      <c r="O88" s="1226"/>
      <c r="P88" s="1226"/>
      <c r="Q88" s="1226"/>
      <c r="S88" s="1226"/>
      <c r="T88" s="1226"/>
      <c r="U88" s="1226"/>
      <c r="V88" s="1226"/>
      <c r="W88" s="1226"/>
    </row>
    <row r="89" spans="7:23" s="1227" customFormat="1" ht="13.8">
      <c r="G89" s="1226"/>
      <c r="H89" s="1226"/>
      <c r="I89" s="1226"/>
      <c r="J89" s="1226"/>
      <c r="K89" s="1226"/>
      <c r="M89" s="1226"/>
      <c r="N89" s="1226"/>
      <c r="O89" s="1226"/>
      <c r="P89" s="1226"/>
      <c r="Q89" s="1226"/>
      <c r="S89" s="1226"/>
      <c r="T89" s="1226"/>
      <c r="U89" s="1226"/>
      <c r="V89" s="1226"/>
      <c r="W89" s="1226"/>
    </row>
    <row r="90" spans="7:23" s="1227" customFormat="1" ht="13.8">
      <c r="G90" s="1226"/>
      <c r="H90" s="1226"/>
      <c r="I90" s="1226"/>
      <c r="J90" s="1226"/>
      <c r="K90" s="1226"/>
      <c r="M90" s="1226"/>
      <c r="N90" s="1226"/>
      <c r="O90" s="1226"/>
      <c r="P90" s="1226"/>
      <c r="Q90" s="1226"/>
      <c r="S90" s="1226"/>
      <c r="T90" s="1226"/>
      <c r="U90" s="1226"/>
      <c r="V90" s="1226"/>
      <c r="W90" s="1226"/>
    </row>
    <row r="91" spans="7:23" s="1227" customFormat="1" ht="13.8">
      <c r="G91" s="1226"/>
      <c r="H91" s="1226"/>
      <c r="I91" s="1226"/>
      <c r="J91" s="1226"/>
      <c r="K91" s="1226"/>
      <c r="M91" s="1226"/>
      <c r="N91" s="1226"/>
      <c r="O91" s="1226"/>
      <c r="P91" s="1226"/>
      <c r="Q91" s="1226"/>
      <c r="S91" s="1226"/>
      <c r="T91" s="1226"/>
      <c r="U91" s="1226"/>
      <c r="V91" s="1226"/>
      <c r="W91" s="1226"/>
    </row>
    <row r="92" spans="7:23" s="1227" customFormat="1" ht="13.8">
      <c r="G92" s="1226"/>
      <c r="H92" s="1226"/>
      <c r="I92" s="1226"/>
      <c r="J92" s="1226"/>
      <c r="K92" s="1226"/>
      <c r="M92" s="1226"/>
      <c r="N92" s="1226"/>
      <c r="O92" s="1226"/>
      <c r="P92" s="1226"/>
      <c r="Q92" s="1226"/>
    </row>
    <row r="93" spans="7:23" s="1227" customFormat="1" ht="13.8">
      <c r="M93" s="1226"/>
      <c r="N93" s="1226"/>
      <c r="O93" s="1226"/>
      <c r="P93" s="1226"/>
      <c r="Q93" s="1226"/>
    </row>
    <row r="94" spans="7:23" s="1227" customFormat="1" ht="13.8">
      <c r="P94" s="1226"/>
      <c r="Q94" s="1226"/>
    </row>
    <row r="95" spans="7:23" ht="13.8">
      <c r="M95" s="1230"/>
      <c r="N95" s="1230"/>
      <c r="O95" s="1230"/>
      <c r="P95" s="1221"/>
      <c r="Q95" s="1221"/>
    </row>
    <row r="96" spans="7:23" ht="13.8">
      <c r="M96" s="1230"/>
      <c r="N96" s="1230"/>
      <c r="O96" s="1230"/>
      <c r="P96" s="1221"/>
      <c r="Q96" s="1221"/>
    </row>
    <row r="97" spans="13:17" ht="13.8">
      <c r="M97" s="1230"/>
      <c r="N97" s="1230"/>
      <c r="O97" s="1230"/>
      <c r="P97" s="1221"/>
      <c r="Q97" s="1221"/>
    </row>
    <row r="98" spans="13:17" ht="13.8">
      <c r="M98" s="1230"/>
      <c r="N98" s="1230"/>
      <c r="O98" s="1230"/>
      <c r="P98" s="1221"/>
      <c r="Q98" s="1221"/>
    </row>
    <row r="99" spans="13:17" ht="13.8">
      <c r="M99" s="1230"/>
      <c r="N99" s="1230"/>
      <c r="O99" s="1230"/>
      <c r="P99" s="1221"/>
      <c r="Q99" s="1221"/>
    </row>
    <row r="100" spans="13:17" ht="9" customHeight="1"/>
  </sheetData>
  <printOptions horizontalCentered="1" gridLines="1"/>
  <pageMargins left="0.7" right="0.7" top="0.75" bottom="0.75" header="0" footer="0"/>
  <pageSetup scale="88" pageOrder="overThenDown" orientation="landscape" cellComments="atEnd"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4B402-6578-4956-BE2B-0E01AC917A32}">
  <dimension ref="A1:E23"/>
  <sheetViews>
    <sheetView topLeftCell="A18" workbookViewId="0">
      <selection activeCell="C30" sqref="C30"/>
    </sheetView>
  </sheetViews>
  <sheetFormatPr defaultRowHeight="14.4"/>
  <cols>
    <col min="1" max="1" width="32" customWidth="1"/>
    <col min="2" max="2" width="100.88671875" customWidth="1"/>
    <col min="3" max="3" width="55.33203125" customWidth="1"/>
    <col min="4" max="4" width="51.6640625" customWidth="1"/>
    <col min="5" max="5" width="19.6640625" customWidth="1"/>
  </cols>
  <sheetData>
    <row r="1" spans="1:5">
      <c r="A1" s="1307">
        <v>4</v>
      </c>
      <c r="B1" s="1315">
        <v>5</v>
      </c>
      <c r="C1" s="1315">
        <v>6</v>
      </c>
    </row>
    <row r="2" spans="1:5" ht="28.8">
      <c r="A2" s="1308" t="s">
        <v>710</v>
      </c>
      <c r="B2" s="1316" t="s">
        <v>711</v>
      </c>
      <c r="C2" s="1322" t="s">
        <v>712</v>
      </c>
      <c r="D2" s="1329" t="s">
        <v>830</v>
      </c>
      <c r="E2" s="1333" t="s">
        <v>831</v>
      </c>
    </row>
    <row r="3" spans="1:5">
      <c r="A3" s="1309"/>
      <c r="B3" s="1317"/>
      <c r="C3" s="1323"/>
      <c r="D3" s="1323"/>
      <c r="E3" s="1323"/>
    </row>
    <row r="4" spans="1:5" ht="155.4" customHeight="1">
      <c r="A4" s="1310" t="s">
        <v>713</v>
      </c>
      <c r="B4" s="1318" t="s">
        <v>832</v>
      </c>
      <c r="C4" s="1324" t="s">
        <v>833</v>
      </c>
      <c r="D4" s="1330" t="e">
        <f>ROUND(#REF!,0)</f>
        <v>#REF!</v>
      </c>
      <c r="E4" t="e">
        <f>_xlfn.XLOOKUP(G4,[3]Accounts!#REF!,[3]Accounts!#REF!)</f>
        <v>#REF!</v>
      </c>
    </row>
    <row r="5" spans="1:5" ht="56.4" customHeight="1">
      <c r="A5" s="1310" t="s">
        <v>713</v>
      </c>
      <c r="B5" s="1318" t="s">
        <v>834</v>
      </c>
      <c r="C5" s="1325" t="s">
        <v>835</v>
      </c>
      <c r="D5" s="1330" t="e">
        <f t="shared" ref="D5" si="0">ROUND(#REF!,0)</f>
        <v>#REF!</v>
      </c>
      <c r="E5" t="e">
        <f>_xlfn.XLOOKUP(G5,[3]Accounts!#REF!,[3]Accounts!#REF!)</f>
        <v>#REF!</v>
      </c>
    </row>
    <row r="6" spans="1:5" ht="46.2" customHeight="1">
      <c r="A6" s="1310" t="s">
        <v>713</v>
      </c>
      <c r="B6" s="1318" t="s">
        <v>836</v>
      </c>
      <c r="C6" s="1325" t="s">
        <v>835</v>
      </c>
      <c r="D6" s="1330" t="e">
        <f t="shared" ref="D6" si="1">ROUND(#REF!,0)</f>
        <v>#REF!</v>
      </c>
      <c r="E6" t="e">
        <f>_xlfn.XLOOKUP(G6,[3]Accounts!#REF!,[3]Accounts!#REF!)</f>
        <v>#REF!</v>
      </c>
    </row>
    <row r="7" spans="1:5" ht="42.6" customHeight="1">
      <c r="A7" s="1311" t="s">
        <v>713</v>
      </c>
      <c r="B7" s="1319" t="s">
        <v>837</v>
      </c>
      <c r="C7" s="1326" t="s">
        <v>835</v>
      </c>
      <c r="D7" s="1331">
        <v>27900</v>
      </c>
      <c r="E7" s="1334" t="e">
        <f>_xlfn.XLOOKUP(G7,[3]Accounts!#REF!,[3]Accounts!#REF!)</f>
        <v>#REF!</v>
      </c>
    </row>
    <row r="8" spans="1:5" ht="39" customHeight="1">
      <c r="A8" s="1311" t="s">
        <v>713</v>
      </c>
      <c r="B8" s="1319" t="s">
        <v>838</v>
      </c>
      <c r="C8" s="1326" t="s">
        <v>835</v>
      </c>
      <c r="D8" s="1331">
        <v>7200</v>
      </c>
      <c r="E8" s="1334" t="e">
        <f>_xlfn.XLOOKUP(G8,[3]Accounts!#REF!,[3]Accounts!#REF!)</f>
        <v>#REF!</v>
      </c>
    </row>
    <row r="9" spans="1:5" ht="57" customHeight="1">
      <c r="A9" s="1310" t="s">
        <v>713</v>
      </c>
      <c r="B9" s="1318" t="s">
        <v>839</v>
      </c>
      <c r="C9" s="1325" t="s">
        <v>835</v>
      </c>
      <c r="D9" s="1330" t="e">
        <f t="shared" ref="D9" si="2">ROUND(#REF!,0)</f>
        <v>#REF!</v>
      </c>
      <c r="E9" t="e">
        <f>_xlfn.XLOOKUP(G9,[3]Accounts!#REF!,[3]Accounts!#REF!)</f>
        <v>#REF!</v>
      </c>
    </row>
    <row r="10" spans="1:5" ht="58.8" customHeight="1">
      <c r="A10" s="1310" t="s">
        <v>713</v>
      </c>
      <c r="B10" s="1320" t="s">
        <v>840</v>
      </c>
      <c r="C10" s="1325" t="s">
        <v>835</v>
      </c>
      <c r="D10" s="1330" t="e">
        <f t="shared" ref="D10" si="3">ROUND(#REF!,0)</f>
        <v>#REF!</v>
      </c>
      <c r="E10" t="e">
        <f>_xlfn.XLOOKUP(G10,[3]Accounts!#REF!,[3]Accounts!#REF!)</f>
        <v>#REF!</v>
      </c>
    </row>
    <row r="11" spans="1:5" ht="55.8" customHeight="1">
      <c r="A11" s="1310" t="s">
        <v>713</v>
      </c>
      <c r="B11" s="1320" t="s">
        <v>841</v>
      </c>
      <c r="C11" s="1325" t="s">
        <v>835</v>
      </c>
      <c r="D11" s="1330" t="e">
        <f t="shared" ref="D11" si="4">ROUND(#REF!,0)</f>
        <v>#REF!</v>
      </c>
      <c r="E11" t="e">
        <f>_xlfn.XLOOKUP(G11,[3]Accounts!#REF!,[3]Accounts!#REF!)</f>
        <v>#REF!</v>
      </c>
    </row>
    <row r="12" spans="1:5" ht="83.4" customHeight="1">
      <c r="A12" s="1310" t="s">
        <v>713</v>
      </c>
      <c r="B12" s="1320" t="s">
        <v>842</v>
      </c>
      <c r="C12" s="1325" t="s">
        <v>835</v>
      </c>
      <c r="D12" s="1330" t="e">
        <f t="shared" ref="D12" si="5">ROUND(#REF!,0)</f>
        <v>#REF!</v>
      </c>
      <c r="E12" t="e">
        <f>_xlfn.XLOOKUP(G12,[3]Accounts!#REF!,[3]Accounts!#REF!)</f>
        <v>#REF!</v>
      </c>
    </row>
    <row r="13" spans="1:5" ht="69.599999999999994" customHeight="1">
      <c r="A13" s="1312" t="s">
        <v>713</v>
      </c>
      <c r="B13" s="1321" t="s">
        <v>843</v>
      </c>
      <c r="C13" s="1327" t="s">
        <v>835</v>
      </c>
      <c r="D13" s="1332" t="e">
        <f t="shared" ref="D13" si="6">ROUND(#REF!,0)</f>
        <v>#REF!</v>
      </c>
      <c r="E13" s="484" t="e">
        <f>_xlfn.XLOOKUP(G13,[3]Accounts!#REF!,[3]Accounts!#REF!)</f>
        <v>#REF!</v>
      </c>
    </row>
    <row r="14" spans="1:5" ht="53.4" customHeight="1">
      <c r="A14" s="1310" t="s">
        <v>713</v>
      </c>
      <c r="B14" s="1320" t="s">
        <v>844</v>
      </c>
      <c r="C14" s="1325" t="s">
        <v>835</v>
      </c>
      <c r="D14" s="1330" t="e">
        <f t="shared" ref="D14" si="7">ROUND(#REF!,0)</f>
        <v>#REF!</v>
      </c>
      <c r="E14" t="e">
        <f>_xlfn.XLOOKUP(G14,[3]Accounts!#REF!,[3]Accounts!#REF!)</f>
        <v>#REF!</v>
      </c>
    </row>
    <row r="15" spans="1:5" ht="52.2" customHeight="1">
      <c r="A15" s="1310" t="s">
        <v>713</v>
      </c>
      <c r="B15" s="1318" t="s">
        <v>845</v>
      </c>
      <c r="C15" s="1325" t="s">
        <v>835</v>
      </c>
      <c r="D15" s="1330" t="e">
        <f t="shared" ref="D15" si="8">ROUND(#REF!,0)</f>
        <v>#REF!</v>
      </c>
      <c r="E15" t="e">
        <f>_xlfn.XLOOKUP(G15,[3]Accounts!#REF!,[3]Accounts!#REF!)</f>
        <v>#REF!</v>
      </c>
    </row>
    <row r="16" spans="1:5" ht="110.4" customHeight="1">
      <c r="A16" s="1313" t="s">
        <v>713</v>
      </c>
      <c r="B16" s="1318" t="s">
        <v>846</v>
      </c>
      <c r="C16" s="1325" t="s">
        <v>835</v>
      </c>
      <c r="D16" s="1330" t="e">
        <f t="shared" ref="D16" si="9">ROUND(#REF!,0)</f>
        <v>#REF!</v>
      </c>
      <c r="E16" t="e">
        <f>_xlfn.XLOOKUP(G16,[3]Accounts!#REF!,[3]Accounts!#REF!)</f>
        <v>#REF!</v>
      </c>
    </row>
    <row r="17" spans="1:5" ht="57" customHeight="1">
      <c r="A17" s="1313" t="s">
        <v>713</v>
      </c>
      <c r="B17" s="1318" t="s">
        <v>847</v>
      </c>
      <c r="C17" s="1325" t="s">
        <v>835</v>
      </c>
      <c r="D17" s="1330" t="e">
        <f t="shared" ref="D17" si="10">ROUND(#REF!,0)</f>
        <v>#REF!</v>
      </c>
      <c r="E17" t="e">
        <f>_xlfn.XLOOKUP(G17,[3]Accounts!#REF!,[3]Accounts!#REF!)</f>
        <v>#REF!</v>
      </c>
    </row>
    <row r="18" spans="1:5" ht="67.8" customHeight="1">
      <c r="A18" s="1313" t="s">
        <v>713</v>
      </c>
      <c r="B18" s="1318" t="s">
        <v>848</v>
      </c>
      <c r="C18" s="1325" t="s">
        <v>835</v>
      </c>
      <c r="D18" s="1330" t="e">
        <f t="shared" ref="D18" si="11">ROUND(#REF!,0)</f>
        <v>#REF!</v>
      </c>
      <c r="E18" t="e">
        <f>_xlfn.XLOOKUP(G18,[3]Accounts!#REF!,[3]Accounts!#REF!)</f>
        <v>#REF!</v>
      </c>
    </row>
    <row r="19" spans="1:5" ht="51" customHeight="1">
      <c r="A19" s="1313" t="s">
        <v>713</v>
      </c>
      <c r="B19" s="1318" t="s">
        <v>849</v>
      </c>
      <c r="C19" s="1325" t="s">
        <v>835</v>
      </c>
      <c r="D19" s="1330" t="e">
        <f t="shared" ref="D19" si="12">ROUND(#REF!,0)</f>
        <v>#REF!</v>
      </c>
      <c r="E19" t="e">
        <f>_xlfn.XLOOKUP(G19,[3]Accounts!#REF!,[3]Accounts!#REF!)</f>
        <v>#REF!</v>
      </c>
    </row>
    <row r="20" spans="1:5" ht="58.8" customHeight="1">
      <c r="A20" s="1313" t="s">
        <v>713</v>
      </c>
      <c r="B20" s="1320" t="s">
        <v>850</v>
      </c>
      <c r="C20" s="1325" t="s">
        <v>835</v>
      </c>
      <c r="D20" s="1330" t="e">
        <f t="shared" ref="D20" si="13">ROUND(#REF!,0)</f>
        <v>#REF!</v>
      </c>
      <c r="E20" t="e">
        <f>_xlfn.XLOOKUP(G20,[3]Accounts!#REF!,[3]Accounts!#REF!)</f>
        <v>#REF!</v>
      </c>
    </row>
    <row r="21" spans="1:5" ht="66" customHeight="1">
      <c r="A21" s="1314" t="s">
        <v>713</v>
      </c>
      <c r="B21" s="1321" t="s">
        <v>851</v>
      </c>
      <c r="C21" s="1328" t="s">
        <v>852</v>
      </c>
      <c r="D21" s="1332" t="e">
        <f t="shared" ref="D21" si="14">ROUND(#REF!,0)</f>
        <v>#REF!</v>
      </c>
      <c r="E21" s="484" t="e">
        <f>_xlfn.XLOOKUP(G21,[3]Accounts!#REF!,[3]Accounts!#REF!)</f>
        <v>#REF!</v>
      </c>
    </row>
    <row r="22" spans="1:5" ht="45" customHeight="1">
      <c r="A22" s="1313" t="s">
        <v>713</v>
      </c>
      <c r="B22" s="1318" t="s">
        <v>853</v>
      </c>
      <c r="C22" s="1325" t="s">
        <v>835</v>
      </c>
      <c r="D22" s="1330" t="e">
        <f t="shared" ref="D22" si="15">ROUND(#REF!,0)</f>
        <v>#REF!</v>
      </c>
      <c r="E22" t="e">
        <f>_xlfn.XLOOKUP(G22,[3]Accounts!#REF!,[3]Accounts!#REF!)</f>
        <v>#REF!</v>
      </c>
    </row>
    <row r="23" spans="1:5" ht="59.4" customHeight="1">
      <c r="A23" s="1313" t="s">
        <v>713</v>
      </c>
      <c r="B23" s="1318" t="s">
        <v>854</v>
      </c>
      <c r="C23" s="1325" t="s">
        <v>835</v>
      </c>
      <c r="D23" s="1330" t="e">
        <f t="shared" ref="D23" si="16">ROUND(#REF!,0)</f>
        <v>#REF!</v>
      </c>
      <c r="E23" t="e">
        <f>_xlfn.XLOOKUP(G23,[3]Accounts!#REF!,[3]Accounts!#REF!)</f>
        <v>#REF!</v>
      </c>
    </row>
  </sheetData>
  <dataValidations count="1">
    <dataValidation type="list" allowBlank="1" showErrorMessage="1" sqref="A4:A15" xr:uid="{A6D475DE-817E-41CD-80B9-38DB3AD5742D}">
      <formula1>"thru 6/30/26,7/1/26-9/30/26"</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DB8D1-BC3F-4206-BA9E-FB0812293EA0}">
  <dimension ref="A1:A13"/>
  <sheetViews>
    <sheetView workbookViewId="0">
      <selection activeCell="K9" sqref="K9"/>
    </sheetView>
  </sheetViews>
  <sheetFormatPr defaultRowHeight="15.6"/>
  <cols>
    <col min="1" max="1" width="82.6640625" style="1160" customWidth="1"/>
    <col min="2" max="16384" width="8.88671875" style="1160"/>
  </cols>
  <sheetData>
    <row r="1" spans="1:1" ht="18" thickBot="1">
      <c r="A1" s="1215" t="s">
        <v>793</v>
      </c>
    </row>
    <row r="2" spans="1:1">
      <c r="A2" s="1216" t="s">
        <v>724</v>
      </c>
    </row>
    <row r="3" spans="1:1" ht="24" customHeight="1" thickBot="1">
      <c r="A3" s="1217" t="s">
        <v>725</v>
      </c>
    </row>
    <row r="4" spans="1:1" ht="16.2" thickBot="1">
      <c r="A4" s="1218" t="s">
        <v>726</v>
      </c>
    </row>
    <row r="5" spans="1:1">
      <c r="A5" s="1216" t="s">
        <v>727</v>
      </c>
    </row>
    <row r="6" spans="1:1" ht="33" customHeight="1">
      <c r="A6" s="1219" t="s">
        <v>728</v>
      </c>
    </row>
    <row r="7" spans="1:1" ht="15" customHeight="1" thickBot="1">
      <c r="A7" s="1217" t="s">
        <v>714</v>
      </c>
    </row>
    <row r="8" spans="1:1" ht="16.2" thickBot="1">
      <c r="A8" s="1218" t="s">
        <v>726</v>
      </c>
    </row>
    <row r="9" spans="1:1" ht="46.2" customHeight="1">
      <c r="A9" s="1216" t="s">
        <v>729</v>
      </c>
    </row>
    <row r="10" spans="1:1" ht="22.8" customHeight="1" thickBot="1">
      <c r="A10" s="1217" t="s">
        <v>730</v>
      </c>
    </row>
    <row r="11" spans="1:1" ht="16.2" thickBot="1">
      <c r="A11" s="1218" t="s">
        <v>726</v>
      </c>
    </row>
    <row r="12" spans="1:1" ht="35.4" customHeight="1">
      <c r="A12" s="1216" t="s">
        <v>731</v>
      </c>
    </row>
    <row r="13" spans="1:1" ht="25.2" customHeight="1" thickBot="1">
      <c r="A13" s="1217" t="s">
        <v>732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B0A72-CD49-4B90-9E81-4ABE5C593961}">
  <dimension ref="A1:AD30"/>
  <sheetViews>
    <sheetView workbookViewId="0">
      <selection activeCell="L11" sqref="L11"/>
    </sheetView>
  </sheetViews>
  <sheetFormatPr defaultRowHeight="14.4"/>
  <cols>
    <col min="1" max="1" width="24.21875" customWidth="1"/>
    <col min="3" max="3" width="14" customWidth="1"/>
    <col min="4" max="4" width="13.77734375" customWidth="1"/>
    <col min="5" max="5" width="13.33203125" customWidth="1"/>
    <col min="6" max="6" width="11.77734375" customWidth="1"/>
    <col min="7" max="7" width="13.6640625" customWidth="1"/>
    <col min="8" max="8" width="13.44140625" customWidth="1"/>
    <col min="9" max="9" width="11.88671875" customWidth="1"/>
    <col min="10" max="10" width="12.109375" customWidth="1"/>
    <col min="11" max="11" width="13.5546875" customWidth="1"/>
    <col min="12" max="12" width="14.33203125" customWidth="1"/>
    <col min="13" max="13" width="13.6640625" customWidth="1"/>
    <col min="14" max="14" width="13.88671875" customWidth="1"/>
    <col min="15" max="15" width="15.33203125" customWidth="1"/>
  </cols>
  <sheetData>
    <row r="1" spans="1:30" ht="41.4" customHeight="1" thickBot="1">
      <c r="A1" s="1237" t="s">
        <v>756</v>
      </c>
      <c r="B1" s="1238"/>
      <c r="C1" s="1368" t="s">
        <v>757</v>
      </c>
      <c r="D1" s="1369"/>
      <c r="E1" s="1370"/>
      <c r="F1" s="1239"/>
      <c r="G1" s="1239"/>
      <c r="H1" s="1240"/>
      <c r="I1" s="1240"/>
      <c r="J1" s="1240"/>
      <c r="K1" s="1240"/>
      <c r="L1" s="1240"/>
      <c r="M1" s="1240"/>
      <c r="N1" s="1241"/>
      <c r="O1" s="1242"/>
      <c r="P1" s="1242"/>
      <c r="Q1" s="1242"/>
      <c r="R1" s="1242"/>
      <c r="S1" s="1242"/>
      <c r="T1" s="1242"/>
      <c r="U1" s="1242"/>
      <c r="V1" s="1242"/>
      <c r="W1" s="1242"/>
      <c r="X1" s="1242"/>
      <c r="Y1" s="1242"/>
      <c r="Z1" s="1242"/>
      <c r="AA1" s="1242"/>
      <c r="AB1" s="1242"/>
      <c r="AC1" s="1242"/>
      <c r="AD1" s="1242"/>
    </row>
    <row r="2" spans="1:30" ht="15" thickBot="1">
      <c r="A2" s="1243" t="s">
        <v>758</v>
      </c>
      <c r="B2" s="1244">
        <v>2.4899999999999999E-2</v>
      </c>
      <c r="C2" s="1371" t="s">
        <v>759</v>
      </c>
      <c r="D2" s="1372"/>
      <c r="E2" s="1245">
        <v>2322.52</v>
      </c>
      <c r="F2" s="1246">
        <v>193.54</v>
      </c>
      <c r="G2" s="1371" t="s">
        <v>760</v>
      </c>
      <c r="H2" s="1372"/>
      <c r="I2" s="1245">
        <v>1003.22</v>
      </c>
      <c r="J2" s="1246">
        <v>83.6</v>
      </c>
      <c r="K2" s="1371" t="s">
        <v>761</v>
      </c>
      <c r="L2" s="1372"/>
      <c r="M2" s="1247">
        <v>0</v>
      </c>
      <c r="N2" s="1248">
        <v>0</v>
      </c>
      <c r="O2" s="1249">
        <v>7197.36</v>
      </c>
      <c r="P2" s="1242"/>
      <c r="Q2" s="1242"/>
      <c r="R2" s="1242"/>
      <c r="S2" s="1242"/>
      <c r="T2" s="1242"/>
      <c r="U2" s="1242"/>
      <c r="V2" s="1242"/>
      <c r="W2" s="1242"/>
      <c r="X2" s="1242"/>
      <c r="Y2" s="1242"/>
      <c r="Z2" s="1242"/>
      <c r="AA2" s="1242"/>
      <c r="AB2" s="1242"/>
      <c r="AC2" s="1242"/>
      <c r="AD2" s="1242"/>
    </row>
    <row r="3" spans="1:30" ht="15" thickBot="1">
      <c r="A3" s="1250"/>
      <c r="B3" s="1251"/>
      <c r="C3" s="1252" t="s">
        <v>762</v>
      </c>
      <c r="D3" s="1253" t="s">
        <v>763</v>
      </c>
      <c r="E3" s="1254" t="s">
        <v>764</v>
      </c>
      <c r="F3" s="1254" t="s">
        <v>765</v>
      </c>
      <c r="G3" s="1252" t="s">
        <v>762</v>
      </c>
      <c r="H3" s="1253" t="s">
        <v>763</v>
      </c>
      <c r="I3" s="1254" t="s">
        <v>764</v>
      </c>
      <c r="J3" s="1254" t="s">
        <v>765</v>
      </c>
      <c r="K3" s="1252" t="s">
        <v>762</v>
      </c>
      <c r="L3" s="1253" t="s">
        <v>763</v>
      </c>
      <c r="M3" s="1254" t="s">
        <v>764</v>
      </c>
      <c r="N3" s="1254" t="s">
        <v>765</v>
      </c>
      <c r="O3" s="1242"/>
      <c r="P3" s="1242"/>
      <c r="Q3" s="1242"/>
      <c r="R3" s="1242"/>
      <c r="S3" s="1242"/>
      <c r="T3" s="1242"/>
      <c r="U3" s="1242"/>
      <c r="V3" s="1242"/>
      <c r="W3" s="1242"/>
      <c r="X3" s="1242"/>
      <c r="Y3" s="1242"/>
      <c r="Z3" s="1242"/>
      <c r="AA3" s="1242"/>
      <c r="AB3" s="1242"/>
      <c r="AC3" s="1242"/>
      <c r="AD3" s="1242"/>
    </row>
    <row r="4" spans="1:30" ht="15" thickBot="1">
      <c r="A4" s="1250" t="s">
        <v>766</v>
      </c>
      <c r="B4" s="1255"/>
      <c r="C4" s="1256">
        <v>137.46</v>
      </c>
      <c r="D4" s="1256">
        <v>241.32</v>
      </c>
      <c r="E4" s="1257">
        <v>103.86</v>
      </c>
      <c r="F4" s="1258">
        <v>1.7556</v>
      </c>
      <c r="G4" s="1256">
        <v>30.94</v>
      </c>
      <c r="H4" s="1256">
        <v>131.38</v>
      </c>
      <c r="I4" s="1257">
        <v>100.44</v>
      </c>
      <c r="J4" s="1258">
        <v>4.2461000000000002</v>
      </c>
      <c r="K4" s="1256">
        <v>0</v>
      </c>
      <c r="L4" s="1256">
        <v>47.78</v>
      </c>
      <c r="M4" s="1257">
        <v>47.78</v>
      </c>
      <c r="N4" s="1259" t="e">
        <v>#DIV/0!</v>
      </c>
      <c r="O4" s="1242"/>
      <c r="P4" s="1242"/>
      <c r="Q4" s="1242"/>
      <c r="R4" s="1242"/>
      <c r="S4" s="1242"/>
      <c r="T4" s="1242"/>
      <c r="U4" s="1242"/>
      <c r="V4" s="1242"/>
      <c r="W4" s="1242"/>
      <c r="X4" s="1242"/>
      <c r="Y4" s="1242"/>
      <c r="Z4" s="1242"/>
      <c r="AA4" s="1242"/>
      <c r="AB4" s="1242"/>
      <c r="AC4" s="1242"/>
      <c r="AD4" s="1242"/>
    </row>
    <row r="5" spans="1:30" ht="15" thickBot="1">
      <c r="A5" s="1250" t="s">
        <v>767</v>
      </c>
      <c r="B5" s="1255"/>
      <c r="C5" s="1256">
        <v>924.91</v>
      </c>
      <c r="D5" s="1256">
        <v>1048.3800000000001</v>
      </c>
      <c r="E5" s="1257">
        <v>123.47</v>
      </c>
      <c r="F5" s="1258">
        <v>1.1335</v>
      </c>
      <c r="G5" s="1256">
        <v>709.35</v>
      </c>
      <c r="H5" s="1256">
        <v>828.5</v>
      </c>
      <c r="I5" s="1257">
        <v>119.15</v>
      </c>
      <c r="J5" s="1258">
        <v>1.1679999999999999</v>
      </c>
      <c r="K5" s="1256">
        <v>520.48</v>
      </c>
      <c r="L5" s="1256">
        <v>633.88</v>
      </c>
      <c r="M5" s="1257">
        <v>113.4</v>
      </c>
      <c r="N5" s="1258">
        <v>1.2179</v>
      </c>
      <c r="O5" s="1242"/>
      <c r="P5" s="1242"/>
      <c r="Q5" s="1242"/>
      <c r="R5" s="1242"/>
      <c r="S5" s="1242"/>
      <c r="T5" s="1242"/>
      <c r="U5" s="1242"/>
      <c r="V5" s="1242"/>
      <c r="W5" s="1242"/>
      <c r="X5" s="1242"/>
      <c r="Y5" s="1242"/>
      <c r="Z5" s="1242"/>
      <c r="AA5" s="1242"/>
      <c r="AB5" s="1242"/>
      <c r="AC5" s="1242"/>
      <c r="AD5" s="1242"/>
    </row>
    <row r="6" spans="1:30" ht="15" thickBot="1">
      <c r="A6" s="1260" t="s">
        <v>768</v>
      </c>
      <c r="B6" s="1261"/>
      <c r="C6" s="1248">
        <v>796.17</v>
      </c>
      <c r="D6" s="1248">
        <v>967.68</v>
      </c>
      <c r="E6" s="1262">
        <v>171.51</v>
      </c>
      <c r="F6" s="1263">
        <v>1.2154</v>
      </c>
      <c r="G6" s="1248">
        <v>607.1</v>
      </c>
      <c r="H6" s="1248">
        <v>758.78</v>
      </c>
      <c r="I6" s="1262">
        <v>151.69</v>
      </c>
      <c r="J6" s="1263">
        <v>1.9184000000000001</v>
      </c>
      <c r="K6" s="1248">
        <v>411.96</v>
      </c>
      <c r="L6" s="1248">
        <v>573.9</v>
      </c>
      <c r="M6" s="1262">
        <v>161.94</v>
      </c>
      <c r="N6" s="1263">
        <v>1.3931</v>
      </c>
      <c r="O6" s="1242"/>
      <c r="P6" s="1242"/>
      <c r="Q6" s="1242"/>
      <c r="R6" s="1242"/>
      <c r="S6" s="1242"/>
      <c r="T6" s="1242"/>
      <c r="U6" s="1242"/>
      <c r="V6" s="1242"/>
      <c r="W6" s="1242"/>
      <c r="X6" s="1242"/>
      <c r="Y6" s="1242"/>
      <c r="Z6" s="1242"/>
      <c r="AA6" s="1242"/>
      <c r="AB6" s="1242"/>
      <c r="AC6" s="1242"/>
      <c r="AD6" s="1242"/>
    </row>
    <row r="7" spans="1:30" ht="15" thickBot="1">
      <c r="A7" s="1250" t="s">
        <v>769</v>
      </c>
      <c r="B7" s="1255"/>
      <c r="C7" s="1256">
        <v>1426.13</v>
      </c>
      <c r="D7" s="1256">
        <v>1613.33</v>
      </c>
      <c r="E7" s="1262">
        <v>187.2</v>
      </c>
      <c r="F7" s="1263">
        <v>1.1313</v>
      </c>
      <c r="G7" s="1256">
        <v>1164.6600000000001</v>
      </c>
      <c r="H7" s="1256">
        <v>1316.34</v>
      </c>
      <c r="I7" s="1257">
        <v>151.69</v>
      </c>
      <c r="J7" s="1258">
        <v>1.1302000000000001</v>
      </c>
      <c r="K7" s="1256">
        <v>880.19</v>
      </c>
      <c r="L7" s="1256">
        <v>1053.79</v>
      </c>
      <c r="M7" s="1262">
        <v>173.6</v>
      </c>
      <c r="N7" s="1263">
        <v>1.1972</v>
      </c>
      <c r="O7" s="1242"/>
      <c r="P7" s="1242"/>
      <c r="Q7" s="1242"/>
      <c r="R7" s="1242"/>
      <c r="S7" s="1242"/>
      <c r="T7" s="1242"/>
      <c r="U7" s="1242"/>
      <c r="V7" s="1242"/>
      <c r="W7" s="1242"/>
      <c r="X7" s="1242"/>
      <c r="Y7" s="1242"/>
      <c r="Z7" s="1242"/>
      <c r="AA7" s="1242"/>
      <c r="AB7" s="1242"/>
      <c r="AC7" s="1242"/>
      <c r="AD7" s="1242"/>
    </row>
    <row r="8" spans="1:30" ht="15" thickBot="1">
      <c r="A8" s="1260" t="s">
        <v>770</v>
      </c>
      <c r="B8" s="1255"/>
      <c r="C8" s="1248">
        <v>776.13</v>
      </c>
      <c r="D8" s="1248">
        <v>1047.58</v>
      </c>
      <c r="E8" s="1262">
        <v>271.45</v>
      </c>
      <c r="F8" s="1263">
        <v>1.3496999999999999</v>
      </c>
      <c r="G8" s="1248">
        <v>498.47</v>
      </c>
      <c r="H8" s="1248">
        <v>750.6</v>
      </c>
      <c r="I8" s="1262">
        <v>252.13</v>
      </c>
      <c r="J8" s="1263">
        <v>1.5058</v>
      </c>
      <c r="K8" s="1248">
        <v>230.19</v>
      </c>
      <c r="L8" s="1248">
        <v>488.05</v>
      </c>
      <c r="M8" s="1262">
        <v>257.86</v>
      </c>
      <c r="N8" s="1263">
        <v>2.1202000000000001</v>
      </c>
      <c r="O8" s="1242"/>
      <c r="P8" s="1242"/>
      <c r="Q8" s="1242"/>
      <c r="R8" s="1242"/>
      <c r="S8" s="1242"/>
      <c r="T8" s="1242"/>
      <c r="U8" s="1242"/>
      <c r="V8" s="1242"/>
      <c r="W8" s="1242"/>
      <c r="X8" s="1242"/>
      <c r="Y8" s="1242"/>
      <c r="Z8" s="1242"/>
      <c r="AA8" s="1242"/>
      <c r="AB8" s="1242"/>
      <c r="AC8" s="1242"/>
      <c r="AD8" s="1242"/>
    </row>
    <row r="9" spans="1:30" ht="15" thickBot="1">
      <c r="A9" s="1260"/>
      <c r="B9" s="1261"/>
      <c r="C9" s="1247">
        <v>650</v>
      </c>
      <c r="D9" s="1248">
        <v>565.74</v>
      </c>
      <c r="E9" s="1264"/>
      <c r="F9" s="1261"/>
      <c r="G9" s="1247">
        <v>666.19</v>
      </c>
      <c r="H9" s="1248">
        <v>565.74</v>
      </c>
      <c r="I9" s="1264"/>
      <c r="J9" s="1261"/>
      <c r="K9" s="1247">
        <v>650</v>
      </c>
      <c r="L9" s="1248">
        <v>565.74</v>
      </c>
      <c r="M9" s="1242"/>
      <c r="N9" s="1255"/>
      <c r="O9" s="1242"/>
      <c r="P9" s="1242"/>
      <c r="Q9" s="1242"/>
      <c r="R9" s="1242"/>
      <c r="S9" s="1242"/>
      <c r="T9" s="1242"/>
      <c r="U9" s="1242"/>
      <c r="V9" s="1242"/>
      <c r="W9" s="1242"/>
      <c r="X9" s="1242"/>
      <c r="Y9" s="1242"/>
      <c r="Z9" s="1242"/>
      <c r="AA9" s="1242"/>
      <c r="AB9" s="1242"/>
      <c r="AC9" s="1242"/>
      <c r="AD9" s="1242"/>
    </row>
    <row r="10" spans="1:30" ht="15" thickBot="1">
      <c r="A10" s="1243" t="s">
        <v>771</v>
      </c>
      <c r="B10" s="1265">
        <v>0.28699999999999998</v>
      </c>
      <c r="C10" s="1375" t="s">
        <v>772</v>
      </c>
      <c r="D10" s="1376"/>
      <c r="E10" s="1245">
        <v>4120.6899999999996</v>
      </c>
      <c r="F10" s="1266">
        <v>343.39</v>
      </c>
      <c r="G10" s="1375" t="s">
        <v>773</v>
      </c>
      <c r="H10" s="1376"/>
      <c r="I10" s="1245">
        <v>3357.76</v>
      </c>
      <c r="J10" s="1266">
        <v>279.81</v>
      </c>
      <c r="K10" s="1242"/>
      <c r="L10" s="1242"/>
      <c r="M10" s="1242"/>
      <c r="N10" s="1255"/>
      <c r="O10" s="1242"/>
      <c r="P10" s="1242"/>
      <c r="Q10" s="1242"/>
      <c r="R10" s="1242"/>
      <c r="S10" s="1242"/>
      <c r="T10" s="1242"/>
      <c r="U10" s="1242"/>
      <c r="V10" s="1242"/>
      <c r="W10" s="1242"/>
      <c r="X10" s="1242"/>
      <c r="Y10" s="1242"/>
      <c r="Z10" s="1242"/>
      <c r="AA10" s="1242"/>
      <c r="AB10" s="1242"/>
      <c r="AC10" s="1242"/>
      <c r="AD10" s="1242"/>
    </row>
    <row r="11" spans="1:30" ht="15" thickBot="1">
      <c r="A11" s="1250"/>
      <c r="B11" s="1251"/>
      <c r="C11" s="1252" t="s">
        <v>762</v>
      </c>
      <c r="D11" s="1253" t="s">
        <v>763</v>
      </c>
      <c r="E11" s="1254" t="s">
        <v>764</v>
      </c>
      <c r="F11" s="1254" t="s">
        <v>765</v>
      </c>
      <c r="G11" s="1252" t="s">
        <v>762</v>
      </c>
      <c r="H11" s="1253" t="s">
        <v>763</v>
      </c>
      <c r="I11" s="1254" t="s">
        <v>764</v>
      </c>
      <c r="J11" s="1254" t="s">
        <v>765</v>
      </c>
      <c r="K11" s="1242"/>
      <c r="L11" s="1242"/>
      <c r="M11" s="1242"/>
      <c r="N11" s="1255"/>
      <c r="O11" s="1242"/>
      <c r="P11" s="1242"/>
      <c r="Q11" s="1242"/>
      <c r="R11" s="1242"/>
      <c r="S11" s="1242"/>
      <c r="T11" s="1242"/>
      <c r="U11" s="1242"/>
      <c r="V11" s="1242"/>
      <c r="W11" s="1242"/>
      <c r="X11" s="1242"/>
      <c r="Y11" s="1242"/>
      <c r="Z11" s="1242"/>
      <c r="AA11" s="1242"/>
      <c r="AB11" s="1242"/>
      <c r="AC11" s="1242"/>
      <c r="AD11" s="1242"/>
    </row>
    <row r="12" spans="1:30" ht="15" thickBot="1">
      <c r="A12" s="1250" t="s">
        <v>766</v>
      </c>
      <c r="B12" s="1255"/>
      <c r="C12" s="1256">
        <v>201.47</v>
      </c>
      <c r="D12" s="1256">
        <v>327.58999999999997</v>
      </c>
      <c r="E12" s="1257">
        <v>126.13</v>
      </c>
      <c r="F12" s="1258">
        <v>1.6259999999999999</v>
      </c>
      <c r="G12" s="1256">
        <v>265.04000000000002</v>
      </c>
      <c r="H12" s="1256">
        <v>391.17</v>
      </c>
      <c r="I12" s="1257">
        <v>126.13</v>
      </c>
      <c r="J12" s="1258">
        <v>1.4759</v>
      </c>
      <c r="K12" s="1242"/>
      <c r="L12" s="1242"/>
      <c r="M12" s="1242"/>
      <c r="N12" s="1255"/>
      <c r="O12" s="1242"/>
      <c r="P12" s="1242"/>
      <c r="Q12" s="1242"/>
      <c r="R12" s="1242"/>
      <c r="S12" s="1242"/>
      <c r="T12" s="1242"/>
      <c r="U12" s="1242"/>
      <c r="V12" s="1242"/>
      <c r="W12" s="1242"/>
      <c r="X12" s="1242"/>
      <c r="Y12" s="1242"/>
      <c r="Z12" s="1242"/>
      <c r="AA12" s="1242"/>
      <c r="AB12" s="1242"/>
      <c r="AC12" s="1242"/>
      <c r="AD12" s="1242"/>
    </row>
    <row r="13" spans="1:30" ht="15" thickBot="1">
      <c r="A13" s="1250" t="s">
        <v>767</v>
      </c>
      <c r="B13" s="1255"/>
      <c r="C13" s="1256">
        <v>1239.47</v>
      </c>
      <c r="D13" s="1256">
        <v>1365.6</v>
      </c>
      <c r="E13" s="1257">
        <v>126.13</v>
      </c>
      <c r="F13" s="1258">
        <v>1.1017999999999999</v>
      </c>
      <c r="G13" s="1256">
        <v>1366.63</v>
      </c>
      <c r="H13" s="1256">
        <v>1492.75</v>
      </c>
      <c r="I13" s="1257">
        <v>126.13</v>
      </c>
      <c r="J13" s="1258">
        <v>1.0923</v>
      </c>
      <c r="K13" s="1242"/>
      <c r="L13" s="1242"/>
      <c r="M13" s="1242"/>
      <c r="N13" s="1255"/>
      <c r="O13" s="1242"/>
      <c r="P13" s="1242"/>
      <c r="Q13" s="1242"/>
      <c r="R13" s="1242"/>
      <c r="S13" s="1242"/>
      <c r="T13" s="1242"/>
      <c r="U13" s="1242"/>
      <c r="V13" s="1242"/>
      <c r="W13" s="1242"/>
      <c r="X13" s="1242"/>
      <c r="Y13" s="1242"/>
      <c r="Z13" s="1242"/>
      <c r="AA13" s="1242"/>
      <c r="AB13" s="1242"/>
      <c r="AC13" s="1242"/>
      <c r="AD13" s="1242"/>
    </row>
    <row r="14" spans="1:30" ht="15" thickBot="1">
      <c r="A14" s="1260" t="s">
        <v>768</v>
      </c>
      <c r="B14" s="1261"/>
      <c r="C14" s="1248">
        <v>1071.31</v>
      </c>
      <c r="D14" s="1248">
        <v>1261.79</v>
      </c>
      <c r="E14" s="1262">
        <v>190.48</v>
      </c>
      <c r="F14" s="1263">
        <v>1.7750999999999999</v>
      </c>
      <c r="G14" s="1248">
        <v>924.98</v>
      </c>
      <c r="H14" s="1248">
        <v>1382.59</v>
      </c>
      <c r="I14" s="1262">
        <v>457.6</v>
      </c>
      <c r="J14" s="1263">
        <v>2.2414999999999998</v>
      </c>
      <c r="K14" s="1242"/>
      <c r="L14" s="1242"/>
      <c r="M14" s="1242"/>
      <c r="N14" s="1255"/>
      <c r="O14" s="1242"/>
      <c r="P14" s="1242"/>
      <c r="Q14" s="1242"/>
      <c r="R14" s="1242"/>
      <c r="S14" s="1242"/>
      <c r="T14" s="1242"/>
      <c r="U14" s="1242"/>
      <c r="V14" s="1242"/>
      <c r="W14" s="1242"/>
      <c r="X14" s="1242"/>
      <c r="Y14" s="1242"/>
      <c r="Z14" s="1242"/>
      <c r="AA14" s="1242"/>
      <c r="AB14" s="1242"/>
      <c r="AC14" s="1242"/>
      <c r="AD14" s="1242"/>
    </row>
    <row r="15" spans="1:30" ht="15" thickBot="1">
      <c r="A15" s="1250" t="s">
        <v>769</v>
      </c>
      <c r="B15" s="1255"/>
      <c r="C15" s="1256">
        <v>1901.72</v>
      </c>
      <c r="D15" s="1256">
        <v>2092.1999999999998</v>
      </c>
      <c r="E15" s="1262">
        <v>190.48</v>
      </c>
      <c r="F15" s="1263">
        <v>1.1002000000000001</v>
      </c>
      <c r="G15" s="1256">
        <v>2073.38</v>
      </c>
      <c r="H15" s="1256">
        <v>2263.86</v>
      </c>
      <c r="I15" s="1262">
        <v>190.48</v>
      </c>
      <c r="J15" s="1263">
        <v>1.0919000000000001</v>
      </c>
      <c r="K15" s="1242"/>
      <c r="L15" s="1242"/>
      <c r="M15" s="1242"/>
      <c r="N15" s="1255"/>
      <c r="O15" s="1242"/>
      <c r="P15" s="1242"/>
      <c r="Q15" s="1242"/>
      <c r="R15" s="1242"/>
      <c r="S15" s="1242"/>
      <c r="T15" s="1242"/>
      <c r="U15" s="1242"/>
      <c r="V15" s="1242"/>
      <c r="W15" s="1242"/>
      <c r="X15" s="1242"/>
      <c r="Y15" s="1242"/>
      <c r="Z15" s="1242"/>
      <c r="AA15" s="1242"/>
      <c r="AB15" s="1242"/>
      <c r="AC15" s="1242"/>
      <c r="AD15" s="1242"/>
    </row>
    <row r="16" spans="1:30" ht="15" thickBot="1">
      <c r="A16" s="1260" t="s">
        <v>770</v>
      </c>
      <c r="B16" s="1261"/>
      <c r="C16" s="1248">
        <v>1065.17</v>
      </c>
      <c r="D16" s="1248">
        <v>1381.77</v>
      </c>
      <c r="E16" s="1262">
        <v>316.60000000000002</v>
      </c>
      <c r="F16" s="1263">
        <v>1.2971999999999999</v>
      </c>
      <c r="G16" s="1248">
        <v>1236.83</v>
      </c>
      <c r="H16" s="1248">
        <v>1553.43</v>
      </c>
      <c r="I16" s="1262">
        <v>316.60000000000002</v>
      </c>
      <c r="J16" s="1263">
        <v>1.256</v>
      </c>
      <c r="K16" s="1264"/>
      <c r="L16" s="1264"/>
      <c r="M16" s="1264"/>
      <c r="N16" s="1261"/>
      <c r="O16" s="1242"/>
      <c r="P16" s="1242"/>
      <c r="Q16" s="1242"/>
      <c r="R16" s="1242"/>
      <c r="S16" s="1242"/>
      <c r="T16" s="1242"/>
      <c r="U16" s="1242"/>
      <c r="V16" s="1242"/>
      <c r="W16" s="1242"/>
      <c r="X16" s="1242"/>
      <c r="Y16" s="1242"/>
      <c r="Z16" s="1242"/>
      <c r="AA16" s="1242"/>
      <c r="AB16" s="1242"/>
      <c r="AC16" s="1242"/>
      <c r="AD16" s="1242"/>
    </row>
    <row r="17" spans="1:30" ht="15" thickBot="1">
      <c r="A17" s="1242"/>
      <c r="B17" s="1255"/>
      <c r="C17" s="1247">
        <v>836.55</v>
      </c>
      <c r="D17" s="1248">
        <v>710.42</v>
      </c>
      <c r="E17" s="1242"/>
      <c r="F17" s="1255"/>
      <c r="G17" s="1247">
        <v>836.55</v>
      </c>
      <c r="H17" s="1266">
        <v>710.42</v>
      </c>
      <c r="I17" s="1242"/>
      <c r="J17" s="1242"/>
      <c r="K17" s="1242"/>
      <c r="L17" s="1242"/>
      <c r="M17" s="1242"/>
      <c r="N17" s="1242"/>
      <c r="O17" s="1242"/>
      <c r="P17" s="1242"/>
      <c r="Q17" s="1242"/>
      <c r="R17" s="1242"/>
      <c r="S17" s="1242"/>
      <c r="T17" s="1242"/>
      <c r="U17" s="1242"/>
      <c r="V17" s="1242"/>
      <c r="W17" s="1242"/>
      <c r="X17" s="1242"/>
      <c r="Y17" s="1242"/>
      <c r="Z17" s="1242"/>
      <c r="AA17" s="1242"/>
      <c r="AB17" s="1242"/>
      <c r="AC17" s="1242"/>
      <c r="AD17" s="1242"/>
    </row>
    <row r="18" spans="1:30" ht="15" thickBot="1">
      <c r="A18" s="1264"/>
      <c r="B18" s="1264"/>
      <c r="C18" s="1264"/>
      <c r="D18" s="1264"/>
      <c r="E18" s="1264"/>
      <c r="F18" s="1264"/>
      <c r="G18" s="1264"/>
      <c r="H18" s="1264"/>
      <c r="I18" s="1264"/>
      <c r="J18" s="1264"/>
      <c r="K18" s="1264"/>
      <c r="L18" s="1264"/>
      <c r="M18" s="1264"/>
      <c r="N18" s="1264"/>
      <c r="O18" s="1242"/>
      <c r="P18" s="1242"/>
      <c r="Q18" s="1242"/>
      <c r="R18" s="1242"/>
      <c r="S18" s="1242"/>
      <c r="T18" s="1242"/>
      <c r="U18" s="1242"/>
      <c r="V18" s="1242"/>
      <c r="W18" s="1242"/>
      <c r="X18" s="1242"/>
      <c r="Y18" s="1242"/>
      <c r="Z18" s="1242"/>
      <c r="AA18" s="1242"/>
      <c r="AB18" s="1242"/>
      <c r="AC18" s="1242"/>
      <c r="AD18" s="1242"/>
    </row>
    <row r="19" spans="1:30" ht="15.6" thickBot="1">
      <c r="A19" s="1267" t="s">
        <v>774</v>
      </c>
      <c r="B19" s="1268"/>
      <c r="C19" s="1368" t="s">
        <v>775</v>
      </c>
      <c r="D19" s="1369"/>
      <c r="E19" s="1370"/>
      <c r="F19" s="1264"/>
      <c r="G19" s="1264"/>
      <c r="H19" s="1264"/>
      <c r="I19" s="1264"/>
      <c r="J19" s="1264"/>
      <c r="K19" s="1264"/>
      <c r="L19" s="1264"/>
      <c r="M19" s="1264"/>
      <c r="N19" s="1261"/>
      <c r="O19" s="1242"/>
      <c r="P19" s="1242"/>
      <c r="Q19" s="1242"/>
      <c r="R19" s="1242"/>
      <c r="S19" s="1242"/>
      <c r="T19" s="1242"/>
      <c r="U19" s="1242"/>
      <c r="V19" s="1242"/>
      <c r="W19" s="1242"/>
      <c r="X19" s="1242"/>
      <c r="Y19" s="1242"/>
      <c r="Z19" s="1242"/>
      <c r="AA19" s="1242"/>
      <c r="AB19" s="1242"/>
      <c r="AC19" s="1242"/>
      <c r="AD19" s="1242"/>
    </row>
    <row r="20" spans="1:30" ht="26.4" customHeight="1" thickBot="1">
      <c r="A20" s="1260"/>
      <c r="B20" s="1269"/>
      <c r="C20" s="1371" t="s">
        <v>776</v>
      </c>
      <c r="D20" s="1372"/>
      <c r="E20" s="1270">
        <v>5.5E-2</v>
      </c>
      <c r="F20" s="1271"/>
      <c r="G20" s="1371" t="s">
        <v>777</v>
      </c>
      <c r="H20" s="1372"/>
      <c r="I20" s="1264"/>
      <c r="J20" s="1271"/>
      <c r="K20" s="1371" t="s">
        <v>778</v>
      </c>
      <c r="L20" s="1372"/>
      <c r="M20" s="1270">
        <v>0.115</v>
      </c>
      <c r="N20" s="1261"/>
      <c r="O20" s="1242"/>
      <c r="P20" s="1242"/>
      <c r="Q20" s="1242"/>
      <c r="R20" s="1242"/>
      <c r="S20" s="1242"/>
      <c r="T20" s="1242"/>
      <c r="U20" s="1242"/>
      <c r="V20" s="1242"/>
      <c r="W20" s="1242"/>
      <c r="X20" s="1242"/>
      <c r="Y20" s="1242"/>
      <c r="Z20" s="1242"/>
      <c r="AA20" s="1242"/>
      <c r="AB20" s="1242"/>
      <c r="AC20" s="1242"/>
      <c r="AD20" s="1242"/>
    </row>
    <row r="21" spans="1:30" ht="15" thickBot="1">
      <c r="A21" s="1250"/>
      <c r="B21" s="1251"/>
      <c r="C21" s="1252" t="s">
        <v>762</v>
      </c>
      <c r="D21" s="1253" t="s">
        <v>763</v>
      </c>
      <c r="E21" s="1254" t="s">
        <v>764</v>
      </c>
      <c r="F21" s="1254" t="s">
        <v>765</v>
      </c>
      <c r="G21" s="1252" t="s">
        <v>762</v>
      </c>
      <c r="H21" s="1253" t="s">
        <v>763</v>
      </c>
      <c r="I21" s="1254" t="s">
        <v>764</v>
      </c>
      <c r="J21" s="1254" t="s">
        <v>765</v>
      </c>
      <c r="K21" s="1252" t="s">
        <v>762</v>
      </c>
      <c r="L21" s="1253" t="s">
        <v>763</v>
      </c>
      <c r="M21" s="1254" t="s">
        <v>764</v>
      </c>
      <c r="N21" s="1254" t="s">
        <v>765</v>
      </c>
      <c r="O21" s="1242"/>
      <c r="P21" s="1242"/>
      <c r="Q21" s="1242"/>
      <c r="R21" s="1242"/>
      <c r="S21" s="1242"/>
      <c r="T21" s="1242"/>
      <c r="U21" s="1242"/>
      <c r="V21" s="1242"/>
      <c r="W21" s="1242"/>
      <c r="X21" s="1242"/>
      <c r="Y21" s="1242"/>
      <c r="Z21" s="1242"/>
      <c r="AA21" s="1242"/>
      <c r="AB21" s="1242"/>
      <c r="AC21" s="1242"/>
      <c r="AD21" s="1242"/>
    </row>
    <row r="22" spans="1:30" ht="15" thickBot="1">
      <c r="A22" s="1250" t="s">
        <v>766</v>
      </c>
      <c r="B22" s="1255"/>
      <c r="C22" s="1256">
        <v>28.68</v>
      </c>
      <c r="D22" s="1256">
        <v>38.68</v>
      </c>
      <c r="E22" s="1257">
        <v>10</v>
      </c>
      <c r="F22" s="1258">
        <v>1.3487</v>
      </c>
      <c r="G22" s="1256">
        <v>40.69</v>
      </c>
      <c r="H22" s="1256">
        <v>50.69</v>
      </c>
      <c r="I22" s="1257">
        <v>10</v>
      </c>
      <c r="J22" s="1258">
        <v>1.2458</v>
      </c>
      <c r="K22" s="1256">
        <v>8.68</v>
      </c>
      <c r="L22" s="1256">
        <v>8.68</v>
      </c>
      <c r="M22" s="1257">
        <v>0</v>
      </c>
      <c r="N22" s="1258">
        <v>1</v>
      </c>
      <c r="O22" s="1242"/>
      <c r="P22" s="1242"/>
      <c r="Q22" s="1242"/>
      <c r="R22" s="1242"/>
      <c r="S22" s="1242"/>
      <c r="T22" s="1242"/>
      <c r="U22" s="1242"/>
      <c r="V22" s="1242"/>
      <c r="W22" s="1242"/>
      <c r="X22" s="1242"/>
      <c r="Y22" s="1242"/>
      <c r="Z22" s="1242"/>
      <c r="AA22" s="1242"/>
      <c r="AB22" s="1242"/>
      <c r="AC22" s="1242"/>
      <c r="AD22" s="1242"/>
    </row>
    <row r="23" spans="1:30" ht="15" thickBot="1">
      <c r="A23" s="1250" t="s">
        <v>767</v>
      </c>
      <c r="B23" s="1255"/>
      <c r="C23" s="1256">
        <v>67.37</v>
      </c>
      <c r="D23" s="1256">
        <v>77.37</v>
      </c>
      <c r="E23" s="1257">
        <v>10</v>
      </c>
      <c r="F23" s="1258">
        <v>1.1484000000000001</v>
      </c>
      <c r="G23" s="1256">
        <v>91.38</v>
      </c>
      <c r="H23" s="1256">
        <v>101.38</v>
      </c>
      <c r="I23" s="1257">
        <v>10</v>
      </c>
      <c r="J23" s="1258">
        <v>1.1093999999999999</v>
      </c>
      <c r="K23" s="1256">
        <v>17.37</v>
      </c>
      <c r="L23" s="1256">
        <v>17.37</v>
      </c>
      <c r="M23" s="1257">
        <v>0</v>
      </c>
      <c r="N23" s="1258">
        <v>1</v>
      </c>
      <c r="O23" s="1242"/>
      <c r="P23" s="1242"/>
      <c r="Q23" s="1242"/>
      <c r="R23" s="1242"/>
      <c r="S23" s="1242"/>
      <c r="T23" s="1242"/>
      <c r="U23" s="1242"/>
      <c r="V23" s="1242"/>
      <c r="W23" s="1242"/>
      <c r="X23" s="1242"/>
      <c r="Y23" s="1242"/>
      <c r="Z23" s="1242"/>
      <c r="AA23" s="1242"/>
      <c r="AB23" s="1242"/>
      <c r="AC23" s="1242"/>
      <c r="AD23" s="1242"/>
    </row>
    <row r="24" spans="1:30" ht="15" thickBot="1">
      <c r="A24" s="1250" t="s">
        <v>768</v>
      </c>
      <c r="B24" s="1255"/>
      <c r="C24" s="1256">
        <v>67.37</v>
      </c>
      <c r="D24" s="1256">
        <v>77.37</v>
      </c>
      <c r="E24" s="1257">
        <v>10</v>
      </c>
      <c r="F24" s="1258">
        <v>1.1484000000000001</v>
      </c>
      <c r="G24" s="1256">
        <v>91.38</v>
      </c>
      <c r="H24" s="1256">
        <v>101.38</v>
      </c>
      <c r="I24" s="1257">
        <v>10</v>
      </c>
      <c r="J24" s="1258">
        <v>1.5547</v>
      </c>
      <c r="K24" s="1256">
        <v>17.37</v>
      </c>
      <c r="L24" s="1256">
        <v>17.37</v>
      </c>
      <c r="M24" s="1257">
        <v>0</v>
      </c>
      <c r="N24" s="1258">
        <v>1</v>
      </c>
      <c r="O24" s="1242"/>
      <c r="P24" s="1242"/>
      <c r="Q24" s="1242"/>
      <c r="R24" s="1242"/>
      <c r="S24" s="1242"/>
      <c r="T24" s="1242"/>
      <c r="U24" s="1242"/>
      <c r="V24" s="1242"/>
      <c r="W24" s="1242"/>
      <c r="X24" s="1242"/>
      <c r="Y24" s="1242"/>
      <c r="Z24" s="1242"/>
      <c r="AA24" s="1242"/>
      <c r="AB24" s="1242"/>
      <c r="AC24" s="1242"/>
      <c r="AD24" s="1242"/>
    </row>
    <row r="25" spans="1:30" ht="15" thickBot="1">
      <c r="A25" s="1260" t="s">
        <v>769</v>
      </c>
      <c r="B25" s="1261"/>
      <c r="C25" s="1248">
        <v>106.06</v>
      </c>
      <c r="D25" s="1248">
        <v>116.06</v>
      </c>
      <c r="E25" s="1262">
        <v>10</v>
      </c>
      <c r="F25" s="1263">
        <v>1.0943000000000001</v>
      </c>
      <c r="G25" s="1248">
        <v>142.07</v>
      </c>
      <c r="H25" s="1248">
        <v>152.07</v>
      </c>
      <c r="I25" s="1262">
        <v>10</v>
      </c>
      <c r="J25" s="1263">
        <v>1.0704</v>
      </c>
      <c r="K25" s="1248">
        <v>26.05</v>
      </c>
      <c r="L25" s="1248">
        <v>26.05</v>
      </c>
      <c r="M25" s="1262">
        <v>0</v>
      </c>
      <c r="N25" s="1263">
        <v>1</v>
      </c>
      <c r="O25" s="1242"/>
      <c r="P25" s="1242"/>
      <c r="Q25" s="1242"/>
      <c r="R25" s="1242"/>
      <c r="S25" s="1242"/>
      <c r="T25" s="1242"/>
      <c r="U25" s="1242"/>
      <c r="V25" s="1242"/>
      <c r="W25" s="1242"/>
      <c r="X25" s="1242"/>
      <c r="Y25" s="1242"/>
      <c r="Z25" s="1242"/>
      <c r="AA25" s="1242"/>
      <c r="AB25" s="1242"/>
      <c r="AC25" s="1242"/>
      <c r="AD25" s="1242"/>
    </row>
    <row r="26" spans="1:30" ht="15" thickBot="1">
      <c r="A26" s="1242"/>
      <c r="B26" s="1242"/>
      <c r="C26" s="1242"/>
      <c r="D26" s="1242"/>
      <c r="E26" s="1242"/>
      <c r="F26" s="1242"/>
      <c r="G26" s="1242"/>
      <c r="H26" s="1242"/>
      <c r="I26" s="1242"/>
      <c r="J26" s="1242"/>
      <c r="K26" s="1242"/>
      <c r="L26" s="1242"/>
      <c r="M26" s="1242"/>
      <c r="N26" s="1242"/>
      <c r="O26" s="1242"/>
      <c r="P26" s="1242"/>
      <c r="Q26" s="1242"/>
      <c r="R26" s="1242"/>
      <c r="S26" s="1242"/>
      <c r="T26" s="1242"/>
      <c r="U26" s="1242"/>
      <c r="V26" s="1242"/>
      <c r="W26" s="1242"/>
      <c r="X26" s="1242"/>
      <c r="Y26" s="1242"/>
      <c r="Z26" s="1242"/>
      <c r="AA26" s="1242"/>
      <c r="AB26" s="1242"/>
      <c r="AC26" s="1242"/>
      <c r="AD26" s="1242"/>
    </row>
    <row r="27" spans="1:30" ht="15" thickBot="1">
      <c r="A27" s="1242"/>
      <c r="B27" s="1242"/>
      <c r="C27" s="1242"/>
      <c r="D27" s="1373" t="s">
        <v>779</v>
      </c>
      <c r="E27" s="1374"/>
      <c r="F27" s="1242"/>
      <c r="G27" s="1242"/>
      <c r="H27" s="1242"/>
      <c r="I27" s="1373" t="s">
        <v>780</v>
      </c>
      <c r="J27" s="1374"/>
      <c r="K27" s="1373" t="s">
        <v>781</v>
      </c>
      <c r="L27" s="1374"/>
      <c r="M27" s="1242"/>
      <c r="N27" s="1242"/>
      <c r="O27" s="1242"/>
      <c r="P27" s="1242"/>
      <c r="Q27" s="1242"/>
      <c r="R27" s="1242"/>
      <c r="S27" s="1242"/>
      <c r="T27" s="1242"/>
      <c r="U27" s="1242"/>
      <c r="V27" s="1242"/>
      <c r="W27" s="1242"/>
      <c r="X27" s="1242"/>
      <c r="Y27" s="1242"/>
      <c r="Z27" s="1242"/>
      <c r="AA27" s="1242"/>
      <c r="AB27" s="1242"/>
      <c r="AC27" s="1242"/>
      <c r="AD27" s="1242"/>
    </row>
    <row r="28" spans="1:30" ht="15" thickBot="1">
      <c r="A28" s="1272" t="s">
        <v>782</v>
      </c>
      <c r="B28" s="1273"/>
      <c r="C28" s="1274" t="s">
        <v>783</v>
      </c>
      <c r="D28" s="1274" t="s">
        <v>784</v>
      </c>
      <c r="E28" s="1274" t="s">
        <v>785</v>
      </c>
      <c r="F28" s="1274" t="s">
        <v>786</v>
      </c>
      <c r="G28" s="1274" t="s">
        <v>787</v>
      </c>
      <c r="H28" s="1274" t="s">
        <v>788</v>
      </c>
      <c r="I28" s="1275" t="s">
        <v>787</v>
      </c>
      <c r="J28" s="1275" t="s">
        <v>788</v>
      </c>
      <c r="K28" s="1276" t="s">
        <v>787</v>
      </c>
      <c r="L28" s="1276" t="s">
        <v>788</v>
      </c>
      <c r="M28" s="1242"/>
      <c r="N28" s="1242"/>
      <c r="O28" s="1242"/>
      <c r="P28" s="1242"/>
      <c r="Q28" s="1242"/>
      <c r="R28" s="1242"/>
      <c r="S28" s="1242"/>
      <c r="T28" s="1242"/>
      <c r="U28" s="1242"/>
      <c r="V28" s="1242"/>
      <c r="W28" s="1242"/>
      <c r="X28" s="1242"/>
      <c r="Y28" s="1242"/>
      <c r="Z28" s="1242"/>
      <c r="AA28" s="1242"/>
      <c r="AB28" s="1242"/>
      <c r="AC28" s="1242"/>
      <c r="AD28" s="1242"/>
    </row>
    <row r="29" spans="1:30" ht="15" thickBot="1">
      <c r="A29" s="1272">
        <v>60</v>
      </c>
      <c r="B29" s="1242"/>
      <c r="C29" s="1249">
        <v>600</v>
      </c>
      <c r="D29" s="1242"/>
      <c r="E29" s="1242"/>
      <c r="F29" s="1272">
        <v>12</v>
      </c>
      <c r="G29" s="1249">
        <v>36000</v>
      </c>
      <c r="H29" s="1249">
        <v>432000</v>
      </c>
      <c r="I29" s="1277">
        <v>50242.5</v>
      </c>
      <c r="J29" s="1277">
        <v>602910</v>
      </c>
      <c r="K29" s="1249">
        <v>86242.5</v>
      </c>
      <c r="L29" s="1277">
        <v>1034910</v>
      </c>
      <c r="M29" s="1242"/>
      <c r="N29" s="1242"/>
      <c r="O29" s="1242"/>
      <c r="P29" s="1242"/>
      <c r="Q29" s="1242"/>
      <c r="R29" s="1242"/>
      <c r="S29" s="1242"/>
      <c r="T29" s="1242"/>
      <c r="U29" s="1242"/>
      <c r="V29" s="1242"/>
      <c r="W29" s="1242"/>
      <c r="X29" s="1242"/>
      <c r="Y29" s="1242"/>
      <c r="Z29" s="1242"/>
      <c r="AA29" s="1242"/>
      <c r="AB29" s="1242"/>
      <c r="AC29" s="1242"/>
      <c r="AD29" s="1242"/>
    </row>
    <row r="30" spans="1:30" ht="15" thickBot="1">
      <c r="A30" s="1242"/>
      <c r="B30" s="1242"/>
      <c r="C30" s="1242"/>
      <c r="D30" s="1242"/>
      <c r="E30" s="1242"/>
      <c r="F30" s="1242"/>
      <c r="G30" s="1242"/>
      <c r="H30" s="1242"/>
      <c r="I30" s="1242"/>
      <c r="J30" s="1242"/>
      <c r="K30" s="1242"/>
      <c r="L30" s="1242"/>
      <c r="M30" s="1242"/>
      <c r="N30" s="1242"/>
      <c r="O30" s="1242"/>
      <c r="P30" s="1242"/>
      <c r="Q30" s="1242"/>
      <c r="R30" s="1242"/>
      <c r="S30" s="1242"/>
      <c r="T30" s="1242"/>
      <c r="U30" s="1242"/>
      <c r="V30" s="1242"/>
      <c r="W30" s="1242"/>
      <c r="X30" s="1242"/>
      <c r="Y30" s="1242"/>
      <c r="Z30" s="1242"/>
      <c r="AA30" s="1242"/>
      <c r="AB30" s="1242"/>
      <c r="AC30" s="1242"/>
      <c r="AD30" s="1242"/>
    </row>
  </sheetData>
  <mergeCells count="13">
    <mergeCell ref="C1:E1"/>
    <mergeCell ref="C2:D2"/>
    <mergeCell ref="G2:H2"/>
    <mergeCell ref="K2:L2"/>
    <mergeCell ref="C10:D10"/>
    <mergeCell ref="G10:H10"/>
    <mergeCell ref="C19:E19"/>
    <mergeCell ref="C20:D20"/>
    <mergeCell ref="G20:H20"/>
    <mergeCell ref="K20:L20"/>
    <mergeCell ref="D27:E27"/>
    <mergeCell ref="I27:J27"/>
    <mergeCell ref="K27:L2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3AD0F-0EF0-466F-83FB-C57AEBB4BE49}">
  <sheetPr codeName="Sheet17">
    <pageSetUpPr fitToPage="1"/>
  </sheetPr>
  <dimension ref="A3:U50"/>
  <sheetViews>
    <sheetView topLeftCell="J1" zoomScale="120" zoomScaleNormal="120" workbookViewId="0">
      <pane ySplit="2" topLeftCell="A3" activePane="bottomLeft" state="frozen"/>
      <selection pane="bottomLeft" activeCell="R16" sqref="R16"/>
    </sheetView>
  </sheetViews>
  <sheetFormatPr defaultRowHeight="14.4"/>
  <cols>
    <col min="1" max="1" width="13.6640625" customWidth="1"/>
    <col min="2" max="2" width="12" customWidth="1"/>
    <col min="3" max="3" width="12" style="805" customWidth="1"/>
    <col min="4" max="4" width="13" style="805" customWidth="1"/>
    <col min="5" max="5" width="13.6640625" customWidth="1"/>
    <col min="6" max="6" width="13.109375" customWidth="1"/>
    <col min="7" max="7" width="12" customWidth="1"/>
    <col min="8" max="8" width="10.33203125" customWidth="1"/>
    <col min="9" max="9" width="11.33203125" customWidth="1"/>
    <col min="10" max="10" width="9.109375" customWidth="1"/>
    <col min="11" max="11" width="10.6640625" customWidth="1"/>
    <col min="12" max="12" width="11.6640625" customWidth="1"/>
    <col min="13" max="13" width="10.88671875" customWidth="1"/>
    <col min="14" max="14" width="11.33203125" customWidth="1"/>
    <col min="15" max="15" width="9.44140625" customWidth="1"/>
    <col min="18" max="18" width="11.109375" bestFit="1" customWidth="1"/>
    <col min="19" max="19" width="7.33203125" customWidth="1"/>
    <col min="21" max="21" width="9.6640625" customWidth="1"/>
  </cols>
  <sheetData>
    <row r="3" spans="1:21">
      <c r="A3" s="65"/>
      <c r="G3" s="41"/>
    </row>
    <row r="4" spans="1:21" ht="55.2" customHeight="1">
      <c r="A4" s="677" t="s">
        <v>495</v>
      </c>
      <c r="B4" s="678"/>
      <c r="C4" s="510" t="s">
        <v>82</v>
      </c>
      <c r="D4" s="510" t="s">
        <v>609</v>
      </c>
      <c r="E4" s="510" t="s">
        <v>610</v>
      </c>
      <c r="F4" s="510" t="s">
        <v>611</v>
      </c>
      <c r="G4" s="510" t="s">
        <v>496</v>
      </c>
      <c r="H4" s="510" t="s">
        <v>460</v>
      </c>
    </row>
    <row r="5" spans="1:21">
      <c r="A5" s="511" t="s">
        <v>417</v>
      </c>
      <c r="B5" s="826" t="s">
        <v>418</v>
      </c>
      <c r="C5" s="816" t="s">
        <v>419</v>
      </c>
      <c r="D5" s="837">
        <v>7991</v>
      </c>
      <c r="E5" s="512">
        <v>8630</v>
      </c>
      <c r="F5" s="848">
        <v>8630</v>
      </c>
      <c r="G5" s="513">
        <f t="shared" ref="G5:G33" si="0">F5/E5</f>
        <v>1</v>
      </c>
      <c r="H5" s="859">
        <f t="shared" ref="H5:H14" si="1">F5/174</f>
        <v>49.597701149425291</v>
      </c>
      <c r="P5" s="40"/>
    </row>
    <row r="6" spans="1:21">
      <c r="A6" s="511" t="s">
        <v>417</v>
      </c>
      <c r="B6" s="827" t="s">
        <v>418</v>
      </c>
      <c r="C6" s="816" t="s">
        <v>420</v>
      </c>
      <c r="D6" s="838">
        <v>9261</v>
      </c>
      <c r="E6" s="512">
        <v>10002</v>
      </c>
      <c r="F6" s="849">
        <v>10002</v>
      </c>
      <c r="G6" s="513">
        <f t="shared" si="0"/>
        <v>1</v>
      </c>
      <c r="H6" s="860">
        <f t="shared" si="1"/>
        <v>57.482758620689658</v>
      </c>
      <c r="P6" s="40"/>
    </row>
    <row r="7" spans="1:21">
      <c r="A7" s="511" t="s">
        <v>417</v>
      </c>
      <c r="B7" s="827" t="s">
        <v>418</v>
      </c>
      <c r="C7" s="816" t="s">
        <v>421</v>
      </c>
      <c r="D7" s="838">
        <v>4862</v>
      </c>
      <c r="E7" s="512">
        <v>5251</v>
      </c>
      <c r="F7" s="849">
        <v>5251</v>
      </c>
      <c r="G7" s="513">
        <f t="shared" si="0"/>
        <v>1</v>
      </c>
      <c r="H7" s="860">
        <f t="shared" si="1"/>
        <v>30.178160919540229</v>
      </c>
      <c r="P7" s="40"/>
    </row>
    <row r="8" spans="1:21">
      <c r="A8" s="511" t="s">
        <v>417</v>
      </c>
      <c r="B8" s="827" t="s">
        <v>418</v>
      </c>
      <c r="C8" s="816" t="s">
        <v>422</v>
      </c>
      <c r="D8" s="838">
        <v>5788</v>
      </c>
      <c r="E8" s="512">
        <v>6251</v>
      </c>
      <c r="F8" s="849">
        <v>6251</v>
      </c>
      <c r="G8" s="513">
        <f t="shared" si="0"/>
        <v>1</v>
      </c>
      <c r="H8" s="860">
        <f t="shared" si="1"/>
        <v>35.925287356321839</v>
      </c>
      <c r="P8" s="40"/>
    </row>
    <row r="9" spans="1:21">
      <c r="A9" s="799" t="s">
        <v>423</v>
      </c>
      <c r="B9" s="828" t="s">
        <v>424</v>
      </c>
      <c r="C9" s="817" t="s">
        <v>434</v>
      </c>
      <c r="D9" s="839">
        <v>10150</v>
      </c>
      <c r="E9" s="800">
        <v>12000</v>
      </c>
      <c r="F9" s="850">
        <v>12300</v>
      </c>
      <c r="G9" s="801">
        <f t="shared" si="0"/>
        <v>1.0249999999999999</v>
      </c>
      <c r="H9" s="861">
        <f t="shared" si="1"/>
        <v>70.689655172413794</v>
      </c>
      <c r="P9" s="40"/>
    </row>
    <row r="10" spans="1:21">
      <c r="A10" s="799" t="s">
        <v>423</v>
      </c>
      <c r="B10" s="828" t="s">
        <v>424</v>
      </c>
      <c r="C10" s="817" t="s">
        <v>432</v>
      </c>
      <c r="D10" s="839">
        <v>0</v>
      </c>
      <c r="E10" s="800">
        <v>0</v>
      </c>
      <c r="F10" s="850">
        <v>6200</v>
      </c>
      <c r="G10" s="801" t="e">
        <f t="shared" si="0"/>
        <v>#DIV/0!</v>
      </c>
      <c r="H10" s="861">
        <f t="shared" si="1"/>
        <v>35.632183908045974</v>
      </c>
      <c r="P10" s="57"/>
    </row>
    <row r="11" spans="1:21">
      <c r="A11" s="514" t="s">
        <v>425</v>
      </c>
      <c r="B11" s="829" t="s">
        <v>426</v>
      </c>
      <c r="C11" s="818" t="s">
        <v>480</v>
      </c>
      <c r="D11" s="840">
        <v>7086.24</v>
      </c>
      <c r="E11" s="515">
        <v>7086.24</v>
      </c>
      <c r="F11" s="851">
        <v>7200</v>
      </c>
      <c r="G11" s="516">
        <f t="shared" si="0"/>
        <v>1.016053647632595</v>
      </c>
      <c r="H11" s="840">
        <f t="shared" si="1"/>
        <v>41.379310344827587</v>
      </c>
      <c r="P11" s="57"/>
    </row>
    <row r="12" spans="1:21">
      <c r="A12" s="514" t="s">
        <v>425</v>
      </c>
      <c r="B12" s="829" t="s">
        <v>426</v>
      </c>
      <c r="C12" s="818" t="s">
        <v>434</v>
      </c>
      <c r="D12" s="840">
        <v>9984.4</v>
      </c>
      <c r="E12" s="515">
        <v>9984.4</v>
      </c>
      <c r="F12" s="851">
        <v>10300</v>
      </c>
      <c r="G12" s="516">
        <f t="shared" si="0"/>
        <v>1.0316093105244182</v>
      </c>
      <c r="H12" s="840">
        <f t="shared" si="1"/>
        <v>59.195402298850574</v>
      </c>
      <c r="P12" s="57"/>
    </row>
    <row r="13" spans="1:21">
      <c r="A13" s="514" t="s">
        <v>425</v>
      </c>
      <c r="B13" s="829" t="s">
        <v>426</v>
      </c>
      <c r="C13" s="818" t="s">
        <v>481</v>
      </c>
      <c r="D13" s="840">
        <v>7086.24</v>
      </c>
      <c r="E13" s="515">
        <v>7334.2583999999997</v>
      </c>
      <c r="F13" s="851">
        <v>7610.4253192000006</v>
      </c>
      <c r="G13" s="516">
        <f t="shared" si="0"/>
        <v>1.0376543754171521</v>
      </c>
      <c r="H13" s="840">
        <f t="shared" si="1"/>
        <v>43.73807654712644</v>
      </c>
      <c r="P13" s="57"/>
    </row>
    <row r="14" spans="1:21">
      <c r="A14" s="514" t="s">
        <v>425</v>
      </c>
      <c r="B14" s="829" t="s">
        <v>426</v>
      </c>
      <c r="C14" s="818" t="s">
        <v>432</v>
      </c>
      <c r="D14" s="840">
        <v>9984.4</v>
      </c>
      <c r="E14" s="515">
        <v>10483.619999999999</v>
      </c>
      <c r="F14" s="851">
        <v>10860.4334526</v>
      </c>
      <c r="G14" s="516">
        <f t="shared" si="0"/>
        <v>1.0359430666697191</v>
      </c>
      <c r="H14" s="840">
        <f t="shared" si="1"/>
        <v>62.416284210344827</v>
      </c>
      <c r="P14" s="40"/>
    </row>
    <row r="15" spans="1:21">
      <c r="A15" s="802" t="s">
        <v>427</v>
      </c>
      <c r="B15" s="830" t="s">
        <v>428</v>
      </c>
      <c r="C15" s="819" t="s">
        <v>434</v>
      </c>
      <c r="D15" s="841">
        <v>9200</v>
      </c>
      <c r="E15" s="803">
        <v>10000</v>
      </c>
      <c r="F15" s="852">
        <v>10300</v>
      </c>
      <c r="G15" s="804">
        <f t="shared" si="0"/>
        <v>1.03</v>
      </c>
      <c r="H15" s="862">
        <f>F15/164</f>
        <v>62.804878048780488</v>
      </c>
      <c r="P15" s="40"/>
    </row>
    <row r="16" spans="1:21">
      <c r="A16" s="802" t="s">
        <v>427</v>
      </c>
      <c r="B16" s="830" t="s">
        <v>428</v>
      </c>
      <c r="C16" s="819" t="s">
        <v>435</v>
      </c>
      <c r="D16" s="841">
        <v>4050</v>
      </c>
      <c r="E16" s="803">
        <v>5000</v>
      </c>
      <c r="F16" s="852">
        <v>5150</v>
      </c>
      <c r="G16" s="804">
        <f t="shared" si="0"/>
        <v>1.03</v>
      </c>
      <c r="H16" s="862">
        <f>F16/164</f>
        <v>31.402439024390244</v>
      </c>
      <c r="P16" s="40" t="s">
        <v>483</v>
      </c>
      <c r="R16" s="810" t="s">
        <v>608</v>
      </c>
      <c r="S16" s="811"/>
      <c r="T16" s="811"/>
      <c r="U16" s="812"/>
    </row>
    <row r="17" spans="1:21">
      <c r="A17" s="802" t="s">
        <v>427</v>
      </c>
      <c r="B17" s="830" t="s">
        <v>428</v>
      </c>
      <c r="C17" s="819" t="s">
        <v>432</v>
      </c>
      <c r="D17" s="841">
        <v>0</v>
      </c>
      <c r="E17" s="803">
        <v>5000</v>
      </c>
      <c r="F17" s="852">
        <v>5150</v>
      </c>
      <c r="G17" s="804">
        <f t="shared" si="0"/>
        <v>1.03</v>
      </c>
      <c r="H17" s="862">
        <f>F17/164</f>
        <v>31.402439024390244</v>
      </c>
      <c r="P17" s="40" t="s">
        <v>483</v>
      </c>
      <c r="R17" s="808">
        <f>6110.43/6061</f>
        <v>1.0081554198977067</v>
      </c>
      <c r="S17" s="346"/>
      <c r="T17" s="346"/>
      <c r="U17" s="347"/>
    </row>
    <row r="18" spans="1:21">
      <c r="A18" s="802" t="s">
        <v>427</v>
      </c>
      <c r="B18" s="830" t="s">
        <v>428</v>
      </c>
      <c r="C18" s="819" t="s">
        <v>482</v>
      </c>
      <c r="D18" s="841">
        <v>0</v>
      </c>
      <c r="E18" s="803">
        <v>0</v>
      </c>
      <c r="F18" s="852">
        <v>0</v>
      </c>
      <c r="G18" s="804" t="e">
        <f t="shared" si="0"/>
        <v>#DIV/0!</v>
      </c>
      <c r="H18" s="862">
        <f t="shared" ref="H18:H33" si="2">F18/174</f>
        <v>0</v>
      </c>
      <c r="P18" s="40"/>
    </row>
    <row r="19" spans="1:21">
      <c r="A19" s="517" t="s">
        <v>429</v>
      </c>
      <c r="B19" s="831" t="s">
        <v>430</v>
      </c>
      <c r="C19" s="820" t="s">
        <v>420</v>
      </c>
      <c r="D19" s="842">
        <v>22215</v>
      </c>
      <c r="E19" s="518">
        <v>23800</v>
      </c>
      <c r="F19" s="853">
        <v>23800</v>
      </c>
      <c r="G19" s="519">
        <f t="shared" si="0"/>
        <v>1</v>
      </c>
      <c r="H19" s="863">
        <f t="shared" si="2"/>
        <v>136.7816091954023</v>
      </c>
      <c r="R19" s="813" t="s">
        <v>607</v>
      </c>
      <c r="S19" s="814"/>
      <c r="T19" s="814"/>
      <c r="U19" s="815"/>
    </row>
    <row r="20" spans="1:21">
      <c r="A20" s="520" t="s">
        <v>431</v>
      </c>
      <c r="B20" s="832" t="s">
        <v>424</v>
      </c>
      <c r="C20" s="821" t="s">
        <v>432</v>
      </c>
      <c r="D20" s="843">
        <v>10513.26</v>
      </c>
      <c r="E20" s="521">
        <v>10513.26</v>
      </c>
      <c r="F20" s="854">
        <v>10829</v>
      </c>
      <c r="G20" s="522">
        <f t="shared" si="0"/>
        <v>1.0300325493709848</v>
      </c>
      <c r="H20" s="864">
        <f t="shared" si="2"/>
        <v>62.235632183908045</v>
      </c>
      <c r="P20" s="40"/>
      <c r="R20" s="809">
        <f>6110.43*101%</f>
        <v>6171.5343000000003</v>
      </c>
      <c r="S20" s="346"/>
      <c r="T20" s="346"/>
      <c r="U20" s="347"/>
    </row>
    <row r="21" spans="1:21">
      <c r="A21" s="520" t="s">
        <v>431</v>
      </c>
      <c r="B21" s="832" t="s">
        <v>424</v>
      </c>
      <c r="C21" s="821" t="s">
        <v>433</v>
      </c>
      <c r="D21" s="843">
        <v>7500</v>
      </c>
      <c r="E21" s="521">
        <v>7650</v>
      </c>
      <c r="F21" s="854">
        <v>7880</v>
      </c>
      <c r="G21" s="522">
        <f t="shared" si="0"/>
        <v>1.0300653594771241</v>
      </c>
      <c r="H21" s="864">
        <f t="shared" si="2"/>
        <v>45.287356321839077</v>
      </c>
      <c r="P21" s="40"/>
    </row>
    <row r="22" spans="1:21">
      <c r="A22" s="520" t="s">
        <v>431</v>
      </c>
      <c r="B22" s="832" t="s">
        <v>424</v>
      </c>
      <c r="C22" s="821" t="s">
        <v>434</v>
      </c>
      <c r="D22" s="843">
        <v>8400</v>
      </c>
      <c r="E22" s="521">
        <v>8570</v>
      </c>
      <c r="F22" s="854">
        <v>8827</v>
      </c>
      <c r="G22" s="522">
        <f t="shared" si="0"/>
        <v>1.0299883313885647</v>
      </c>
      <c r="H22" s="864">
        <f t="shared" si="2"/>
        <v>50.729885057471265</v>
      </c>
      <c r="P22" s="40"/>
    </row>
    <row r="23" spans="1:21">
      <c r="A23" s="520" t="s">
        <v>431</v>
      </c>
      <c r="B23" s="832" t="s">
        <v>424</v>
      </c>
      <c r="C23" s="821" t="s">
        <v>435</v>
      </c>
      <c r="D23" s="843">
        <v>5500</v>
      </c>
      <c r="E23" s="521">
        <v>5610</v>
      </c>
      <c r="F23" s="854">
        <v>5778</v>
      </c>
      <c r="G23" s="522">
        <f t="shared" si="0"/>
        <v>1.0299465240641712</v>
      </c>
      <c r="H23" s="864">
        <f t="shared" si="2"/>
        <v>33.206896551724135</v>
      </c>
      <c r="P23" s="40"/>
    </row>
    <row r="24" spans="1:21">
      <c r="A24" s="520" t="s">
        <v>431</v>
      </c>
      <c r="B24" s="832" t="s">
        <v>424</v>
      </c>
      <c r="C24" s="821" t="s">
        <v>436</v>
      </c>
      <c r="D24" s="843">
        <v>5950</v>
      </c>
      <c r="E24" s="521">
        <v>6070</v>
      </c>
      <c r="F24" s="854">
        <v>6252</v>
      </c>
      <c r="G24" s="522">
        <f t="shared" si="0"/>
        <v>1.0299835255354202</v>
      </c>
      <c r="H24" s="864">
        <f t="shared" si="2"/>
        <v>35.931034482758619</v>
      </c>
    </row>
    <row r="25" spans="1:21">
      <c r="A25" s="520" t="s">
        <v>431</v>
      </c>
      <c r="B25" s="832" t="s">
        <v>424</v>
      </c>
      <c r="C25" s="821" t="s">
        <v>437</v>
      </c>
      <c r="D25" s="843">
        <v>5890</v>
      </c>
      <c r="E25" s="521">
        <v>6010</v>
      </c>
      <c r="F25" s="854">
        <v>6190</v>
      </c>
      <c r="G25" s="522">
        <f t="shared" si="0"/>
        <v>1.0299500831946755</v>
      </c>
      <c r="H25" s="864">
        <f t="shared" si="2"/>
        <v>35.574712643678161</v>
      </c>
      <c r="P25" s="40"/>
    </row>
    <row r="26" spans="1:21">
      <c r="A26" s="523" t="s">
        <v>438</v>
      </c>
      <c r="B26" s="833" t="s">
        <v>418</v>
      </c>
      <c r="C26" s="822" t="s">
        <v>420</v>
      </c>
      <c r="D26" s="844">
        <v>23550</v>
      </c>
      <c r="E26" s="524">
        <v>24750</v>
      </c>
      <c r="F26" s="855">
        <v>24750</v>
      </c>
      <c r="G26" s="525">
        <f t="shared" si="0"/>
        <v>1</v>
      </c>
      <c r="H26" s="865">
        <f t="shared" si="2"/>
        <v>142.24137931034483</v>
      </c>
      <c r="P26" s="40"/>
    </row>
    <row r="27" spans="1:21">
      <c r="A27" s="523" t="s">
        <v>438</v>
      </c>
      <c r="B27" s="833" t="s">
        <v>418</v>
      </c>
      <c r="C27" s="822" t="s">
        <v>422</v>
      </c>
      <c r="D27" s="844">
        <v>14200</v>
      </c>
      <c r="E27" s="524">
        <v>15000</v>
      </c>
      <c r="F27" s="855">
        <v>15000</v>
      </c>
      <c r="G27" s="525">
        <f t="shared" si="0"/>
        <v>1</v>
      </c>
      <c r="H27" s="865">
        <f t="shared" si="2"/>
        <v>86.206896551724142</v>
      </c>
      <c r="P27" s="40"/>
    </row>
    <row r="28" spans="1:21">
      <c r="A28" s="526" t="s">
        <v>439</v>
      </c>
      <c r="B28" s="834" t="s">
        <v>418</v>
      </c>
      <c r="C28" s="823" t="s">
        <v>420</v>
      </c>
      <c r="D28" s="845">
        <v>19000</v>
      </c>
      <c r="E28" s="527">
        <v>19900</v>
      </c>
      <c r="F28" s="856">
        <v>22400</v>
      </c>
      <c r="G28" s="528">
        <f t="shared" si="0"/>
        <v>1.1256281407035176</v>
      </c>
      <c r="H28" s="866">
        <f t="shared" si="2"/>
        <v>128.73563218390805</v>
      </c>
      <c r="P28" s="40"/>
    </row>
    <row r="29" spans="1:21">
      <c r="A29" s="526" t="s">
        <v>439</v>
      </c>
      <c r="B29" s="834" t="s">
        <v>418</v>
      </c>
      <c r="C29" s="823" t="s">
        <v>422</v>
      </c>
      <c r="D29" s="845">
        <v>14000</v>
      </c>
      <c r="E29" s="527">
        <v>14900</v>
      </c>
      <c r="F29" s="856">
        <v>18900</v>
      </c>
      <c r="G29" s="528">
        <f t="shared" si="0"/>
        <v>1.2684563758389262</v>
      </c>
      <c r="H29" s="866">
        <f t="shared" si="2"/>
        <v>108.62068965517241</v>
      </c>
      <c r="P29" s="40"/>
    </row>
    <row r="30" spans="1:21">
      <c r="A30" s="529" t="s">
        <v>440</v>
      </c>
      <c r="B30" s="835" t="s">
        <v>441</v>
      </c>
      <c r="C30" s="824" t="s">
        <v>420</v>
      </c>
      <c r="D30" s="846">
        <v>13250</v>
      </c>
      <c r="E30" s="530">
        <v>13250</v>
      </c>
      <c r="F30" s="857">
        <v>14330</v>
      </c>
      <c r="G30" s="531">
        <f t="shared" si="0"/>
        <v>1.0815094339622642</v>
      </c>
      <c r="H30" s="867">
        <f t="shared" si="2"/>
        <v>82.356321839080465</v>
      </c>
      <c r="P30" s="40"/>
      <c r="Q30" s="806"/>
      <c r="R30" s="807"/>
    </row>
    <row r="31" spans="1:21">
      <c r="A31" s="529" t="s">
        <v>440</v>
      </c>
      <c r="B31" s="835" t="s">
        <v>441</v>
      </c>
      <c r="C31" s="824" t="s">
        <v>419</v>
      </c>
      <c r="D31" s="846">
        <v>12250</v>
      </c>
      <c r="E31" s="530">
        <v>12250</v>
      </c>
      <c r="F31" s="857">
        <v>13250</v>
      </c>
      <c r="G31" s="531">
        <f t="shared" si="0"/>
        <v>1.0816326530612246</v>
      </c>
      <c r="H31" s="867">
        <f t="shared" si="2"/>
        <v>76.149425287356323</v>
      </c>
      <c r="P31" s="40"/>
    </row>
    <row r="32" spans="1:21">
      <c r="A32" s="529" t="s">
        <v>440</v>
      </c>
      <c r="B32" s="835" t="s">
        <v>441</v>
      </c>
      <c r="C32" s="824" t="s">
        <v>422</v>
      </c>
      <c r="D32" s="846">
        <v>9800</v>
      </c>
      <c r="E32" s="530">
        <v>9800</v>
      </c>
      <c r="F32" s="857">
        <v>10600</v>
      </c>
      <c r="G32" s="531">
        <f t="shared" si="0"/>
        <v>1.0816326530612246</v>
      </c>
      <c r="H32" s="867">
        <f t="shared" si="2"/>
        <v>60.919540229885058</v>
      </c>
      <c r="P32" s="40"/>
    </row>
    <row r="33" spans="1:8">
      <c r="A33" s="532" t="s">
        <v>440</v>
      </c>
      <c r="B33" s="836" t="s">
        <v>441</v>
      </c>
      <c r="C33" s="825" t="s">
        <v>421</v>
      </c>
      <c r="D33" s="847">
        <v>8800</v>
      </c>
      <c r="E33" s="533">
        <v>8800</v>
      </c>
      <c r="F33" s="858">
        <v>9250</v>
      </c>
      <c r="G33" s="534">
        <f t="shared" si="0"/>
        <v>1.0511363636363635</v>
      </c>
      <c r="H33" s="868">
        <f t="shared" si="2"/>
        <v>53.160919540229884</v>
      </c>
    </row>
    <row r="35" spans="1:8">
      <c r="A35" s="497" t="s">
        <v>486</v>
      </c>
      <c r="E35" s="499"/>
    </row>
    <row r="40" spans="1:8">
      <c r="F40" s="41"/>
    </row>
    <row r="41" spans="1:8">
      <c r="E41" s="499"/>
    </row>
    <row r="42" spans="1:8">
      <c r="E42" s="499"/>
    </row>
    <row r="43" spans="1:8">
      <c r="E43" s="499"/>
    </row>
    <row r="44" spans="1:8">
      <c r="E44" s="499"/>
    </row>
    <row r="45" spans="1:8">
      <c r="E45" s="499"/>
    </row>
    <row r="46" spans="1:8">
      <c r="E46" s="499"/>
    </row>
    <row r="47" spans="1:8">
      <c r="E47" s="499"/>
    </row>
    <row r="48" spans="1:8">
      <c r="E48" s="35"/>
    </row>
    <row r="49" spans="5:5">
      <c r="E49" s="35"/>
    </row>
    <row r="50" spans="5:5">
      <c r="E50" s="35"/>
    </row>
  </sheetData>
  <hyperlinks>
    <hyperlink ref="A35" r:id="rId1" xr:uid="{C2F48875-7529-4E37-A207-9A8543E5F6ED}"/>
  </hyperlinks>
  <pageMargins left="0.7" right="0.7" top="0.75" bottom="0.75" header="0.3" footer="0.3"/>
  <pageSetup scale="4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3:L72"/>
  <sheetViews>
    <sheetView zoomScale="120" zoomScaleNormal="120" workbookViewId="0">
      <pane ySplit="2" topLeftCell="A3" activePane="bottomLeft" state="frozen"/>
      <selection pane="bottomLeft" activeCell="J13" sqref="J13"/>
    </sheetView>
  </sheetViews>
  <sheetFormatPr defaultRowHeight="14.4"/>
  <cols>
    <col min="1" max="1" width="13.6640625" customWidth="1"/>
    <col min="2" max="2" width="11.6640625" customWidth="1"/>
    <col min="3" max="3" width="12" style="33" customWidth="1"/>
    <col min="4" max="4" width="12.5546875" style="33" customWidth="1"/>
    <col min="5" max="5" width="12.5546875" customWidth="1"/>
    <col min="6" max="6" width="13.88671875" customWidth="1"/>
    <col min="7" max="7" width="13.109375" customWidth="1"/>
    <col min="8" max="8" width="12" customWidth="1"/>
    <col min="9" max="9" width="11.33203125" customWidth="1"/>
    <col min="10" max="10" width="9.109375" customWidth="1"/>
    <col min="11" max="11" width="10.6640625" customWidth="1"/>
    <col min="12" max="12" width="11.6640625" customWidth="1"/>
    <col min="13" max="13" width="10.88671875" customWidth="1"/>
    <col min="14" max="14" width="11.33203125" customWidth="1"/>
    <col min="15" max="15" width="9.44140625" customWidth="1"/>
    <col min="19" max="19" width="7.33203125" customWidth="1"/>
  </cols>
  <sheetData>
    <row r="3" spans="1:12" ht="15" thickBot="1">
      <c r="A3" s="194" t="s">
        <v>335</v>
      </c>
      <c r="C3"/>
      <c r="D3"/>
    </row>
    <row r="4" spans="1:12" s="1135" customFormat="1" ht="55.2" customHeight="1">
      <c r="A4" s="1151" t="s">
        <v>82</v>
      </c>
      <c r="B4" s="1152" t="s">
        <v>175</v>
      </c>
      <c r="C4" s="1152" t="s">
        <v>176</v>
      </c>
      <c r="D4" s="1152" t="s">
        <v>177</v>
      </c>
      <c r="E4" s="1152" t="s">
        <v>614</v>
      </c>
      <c r="F4" s="1153" t="s">
        <v>612</v>
      </c>
      <c r="G4" s="1154" t="s">
        <v>613</v>
      </c>
      <c r="H4" s="1155" t="s">
        <v>178</v>
      </c>
      <c r="I4" s="1156" t="s">
        <v>489</v>
      </c>
      <c r="J4" s="1377" t="s">
        <v>615</v>
      </c>
      <c r="K4" s="1378"/>
      <c r="L4" s="1378"/>
    </row>
    <row r="5" spans="1:12">
      <c r="A5" s="34" t="s">
        <v>364</v>
      </c>
      <c r="B5" s="33">
        <v>10300</v>
      </c>
      <c r="C5" s="348">
        <v>6.8000000000000005E-2</v>
      </c>
      <c r="D5" s="33">
        <f>(B5*C5)+B5</f>
        <v>11000.4</v>
      </c>
      <c r="E5" s="33">
        <v>0</v>
      </c>
      <c r="F5" s="33">
        <f>C42/10</f>
        <v>1030</v>
      </c>
      <c r="G5" s="614">
        <f>D5/10</f>
        <v>1100.04</v>
      </c>
      <c r="H5" s="33">
        <f>G5-F5</f>
        <v>70.039999999999964</v>
      </c>
      <c r="I5" s="504">
        <f>H5*10</f>
        <v>700.39999999999964</v>
      </c>
      <c r="J5" s="192"/>
      <c r="K5" s="192"/>
      <c r="L5" s="192"/>
    </row>
    <row r="6" spans="1:12">
      <c r="A6" s="34" t="s">
        <v>367</v>
      </c>
      <c r="B6" s="33">
        <v>10860.43</v>
      </c>
      <c r="C6" s="348">
        <v>2.3E-2</v>
      </c>
      <c r="D6" s="33">
        <f>(B6*C6)+B6</f>
        <v>11110.21989</v>
      </c>
      <c r="E6" s="33">
        <v>6110.43</v>
      </c>
      <c r="F6" s="33">
        <f>(B6-6110)/10</f>
        <v>475.04300000000001</v>
      </c>
      <c r="G6" s="420">
        <f>(D6-E6)/10</f>
        <v>499.97898900000001</v>
      </c>
      <c r="H6" s="33">
        <f>G6-F6</f>
        <v>24.935989000000006</v>
      </c>
      <c r="I6" s="504">
        <f>H6*10</f>
        <v>249.35989000000006</v>
      </c>
      <c r="J6" s="192"/>
      <c r="K6" s="345"/>
      <c r="L6" s="345"/>
    </row>
    <row r="7" spans="1:12">
      <c r="A7" s="344" t="s">
        <v>366</v>
      </c>
      <c r="B7" s="33">
        <v>7200</v>
      </c>
      <c r="C7" s="348">
        <v>4.1799999999999997E-2</v>
      </c>
      <c r="D7" s="33">
        <f>(B7*C7)+B7</f>
        <v>7500.96</v>
      </c>
      <c r="E7" s="33">
        <v>0</v>
      </c>
      <c r="F7" s="33">
        <f>C45/10</f>
        <v>720</v>
      </c>
      <c r="G7" s="420">
        <f>D7/10</f>
        <v>750.096</v>
      </c>
      <c r="H7" s="33">
        <f>G7-F7</f>
        <v>30.096000000000004</v>
      </c>
      <c r="I7" s="504">
        <f>H7*10</f>
        <v>300.96000000000004</v>
      </c>
      <c r="J7" s="192"/>
      <c r="K7" s="192"/>
      <c r="L7" s="192"/>
    </row>
    <row r="8" spans="1:12" ht="15" thickBot="1">
      <c r="A8" s="64" t="s">
        <v>365</v>
      </c>
      <c r="B8" s="38">
        <v>7610.43</v>
      </c>
      <c r="C8" s="349">
        <v>0</v>
      </c>
      <c r="D8" s="38">
        <f>(B8*C8)+B8</f>
        <v>7610.43</v>
      </c>
      <c r="E8" s="38">
        <v>6110.43</v>
      </c>
      <c r="F8" s="38">
        <f>(B8-E8)/10</f>
        <v>150</v>
      </c>
      <c r="G8" s="613">
        <f>(D8-E8)/10</f>
        <v>150</v>
      </c>
      <c r="H8" s="38">
        <f>G8-F8</f>
        <v>0</v>
      </c>
      <c r="I8" s="505">
        <f>H8*10</f>
        <v>0</v>
      </c>
    </row>
    <row r="9" spans="1:12">
      <c r="B9" t="s">
        <v>487</v>
      </c>
      <c r="C9" s="498">
        <f>SUM(C5:C8)*100/4</f>
        <v>3.32</v>
      </c>
      <c r="D9" t="s">
        <v>488</v>
      </c>
    </row>
    <row r="12" spans="1:12">
      <c r="A12" s="195" t="s">
        <v>135</v>
      </c>
    </row>
    <row r="13" spans="1:12" s="1135" customFormat="1" ht="43.2">
      <c r="A13" s="1147" t="s">
        <v>136</v>
      </c>
      <c r="B13" s="1147" t="s">
        <v>82</v>
      </c>
      <c r="C13" s="1148" t="s">
        <v>137</v>
      </c>
      <c r="D13" s="1149" t="s">
        <v>138</v>
      </c>
      <c r="E13" s="1150" t="s">
        <v>139</v>
      </c>
      <c r="F13" s="1147" t="s">
        <v>140</v>
      </c>
    </row>
    <row r="14" spans="1:12">
      <c r="A14" s="506"/>
      <c r="B14" s="507" t="s">
        <v>490</v>
      </c>
      <c r="C14" s="508"/>
      <c r="D14" s="508"/>
      <c r="E14" s="507"/>
      <c r="F14" s="509"/>
      <c r="G14" s="41"/>
    </row>
    <row r="15" spans="1:12">
      <c r="A15" s="211" t="s">
        <v>141</v>
      </c>
      <c r="C15" s="33">
        <v>6690</v>
      </c>
      <c r="F15" s="212">
        <f>(E16+E17+E18+E19+E20+E21+E22+E23+E24+E25+E26)/11</f>
        <v>4.2933223904988639E-2</v>
      </c>
    </row>
    <row r="16" spans="1:12">
      <c r="A16" s="211" t="s">
        <v>142</v>
      </c>
      <c r="C16" s="33">
        <v>7169</v>
      </c>
      <c r="D16" s="33">
        <f>C16-C15</f>
        <v>479</v>
      </c>
      <c r="E16" s="499">
        <f>D16/C16</f>
        <v>6.6815455433114804E-2</v>
      </c>
      <c r="F16" s="213"/>
    </row>
    <row r="17" spans="1:6">
      <c r="A17" s="211" t="s">
        <v>143</v>
      </c>
      <c r="C17" s="33">
        <v>7384</v>
      </c>
      <c r="D17" s="33">
        <f t="shared" ref="D17:D23" si="0">C17-C16</f>
        <v>215</v>
      </c>
      <c r="E17" s="499">
        <f t="shared" ref="E17:E23" si="1">D17/C17</f>
        <v>2.9117009750812568E-2</v>
      </c>
      <c r="F17" s="213"/>
    </row>
    <row r="18" spans="1:6">
      <c r="A18" s="211" t="s">
        <v>144</v>
      </c>
      <c r="C18" s="33">
        <v>7606</v>
      </c>
      <c r="D18" s="33">
        <f t="shared" si="0"/>
        <v>222</v>
      </c>
      <c r="E18" s="499">
        <f t="shared" si="1"/>
        <v>2.91874835656061E-2</v>
      </c>
      <c r="F18" s="213"/>
    </row>
    <row r="19" spans="1:6">
      <c r="A19" s="211" t="s">
        <v>145</v>
      </c>
      <c r="C19" s="33">
        <v>7872</v>
      </c>
      <c r="D19" s="33">
        <f t="shared" si="0"/>
        <v>266</v>
      </c>
      <c r="E19" s="499">
        <f t="shared" si="1"/>
        <v>3.3790650406504065E-2</v>
      </c>
      <c r="F19" s="213"/>
    </row>
    <row r="20" spans="1:6">
      <c r="A20" s="211" t="s">
        <v>146</v>
      </c>
      <c r="C20" s="33">
        <v>8069</v>
      </c>
      <c r="D20" s="33">
        <f t="shared" si="0"/>
        <v>197</v>
      </c>
      <c r="E20" s="499">
        <f t="shared" si="1"/>
        <v>2.4414425579377865E-2</v>
      </c>
      <c r="F20" s="213"/>
    </row>
    <row r="21" spans="1:6">
      <c r="A21" s="211" t="s">
        <v>147</v>
      </c>
      <c r="C21" s="33">
        <v>8470</v>
      </c>
      <c r="D21" s="33">
        <f t="shared" si="0"/>
        <v>401</v>
      </c>
      <c r="E21" s="499">
        <f t="shared" si="1"/>
        <v>4.7343565525383706E-2</v>
      </c>
      <c r="F21" s="213"/>
    </row>
    <row r="22" spans="1:6">
      <c r="A22" s="211" t="s">
        <v>148</v>
      </c>
      <c r="C22" s="33">
        <v>8724</v>
      </c>
      <c r="D22" s="33">
        <f t="shared" si="0"/>
        <v>254</v>
      </c>
      <c r="E22" s="499">
        <f t="shared" si="1"/>
        <v>2.9115084823475471E-2</v>
      </c>
      <c r="F22" s="213"/>
    </row>
    <row r="23" spans="1:6">
      <c r="A23" s="211" t="s">
        <v>149</v>
      </c>
      <c r="C23" s="33">
        <v>9160</v>
      </c>
      <c r="D23" s="33">
        <f t="shared" si="0"/>
        <v>436</v>
      </c>
      <c r="E23" s="499">
        <f t="shared" si="1"/>
        <v>4.7598253275109172E-2</v>
      </c>
      <c r="F23" s="213"/>
    </row>
    <row r="24" spans="1:6">
      <c r="A24" s="211" t="s">
        <v>368</v>
      </c>
      <c r="C24" s="33">
        <v>9984.4</v>
      </c>
      <c r="D24" s="33">
        <f>C24-C23</f>
        <v>824.39999999999964</v>
      </c>
      <c r="E24" s="499">
        <f>D24/C24</f>
        <v>8.2568807339449504E-2</v>
      </c>
      <c r="F24" s="213"/>
    </row>
    <row r="25" spans="1:6">
      <c r="A25" s="211" t="s">
        <v>409</v>
      </c>
      <c r="B25" s="275" t="s">
        <v>493</v>
      </c>
      <c r="C25" s="33">
        <v>10483.620000000001</v>
      </c>
      <c r="D25" s="33">
        <f>C25-C24</f>
        <v>499.22000000000116</v>
      </c>
      <c r="E25" s="499">
        <f>D25/C25</f>
        <v>4.7619047619047727E-2</v>
      </c>
      <c r="F25" s="213"/>
    </row>
    <row r="26" spans="1:6">
      <c r="A26" s="211" t="s">
        <v>505</v>
      </c>
      <c r="B26" s="275" t="s">
        <v>493</v>
      </c>
      <c r="C26" s="269">
        <v>10860.43</v>
      </c>
      <c r="D26" s="269">
        <f>C26-C25</f>
        <v>376.80999999999949</v>
      </c>
      <c r="E26" s="869">
        <f>D26/C26</f>
        <v>3.4695679636994069E-2</v>
      </c>
      <c r="F26" s="347"/>
    </row>
    <row r="27" spans="1:6">
      <c r="A27" s="506"/>
      <c r="B27" s="507" t="s">
        <v>491</v>
      </c>
      <c r="C27" s="508"/>
      <c r="D27" s="508"/>
      <c r="E27" s="507"/>
      <c r="F27" s="509"/>
    </row>
    <row r="28" spans="1:6">
      <c r="A28" s="211" t="s">
        <v>141</v>
      </c>
      <c r="C28" s="33">
        <v>4800</v>
      </c>
      <c r="E28" s="35"/>
      <c r="F28" s="212">
        <f>(E29+E30+E31+E32+E33+E34+E35+E36+E37+E38+E39)/11</f>
        <v>4.0766904788254552E-2</v>
      </c>
    </row>
    <row r="29" spans="1:6">
      <c r="A29" s="211" t="s">
        <v>142</v>
      </c>
      <c r="C29" s="33">
        <v>4944</v>
      </c>
      <c r="D29" s="33">
        <f>C29-C28</f>
        <v>144</v>
      </c>
      <c r="E29" s="499">
        <f>D29/C29</f>
        <v>2.9126213592233011E-2</v>
      </c>
      <c r="F29" s="213"/>
    </row>
    <row r="30" spans="1:6">
      <c r="A30" s="211" t="s">
        <v>143</v>
      </c>
      <c r="C30" s="33">
        <v>5092</v>
      </c>
      <c r="D30" s="33">
        <f t="shared" ref="D30:D36" si="2">C30-C29</f>
        <v>148</v>
      </c>
      <c r="E30" s="499">
        <f t="shared" ref="E30:E38" si="3">D30/C30</f>
        <v>2.9065200314218383E-2</v>
      </c>
      <c r="F30" s="213"/>
    </row>
    <row r="31" spans="1:6">
      <c r="A31" s="211" t="s">
        <v>144</v>
      </c>
      <c r="C31" s="33">
        <v>5245</v>
      </c>
      <c r="D31" s="33">
        <f t="shared" si="2"/>
        <v>153</v>
      </c>
      <c r="E31" s="499">
        <f t="shared" si="3"/>
        <v>2.9170638703527169E-2</v>
      </c>
      <c r="F31" s="213"/>
    </row>
    <row r="32" spans="1:6">
      <c r="A32" s="211" t="s">
        <v>145</v>
      </c>
      <c r="C32" s="33">
        <v>5429</v>
      </c>
      <c r="D32" s="33">
        <f t="shared" si="2"/>
        <v>184</v>
      </c>
      <c r="E32" s="499">
        <f t="shared" si="3"/>
        <v>3.3892061153066866E-2</v>
      </c>
      <c r="F32" s="213"/>
    </row>
    <row r="33" spans="1:6">
      <c r="A33" s="211" t="s">
        <v>146</v>
      </c>
      <c r="C33" s="33">
        <v>5565</v>
      </c>
      <c r="D33" s="33">
        <f t="shared" si="2"/>
        <v>136</v>
      </c>
      <c r="E33" s="499">
        <f t="shared" si="3"/>
        <v>2.4438454627133871E-2</v>
      </c>
      <c r="F33" s="213"/>
    </row>
    <row r="34" spans="1:6">
      <c r="A34" s="211" t="s">
        <v>147</v>
      </c>
      <c r="C34" s="33">
        <v>5850</v>
      </c>
      <c r="D34" s="33">
        <f t="shared" si="2"/>
        <v>285</v>
      </c>
      <c r="E34" s="499">
        <f t="shared" si="3"/>
        <v>4.8717948717948718E-2</v>
      </c>
      <c r="F34" s="213"/>
    </row>
    <row r="35" spans="1:6">
      <c r="A35" s="211" t="s">
        <v>148</v>
      </c>
      <c r="C35" s="33">
        <v>6025</v>
      </c>
      <c r="D35" s="33">
        <f t="shared" si="2"/>
        <v>175</v>
      </c>
      <c r="E35" s="499">
        <f t="shared" si="3"/>
        <v>2.9045643153526972E-2</v>
      </c>
      <c r="F35" s="213"/>
    </row>
    <row r="36" spans="1:6">
      <c r="A36" s="211" t="s">
        <v>149</v>
      </c>
      <c r="C36" s="33">
        <v>6327</v>
      </c>
      <c r="D36" s="33">
        <f t="shared" si="2"/>
        <v>302</v>
      </c>
      <c r="E36" s="499">
        <f t="shared" si="3"/>
        <v>4.7731942468784573E-2</v>
      </c>
      <c r="F36" s="213"/>
    </row>
    <row r="37" spans="1:6">
      <c r="A37" s="211" t="s">
        <v>368</v>
      </c>
      <c r="C37" s="33">
        <v>7086.24</v>
      </c>
      <c r="D37" s="33">
        <f>C37-C36</f>
        <v>759.23999999999978</v>
      </c>
      <c r="E37" s="499">
        <f t="shared" si="3"/>
        <v>0.10714285714285711</v>
      </c>
      <c r="F37" s="213"/>
    </row>
    <row r="38" spans="1:6">
      <c r="A38" s="211" t="s">
        <v>409</v>
      </c>
      <c r="B38" s="275" t="s">
        <v>493</v>
      </c>
      <c r="C38" s="33">
        <v>7334.26</v>
      </c>
      <c r="D38" s="33">
        <f>C38-C37</f>
        <v>248.02000000000044</v>
      </c>
      <c r="E38" s="499">
        <f t="shared" si="3"/>
        <v>3.3816635897827518E-2</v>
      </c>
      <c r="F38" s="213"/>
    </row>
    <row r="39" spans="1:6" ht="15" customHeight="1">
      <c r="A39" s="211" t="s">
        <v>505</v>
      </c>
      <c r="B39" s="275" t="s">
        <v>493</v>
      </c>
      <c r="C39" s="269">
        <v>7610.43</v>
      </c>
      <c r="D39" s="269">
        <f>C39-C38</f>
        <v>276.17000000000007</v>
      </c>
      <c r="E39" s="869">
        <f>D39/C39</f>
        <v>3.6288356899675848E-2</v>
      </c>
      <c r="F39" s="347"/>
    </row>
    <row r="40" spans="1:6">
      <c r="A40" s="506"/>
      <c r="B40" s="507" t="s">
        <v>494</v>
      </c>
      <c r="C40" s="508"/>
      <c r="D40" s="508"/>
      <c r="E40" s="507"/>
      <c r="F40" s="509"/>
    </row>
    <row r="41" spans="1:6">
      <c r="A41" s="211" t="s">
        <v>409</v>
      </c>
      <c r="C41" s="33">
        <v>9984.4</v>
      </c>
      <c r="D41" s="33">
        <v>0</v>
      </c>
      <c r="E41" s="499">
        <f>D41/C41</f>
        <v>0</v>
      </c>
      <c r="F41" s="871">
        <f>(E41+E42)/2</f>
        <v>1.5320388349514581E-2</v>
      </c>
    </row>
    <row r="42" spans="1:6">
      <c r="A42" s="211" t="s">
        <v>505</v>
      </c>
      <c r="C42" s="33">
        <v>10300</v>
      </c>
      <c r="D42" s="33">
        <f>C42-C41</f>
        <v>315.60000000000036</v>
      </c>
      <c r="E42" s="870">
        <f>D42/C42</f>
        <v>3.0640776699029162E-2</v>
      </c>
      <c r="F42" s="213"/>
    </row>
    <row r="43" spans="1:6">
      <c r="A43" s="506"/>
      <c r="B43" s="507" t="s">
        <v>492</v>
      </c>
      <c r="C43" s="508"/>
      <c r="D43" s="508"/>
      <c r="E43" s="507"/>
      <c r="F43" s="509"/>
    </row>
    <row r="44" spans="1:6">
      <c r="A44" s="211" t="s">
        <v>409</v>
      </c>
      <c r="C44" s="33">
        <v>7086.24</v>
      </c>
      <c r="D44" s="33">
        <v>0</v>
      </c>
      <c r="E44" s="499">
        <f>D44/C44</f>
        <v>0</v>
      </c>
      <c r="F44" s="872">
        <f>(E44+E45)/2</f>
        <v>7.9000000000000146E-3</v>
      </c>
    </row>
    <row r="45" spans="1:6">
      <c r="A45" s="268" t="s">
        <v>505</v>
      </c>
      <c r="B45" s="346"/>
      <c r="C45" s="269">
        <v>7200</v>
      </c>
      <c r="D45" s="269">
        <f>C45-C44</f>
        <v>113.76000000000022</v>
      </c>
      <c r="E45" s="869">
        <f>D45/C45</f>
        <v>1.5800000000000029E-2</v>
      </c>
      <c r="F45" s="347"/>
    </row>
    <row r="48" spans="1:6" hidden="1">
      <c r="A48" s="537" t="s">
        <v>497</v>
      </c>
      <c r="B48" s="538"/>
      <c r="C48" s="539"/>
      <c r="D48" s="539"/>
      <c r="E48" s="538"/>
      <c r="F48" s="540"/>
    </row>
    <row r="49" spans="1:6" hidden="1">
      <c r="A49" s="293" t="s">
        <v>141</v>
      </c>
      <c r="B49" s="501" t="s">
        <v>150</v>
      </c>
      <c r="C49" s="502">
        <v>4490</v>
      </c>
      <c r="D49" s="502"/>
      <c r="E49" s="501"/>
      <c r="F49" s="503">
        <f>(E50+E51+E52+E53+E54+E55+E56)/7</f>
        <v>3.1877596453417249E-2</v>
      </c>
    </row>
    <row r="50" spans="1:6" hidden="1">
      <c r="A50" s="211" t="s">
        <v>142</v>
      </c>
      <c r="C50" s="33">
        <v>4625</v>
      </c>
      <c r="D50" s="33">
        <f>C50-C49</f>
        <v>135</v>
      </c>
      <c r="E50" s="499">
        <f>D50/C50</f>
        <v>2.9189189189189189E-2</v>
      </c>
      <c r="F50" s="213"/>
    </row>
    <row r="51" spans="1:6" hidden="1">
      <c r="A51" s="211" t="s">
        <v>143</v>
      </c>
      <c r="C51" s="33">
        <v>4764</v>
      </c>
      <c r="D51" s="33">
        <f t="shared" ref="D51:D56" si="4">C51-C50</f>
        <v>139</v>
      </c>
      <c r="E51" s="499">
        <f t="shared" ref="E51:E56" si="5">D51/C51</f>
        <v>2.9177162048698572E-2</v>
      </c>
      <c r="F51" s="213"/>
    </row>
    <row r="52" spans="1:6" hidden="1">
      <c r="A52" s="211" t="s">
        <v>144</v>
      </c>
      <c r="C52" s="33">
        <v>4907</v>
      </c>
      <c r="D52" s="33">
        <f t="shared" si="4"/>
        <v>143</v>
      </c>
      <c r="E52" s="499">
        <f t="shared" si="5"/>
        <v>2.9142041980843691E-2</v>
      </c>
      <c r="F52" s="213"/>
    </row>
    <row r="53" spans="1:6" hidden="1">
      <c r="A53" s="211" t="s">
        <v>145</v>
      </c>
      <c r="C53" s="33">
        <v>5080</v>
      </c>
      <c r="D53" s="33">
        <f t="shared" si="4"/>
        <v>173</v>
      </c>
      <c r="E53" s="499">
        <f t="shared" si="5"/>
        <v>3.4055118110236218E-2</v>
      </c>
      <c r="F53" s="213"/>
    </row>
    <row r="54" spans="1:6" hidden="1">
      <c r="A54" s="211" t="s">
        <v>146</v>
      </c>
      <c r="C54" s="33">
        <v>5207</v>
      </c>
      <c r="D54" s="33">
        <f t="shared" si="4"/>
        <v>127</v>
      </c>
      <c r="E54" s="499">
        <f t="shared" si="5"/>
        <v>2.4390243902439025E-2</v>
      </c>
      <c r="F54" s="213"/>
    </row>
    <row r="55" spans="1:6" hidden="1">
      <c r="A55" s="211" t="s">
        <v>147</v>
      </c>
      <c r="C55" s="33">
        <v>5470</v>
      </c>
      <c r="D55" s="33">
        <f t="shared" si="4"/>
        <v>263</v>
      </c>
      <c r="E55" s="499">
        <f t="shared" si="5"/>
        <v>4.8080438756855574E-2</v>
      </c>
      <c r="F55" s="213"/>
    </row>
    <row r="56" spans="1:6" hidden="1">
      <c r="A56" s="211" t="s">
        <v>148</v>
      </c>
      <c r="C56" s="33">
        <v>5634</v>
      </c>
      <c r="D56" s="33">
        <f t="shared" si="4"/>
        <v>164</v>
      </c>
      <c r="E56" s="499">
        <f t="shared" si="5"/>
        <v>2.9108981185658502E-2</v>
      </c>
      <c r="F56" s="213"/>
    </row>
    <row r="57" spans="1:6" hidden="1">
      <c r="A57" s="211" t="s">
        <v>149</v>
      </c>
      <c r="B57" t="s">
        <v>134</v>
      </c>
      <c r="C57" s="500" t="s">
        <v>151</v>
      </c>
      <c r="D57" s="500"/>
      <c r="E57" s="35" t="s">
        <v>151</v>
      </c>
      <c r="F57" s="213"/>
    </row>
    <row r="58" spans="1:6" hidden="1">
      <c r="A58" s="211" t="s">
        <v>368</v>
      </c>
      <c r="B58" t="s">
        <v>134</v>
      </c>
      <c r="C58" s="500" t="s">
        <v>151</v>
      </c>
      <c r="D58" s="500"/>
      <c r="E58" s="35" t="s">
        <v>151</v>
      </c>
      <c r="F58" s="213"/>
    </row>
    <row r="59" spans="1:6" hidden="1">
      <c r="A59" s="268" t="s">
        <v>409</v>
      </c>
      <c r="B59" s="346" t="s">
        <v>134</v>
      </c>
      <c r="C59" s="535" t="s">
        <v>151</v>
      </c>
      <c r="D59" s="269"/>
      <c r="E59" s="536" t="s">
        <v>151</v>
      </c>
      <c r="F59" s="347"/>
    </row>
    <row r="72" spans="3:4">
      <c r="C72"/>
      <c r="D72"/>
    </row>
  </sheetData>
  <mergeCells count="1">
    <mergeCell ref="J4:L4"/>
  </mergeCells>
  <pageMargins left="0.7" right="0.7" top="0.75" bottom="0.75" header="0.3" footer="0.3"/>
  <pageSetup scale="69" orientation="landscap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E451B-785C-47FB-867B-AD156CF82A04}">
  <sheetPr codeName="Sheet19">
    <pageSetUpPr fitToPage="1"/>
  </sheetPr>
  <dimension ref="A1:N53"/>
  <sheetViews>
    <sheetView zoomScale="120" zoomScaleNormal="120" workbookViewId="0">
      <pane ySplit="4" topLeftCell="A7" activePane="bottomLeft" state="frozen"/>
      <selection pane="bottomLeft" activeCell="J25" sqref="J25"/>
    </sheetView>
  </sheetViews>
  <sheetFormatPr defaultColWidth="9.33203125" defaultRowHeight="10.199999999999999"/>
  <cols>
    <col min="1" max="1" width="21.6640625" style="40" customWidth="1"/>
    <col min="2" max="2" width="10" style="40" customWidth="1"/>
    <col min="3" max="3" width="11" style="40" customWidth="1"/>
    <col min="4" max="4" width="12.6640625" style="40" bestFit="1" customWidth="1"/>
    <col min="5" max="5" width="10.5546875" style="40" customWidth="1"/>
    <col min="6" max="6" width="8.5546875" style="40" bestFit="1" customWidth="1"/>
    <col min="7" max="7" width="7.6640625" style="40" customWidth="1"/>
    <col min="8" max="8" width="8.33203125" style="40" customWidth="1"/>
    <col min="9" max="9" width="10.6640625" style="40" customWidth="1"/>
    <col min="10" max="10" width="11.88671875" style="40" customWidth="1"/>
    <col min="11" max="11" width="16.33203125" style="40" customWidth="1"/>
    <col min="12" max="12" width="13" style="40" customWidth="1"/>
    <col min="13" max="13" width="34.6640625" style="40" bestFit="1" customWidth="1"/>
    <col min="14" max="16384" width="9.33203125" style="40"/>
  </cols>
  <sheetData>
    <row r="1" spans="1:14" s="165" customFormat="1" ht="15.6">
      <c r="A1" s="165" t="s">
        <v>355</v>
      </c>
    </row>
    <row r="2" spans="1:14">
      <c r="A2" s="40" t="s">
        <v>134</v>
      </c>
      <c r="G2" s="214"/>
      <c r="H2" s="214"/>
      <c r="I2" s="214" t="s">
        <v>134</v>
      </c>
      <c r="J2" s="214" t="s">
        <v>134</v>
      </c>
    </row>
    <row r="3" spans="1:14" s="165" customFormat="1" ht="16.2" thickBot="1">
      <c r="A3" s="632" t="s">
        <v>632</v>
      </c>
      <c r="B3" s="632"/>
      <c r="C3" s="632"/>
      <c r="D3" s="632"/>
    </row>
    <row r="4" spans="1:14" s="68" customFormat="1" ht="47.4" customHeight="1" thickBot="1">
      <c r="A4" s="567" t="s">
        <v>82</v>
      </c>
      <c r="B4" s="568" t="s">
        <v>511</v>
      </c>
      <c r="C4" s="568" t="s">
        <v>510</v>
      </c>
      <c r="D4" s="568" t="s">
        <v>552</v>
      </c>
      <c r="E4" s="569" t="s">
        <v>553</v>
      </c>
      <c r="F4" s="569" t="s">
        <v>214</v>
      </c>
      <c r="G4" s="569" t="s">
        <v>569</v>
      </c>
      <c r="H4" s="569" t="s">
        <v>570</v>
      </c>
      <c r="I4" s="569" t="s">
        <v>577</v>
      </c>
      <c r="J4" s="569" t="s">
        <v>578</v>
      </c>
      <c r="K4" s="569" t="s">
        <v>512</v>
      </c>
      <c r="L4" s="570" t="s">
        <v>513</v>
      </c>
      <c r="M4" s="571" t="s">
        <v>122</v>
      </c>
    </row>
    <row r="5" spans="1:14" s="7" customFormat="1" ht="14.4" thickBot="1">
      <c r="A5" s="694" t="s">
        <v>157</v>
      </c>
      <c r="B5" s="695">
        <v>44</v>
      </c>
      <c r="C5" s="696" t="s">
        <v>134</v>
      </c>
      <c r="D5" s="697"/>
      <c r="E5" s="698"/>
      <c r="F5" s="699"/>
      <c r="G5" s="700"/>
      <c r="H5" s="696"/>
      <c r="I5" s="701"/>
      <c r="J5" s="696"/>
      <c r="K5" s="697"/>
      <c r="L5" s="702"/>
      <c r="M5" s="703"/>
    </row>
    <row r="6" spans="1:14" s="7" customFormat="1" ht="13.95" customHeight="1">
      <c r="A6" s="689" t="s">
        <v>372</v>
      </c>
      <c r="B6" s="252">
        <v>15</v>
      </c>
      <c r="C6" s="253">
        <v>0</v>
      </c>
      <c r="D6" s="254">
        <v>10300</v>
      </c>
      <c r="E6" s="256">
        <f>(D6*F6)+D6</f>
        <v>11000.4</v>
      </c>
      <c r="F6" s="690">
        <f>'Tuition Proposed Rate Increases'!C5</f>
        <v>6.8000000000000005E-2</v>
      </c>
      <c r="G6" s="691"/>
      <c r="H6" s="691">
        <f>(E6-G6)/10</f>
        <v>1100.04</v>
      </c>
      <c r="I6" s="254">
        <f>H6/20</f>
        <v>55.001999999999995</v>
      </c>
      <c r="J6" s="254">
        <f>I6/7</f>
        <v>7.8574285714285708</v>
      </c>
      <c r="K6" s="704">
        <f>D6*F6</f>
        <v>700.40000000000009</v>
      </c>
      <c r="L6" s="692">
        <f>E6*B6</f>
        <v>165006</v>
      </c>
      <c r="M6" s="693" t="s">
        <v>509</v>
      </c>
      <c r="N6" s="67"/>
    </row>
    <row r="7" spans="1:14" s="7" customFormat="1" ht="13.8">
      <c r="A7" s="560" t="s">
        <v>161</v>
      </c>
      <c r="B7" s="222">
        <v>7</v>
      </c>
      <c r="C7" s="222">
        <v>0</v>
      </c>
      <c r="D7" s="231">
        <v>7200</v>
      </c>
      <c r="E7" s="232">
        <f t="shared" ref="E7:E9" si="0">(D7*F7)+D7</f>
        <v>7500.96</v>
      </c>
      <c r="F7" s="227">
        <f>'Tuition Proposed Rate Increases'!C7</f>
        <v>4.1799999999999997E-2</v>
      </c>
      <c r="G7" s="555"/>
      <c r="H7" s="555">
        <f>(E7-G7)/10</f>
        <v>750.096</v>
      </c>
      <c r="I7" s="224">
        <f>H7/12</f>
        <v>62.508000000000003</v>
      </c>
      <c r="J7" s="224">
        <f>I7/7</f>
        <v>8.9297142857142866</v>
      </c>
      <c r="K7" s="245">
        <f>D7*F7</f>
        <v>300.95999999999998</v>
      </c>
      <c r="L7" s="224">
        <f>E7*B7</f>
        <v>52506.720000000001</v>
      </c>
      <c r="M7" s="561"/>
    </row>
    <row r="8" spans="1:14" s="7" customFormat="1" ht="13.8">
      <c r="A8" s="560" t="s">
        <v>162</v>
      </c>
      <c r="B8" s="222">
        <v>0</v>
      </c>
      <c r="C8" s="223">
        <v>41</v>
      </c>
      <c r="D8" s="224">
        <v>10860.4334526</v>
      </c>
      <c r="E8" s="225">
        <f t="shared" si="0"/>
        <v>11110.2234220098</v>
      </c>
      <c r="F8" s="227">
        <f>'Tuition Proposed Rate Increases'!C6</f>
        <v>2.3E-2</v>
      </c>
      <c r="G8" s="555">
        <v>6110.43</v>
      </c>
      <c r="H8" s="555">
        <f>(E8-G8)/10</f>
        <v>499.97934220097994</v>
      </c>
      <c r="I8" s="224">
        <f>(E8/10)/20</f>
        <v>55.551117110048992</v>
      </c>
      <c r="J8" s="224">
        <f>I8/7</f>
        <v>7.9358738728641418</v>
      </c>
      <c r="K8" s="225">
        <f>D8*F8</f>
        <v>249.78996940979999</v>
      </c>
      <c r="L8" s="224">
        <f>E8*C8</f>
        <v>455519.16030240181</v>
      </c>
      <c r="M8" s="564" t="s">
        <v>509</v>
      </c>
    </row>
    <row r="9" spans="1:14" s="7" customFormat="1" ht="14.4" thickBot="1">
      <c r="A9" s="574" t="s">
        <v>163</v>
      </c>
      <c r="B9" s="575">
        <v>0</v>
      </c>
      <c r="C9" s="575">
        <v>5</v>
      </c>
      <c r="D9" s="576">
        <v>7610.4253192000006</v>
      </c>
      <c r="E9" s="579">
        <f t="shared" si="0"/>
        <v>7610.4253192000006</v>
      </c>
      <c r="F9" s="577">
        <f>'Tuition Proposed Rate Increases'!C8</f>
        <v>0</v>
      </c>
      <c r="G9" s="578">
        <v>6110.43</v>
      </c>
      <c r="H9" s="578">
        <f>(E9-G9)/10</f>
        <v>149.99953192000004</v>
      </c>
      <c r="I9" s="566">
        <f>(E9/10)/12</f>
        <v>63.420210993333342</v>
      </c>
      <c r="J9" s="566">
        <f>I9/7</f>
        <v>9.0600301419047629</v>
      </c>
      <c r="K9" s="579">
        <f>D9*F9</f>
        <v>0</v>
      </c>
      <c r="L9" s="566">
        <f>E9*C9</f>
        <v>38052.126596000002</v>
      </c>
      <c r="M9" s="580"/>
    </row>
    <row r="10" spans="1:14" s="7" customFormat="1" ht="14.4" thickBot="1">
      <c r="A10" s="239" t="s">
        <v>134</v>
      </c>
      <c r="B10" s="240">
        <f>SUM(B6:B9)</f>
        <v>22</v>
      </c>
      <c r="C10" s="240">
        <f>SUM(C8:C9)</f>
        <v>46</v>
      </c>
      <c r="D10" s="241"/>
      <c r="E10" s="242" t="s">
        <v>134</v>
      </c>
      <c r="F10" s="241" t="s">
        <v>134</v>
      </c>
      <c r="G10" s="241" t="s">
        <v>134</v>
      </c>
      <c r="H10" s="240"/>
      <c r="I10" s="241" t="s">
        <v>134</v>
      </c>
      <c r="J10" s="240"/>
      <c r="K10" s="240"/>
      <c r="L10" s="572">
        <f>SUM(L5:L9)</f>
        <v>711084.00689840189</v>
      </c>
      <c r="M10" s="573" t="s">
        <v>134</v>
      </c>
    </row>
    <row r="11" spans="1:14" s="7" customFormat="1" ht="13.8">
      <c r="A11" s="39" t="s">
        <v>530</v>
      </c>
      <c r="B11" s="39">
        <f>B5+B12</f>
        <v>112</v>
      </c>
      <c r="J11" s="7" t="s">
        <v>218</v>
      </c>
      <c r="K11" s="220">
        <v>4.2599999999999999E-2</v>
      </c>
      <c r="L11" s="221">
        <f>L10*K11</f>
        <v>30292.17869387192</v>
      </c>
    </row>
    <row r="12" spans="1:14" s="7" customFormat="1" ht="13.8">
      <c r="A12" s="39" t="s">
        <v>498</v>
      </c>
      <c r="B12" s="39">
        <f>B10+C10</f>
        <v>68</v>
      </c>
      <c r="E12" s="245">
        <f>G8*C8</f>
        <v>250527.63</v>
      </c>
      <c r="K12" s="220"/>
      <c r="L12" s="619">
        <f>L10-L11</f>
        <v>680791.82820452994</v>
      </c>
    </row>
    <row r="13" spans="1:14" s="7" customFormat="1" ht="13.8">
      <c r="A13" s="39"/>
      <c r="B13" s="39"/>
      <c r="E13" s="245">
        <f>G9*C9</f>
        <v>30552.15</v>
      </c>
      <c r="I13" s="220"/>
      <c r="J13" s="245"/>
      <c r="L13" s="245">
        <f>L12-E23</f>
        <v>399712.04820452991</v>
      </c>
    </row>
    <row r="14" spans="1:14" s="7" customFormat="1" ht="16.2" hidden="1" customHeight="1" thickBot="1">
      <c r="A14" s="632" t="s">
        <v>572</v>
      </c>
      <c r="B14" s="632"/>
      <c r="C14" s="632"/>
      <c r="D14" s="632"/>
      <c r="I14" s="220"/>
      <c r="J14" s="245"/>
    </row>
    <row r="15" spans="1:14" ht="45" hidden="1" customHeight="1" thickBot="1">
      <c r="A15" s="707" t="s">
        <v>565</v>
      </c>
      <c r="B15" s="708" t="s">
        <v>566</v>
      </c>
      <c r="C15" s="709" t="s">
        <v>568</v>
      </c>
      <c r="D15" s="710" t="s">
        <v>567</v>
      </c>
      <c r="E15" s="710" t="s">
        <v>573</v>
      </c>
      <c r="F15" s="710" t="s">
        <v>574</v>
      </c>
      <c r="G15" s="710" t="s">
        <v>575</v>
      </c>
      <c r="H15" s="710" t="s">
        <v>576</v>
      </c>
      <c r="I15" s="711" t="s">
        <v>512</v>
      </c>
      <c r="J15" s="710" t="s">
        <v>513</v>
      </c>
      <c r="K15" s="1379" t="s">
        <v>122</v>
      </c>
      <c r="L15" s="1380"/>
    </row>
    <row r="16" spans="1:14" s="7" customFormat="1" ht="14.4" hidden="1" customHeight="1">
      <c r="A16" s="689" t="s">
        <v>554</v>
      </c>
      <c r="B16" s="252">
        <v>0</v>
      </c>
      <c r="C16" s="705">
        <v>16725</v>
      </c>
      <c r="D16" s="705">
        <v>16500</v>
      </c>
      <c r="E16" s="691">
        <f>D16/10</f>
        <v>1650</v>
      </c>
      <c r="F16" s="691">
        <f>E16/4</f>
        <v>412.5</v>
      </c>
      <c r="G16" s="691">
        <f>F16/3</f>
        <v>137.5</v>
      </c>
      <c r="H16" s="254">
        <f>G16/7</f>
        <v>19.642857142857142</v>
      </c>
      <c r="I16" s="706">
        <v>0</v>
      </c>
      <c r="J16" s="705">
        <f>D16*B16</f>
        <v>0</v>
      </c>
      <c r="K16" s="1381"/>
      <c r="L16" s="1382"/>
    </row>
    <row r="17" spans="1:13" s="7" customFormat="1" ht="15" hidden="1" customHeight="1" thickBot="1">
      <c r="A17" s="574" t="s">
        <v>555</v>
      </c>
      <c r="B17" s="575">
        <v>0</v>
      </c>
      <c r="C17" s="566">
        <v>22526</v>
      </c>
      <c r="D17" s="566">
        <v>20000</v>
      </c>
      <c r="E17" s="578">
        <f>D17/10</f>
        <v>2000</v>
      </c>
      <c r="F17" s="578">
        <f>E17/4</f>
        <v>500</v>
      </c>
      <c r="G17" s="566">
        <f>F17/5</f>
        <v>100</v>
      </c>
      <c r="H17" s="566">
        <f>G17/7</f>
        <v>14.285714285714286</v>
      </c>
      <c r="I17" s="687">
        <v>0</v>
      </c>
      <c r="J17" s="688">
        <f>D17*B17</f>
        <v>0</v>
      </c>
      <c r="K17" s="1383"/>
      <c r="L17" s="1384"/>
    </row>
    <row r="18" spans="1:13" s="7" customFormat="1" ht="15" hidden="1" customHeight="1" thickBot="1">
      <c r="A18" s="239" t="s">
        <v>571</v>
      </c>
      <c r="B18" s="712">
        <f>B16+B17</f>
        <v>0</v>
      </c>
      <c r="C18" s="240"/>
      <c r="D18" s="241"/>
      <c r="E18" s="242" t="s">
        <v>134</v>
      </c>
      <c r="F18" s="241" t="s">
        <v>134</v>
      </c>
      <c r="G18" s="241" t="s">
        <v>134</v>
      </c>
      <c r="H18" s="240"/>
      <c r="I18" s="240"/>
      <c r="J18" s="572">
        <f>SUM(J16:J17)</f>
        <v>0</v>
      </c>
      <c r="K18" s="1385" t="s">
        <v>134</v>
      </c>
      <c r="L18" s="1386"/>
    </row>
    <row r="19" spans="1:13" ht="13.8" hidden="1">
      <c r="A19" s="7"/>
      <c r="B19" s="7"/>
      <c r="C19" s="7"/>
      <c r="D19" s="245"/>
      <c r="E19" s="245"/>
      <c r="F19" s="679"/>
      <c r="G19" s="680"/>
      <c r="H19" s="7" t="s">
        <v>218</v>
      </c>
      <c r="I19" s="220">
        <v>4.2599999999999999E-2</v>
      </c>
      <c r="J19" s="221">
        <f>J17*I19</f>
        <v>0</v>
      </c>
      <c r="K19" s="335"/>
    </row>
    <row r="20" spans="1:13" ht="13.8" hidden="1">
      <c r="J20" s="619">
        <f>J18-J19</f>
        <v>0</v>
      </c>
    </row>
    <row r="21" spans="1:13" hidden="1"/>
    <row r="22" spans="1:13" ht="13.8" hidden="1">
      <c r="A22" s="39"/>
      <c r="B22" s="39"/>
      <c r="C22" s="7"/>
      <c r="D22" s="7"/>
      <c r="E22" s="7"/>
      <c r="F22" s="7"/>
      <c r="G22" s="7"/>
      <c r="H22" s="7"/>
      <c r="I22" s="713" t="s">
        <v>589</v>
      </c>
      <c r="J22" s="714">
        <f>L12+J20</f>
        <v>680791.82820452994</v>
      </c>
    </row>
    <row r="23" spans="1:13" ht="14.4" thickBot="1">
      <c r="A23" s="39"/>
      <c r="B23" s="39"/>
      <c r="C23" s="7"/>
      <c r="D23" s="7"/>
      <c r="E23" s="245">
        <f>SUM(E12:E13)</f>
        <v>281079.78000000003</v>
      </c>
      <c r="F23" s="7"/>
      <c r="G23" s="7"/>
      <c r="H23" s="7"/>
      <c r="I23" s="220"/>
      <c r="J23" s="52"/>
    </row>
    <row r="24" spans="1:13" ht="13.8">
      <c r="A24" s="39"/>
      <c r="B24" s="39"/>
      <c r="C24" s="7"/>
      <c r="D24" s="7"/>
      <c r="E24" s="7"/>
      <c r="F24" s="7"/>
      <c r="G24" s="7"/>
      <c r="H24" s="7"/>
      <c r="I24" s="220"/>
      <c r="J24" s="52"/>
      <c r="K24" s="366" t="s">
        <v>556</v>
      </c>
      <c r="L24" s="200"/>
      <c r="M24" s="407"/>
    </row>
    <row r="25" spans="1:13">
      <c r="A25" s="424" t="s">
        <v>417</v>
      </c>
      <c r="B25" s="425" t="s">
        <v>418</v>
      </c>
      <c r="C25" s="424" t="s">
        <v>419</v>
      </c>
      <c r="D25" s="426">
        <v>7991</v>
      </c>
      <c r="E25" s="426">
        <v>8630</v>
      </c>
      <c r="F25" s="487">
        <f>E25/D25</f>
        <v>1.0799649605806532</v>
      </c>
      <c r="G25" s="426">
        <f t="shared" ref="G25:G52" si="1">E25/174</f>
        <v>49.597701149425291</v>
      </c>
      <c r="H25" s="426"/>
      <c r="K25" s="367" t="s">
        <v>375</v>
      </c>
      <c r="L25" s="368">
        <f>J20</f>
        <v>0</v>
      </c>
    </row>
    <row r="26" spans="1:13">
      <c r="A26" s="424" t="s">
        <v>417</v>
      </c>
      <c r="B26" s="425" t="s">
        <v>418</v>
      </c>
      <c r="C26" s="424" t="s">
        <v>420</v>
      </c>
      <c r="D26" s="426">
        <v>9261</v>
      </c>
      <c r="E26" s="426">
        <v>10002</v>
      </c>
      <c r="F26" s="487">
        <f>E26/D26</f>
        <v>1.0800129575639781</v>
      </c>
      <c r="G26" s="426">
        <f t="shared" si="1"/>
        <v>57.482758620689658</v>
      </c>
      <c r="H26" s="426"/>
      <c r="K26" s="51" t="s">
        <v>74</v>
      </c>
      <c r="L26" s="201">
        <v>80000</v>
      </c>
      <c r="M26" s="353" t="s">
        <v>558</v>
      </c>
    </row>
    <row r="27" spans="1:13">
      <c r="A27" s="424" t="s">
        <v>417</v>
      </c>
      <c r="B27" s="425" t="s">
        <v>418</v>
      </c>
      <c r="C27" s="424" t="s">
        <v>421</v>
      </c>
      <c r="D27" s="426">
        <v>4862</v>
      </c>
      <c r="E27" s="426">
        <v>5251</v>
      </c>
      <c r="F27" s="487">
        <f>E27/D27</f>
        <v>1.0800082270670506</v>
      </c>
      <c r="G27" s="426">
        <f t="shared" si="1"/>
        <v>30.178160919540229</v>
      </c>
      <c r="H27" s="426"/>
      <c r="K27" s="51" t="s">
        <v>557</v>
      </c>
      <c r="L27" s="201">
        <f>L26*0.37</f>
        <v>29600</v>
      </c>
    </row>
    <row r="28" spans="1:13" ht="10.8" thickBot="1">
      <c r="A28" s="424" t="s">
        <v>417</v>
      </c>
      <c r="B28" s="425" t="s">
        <v>418</v>
      </c>
      <c r="C28" s="424" t="s">
        <v>422</v>
      </c>
      <c r="D28" s="426">
        <v>5788</v>
      </c>
      <c r="E28" s="426">
        <v>6251</v>
      </c>
      <c r="F28" s="487">
        <f>E28/D28</f>
        <v>1.0799930891499654</v>
      </c>
      <c r="G28" s="426">
        <f t="shared" si="1"/>
        <v>35.925287356321839</v>
      </c>
      <c r="H28" s="426"/>
      <c r="K28" s="367" t="s">
        <v>562</v>
      </c>
      <c r="L28" s="681">
        <f>L26+L27</f>
        <v>109600</v>
      </c>
      <c r="M28" s="353"/>
    </row>
    <row r="29" spans="1:13" ht="10.8" thickTop="1">
      <c r="A29" s="427" t="s">
        <v>423</v>
      </c>
      <c r="B29" s="428" t="s">
        <v>424</v>
      </c>
      <c r="C29" s="428" t="s">
        <v>420</v>
      </c>
      <c r="D29" s="429">
        <v>10150</v>
      </c>
      <c r="E29" s="429">
        <v>12000</v>
      </c>
      <c r="F29" s="488">
        <f>E29/D29</f>
        <v>1.1822660098522169</v>
      </c>
      <c r="G29" s="429">
        <f t="shared" si="1"/>
        <v>68.965517241379317</v>
      </c>
      <c r="H29" s="429"/>
      <c r="K29" s="367" t="s">
        <v>378</v>
      </c>
      <c r="L29" s="404">
        <f>L25-L28</f>
        <v>-109600</v>
      </c>
      <c r="M29" s="353"/>
    </row>
    <row r="30" spans="1:13">
      <c r="A30" s="430" t="s">
        <v>425</v>
      </c>
      <c r="B30" s="430" t="s">
        <v>426</v>
      </c>
      <c r="C30" s="430" t="s">
        <v>480</v>
      </c>
      <c r="D30" s="431">
        <v>7086.24</v>
      </c>
      <c r="E30" s="489">
        <v>7086.24</v>
      </c>
      <c r="F30" s="490">
        <v>0</v>
      </c>
      <c r="G30" s="431">
        <f t="shared" si="1"/>
        <v>40.725517241379308</v>
      </c>
      <c r="H30" s="431"/>
      <c r="I30" s="57"/>
      <c r="K30" s="377" t="s">
        <v>376</v>
      </c>
      <c r="L30" s="378"/>
    </row>
    <row r="31" spans="1:13">
      <c r="A31" s="430" t="s">
        <v>425</v>
      </c>
      <c r="B31" s="430" t="s">
        <v>426</v>
      </c>
      <c r="C31" s="430" t="s">
        <v>434</v>
      </c>
      <c r="D31" s="431">
        <v>9984.4</v>
      </c>
      <c r="E31" s="489">
        <v>9984.4</v>
      </c>
      <c r="F31" s="490">
        <v>0</v>
      </c>
      <c r="G31" s="431">
        <f t="shared" si="1"/>
        <v>57.381609195402298</v>
      </c>
      <c r="H31" s="431"/>
      <c r="I31" s="57"/>
      <c r="K31" s="367" t="s">
        <v>375</v>
      </c>
      <c r="L31" s="368">
        <f>(L6+L8)*0.95</f>
        <v>589498.90228728158</v>
      </c>
    </row>
    <row r="32" spans="1:13">
      <c r="A32" s="430" t="s">
        <v>425</v>
      </c>
      <c r="B32" s="430" t="s">
        <v>426</v>
      </c>
      <c r="C32" s="430" t="s">
        <v>481</v>
      </c>
      <c r="D32" s="431">
        <v>7086.24</v>
      </c>
      <c r="E32" s="489">
        <v>7334.2583999999997</v>
      </c>
      <c r="F32" s="490">
        <f>E32/D32</f>
        <v>1.0349999999999999</v>
      </c>
      <c r="G32" s="431">
        <f t="shared" si="1"/>
        <v>42.150910344827587</v>
      </c>
      <c r="H32" s="431"/>
      <c r="I32" s="57"/>
      <c r="K32" s="51" t="s">
        <v>74</v>
      </c>
      <c r="L32" s="201">
        <v>431650</v>
      </c>
      <c r="M32" s="353" t="s">
        <v>560</v>
      </c>
    </row>
    <row r="33" spans="1:13">
      <c r="A33" s="430" t="s">
        <v>425</v>
      </c>
      <c r="B33" s="430" t="s">
        <v>426</v>
      </c>
      <c r="C33" s="430" t="s">
        <v>432</v>
      </c>
      <c r="D33" s="431">
        <v>9984.4</v>
      </c>
      <c r="E33" s="489">
        <v>10483.619999999999</v>
      </c>
      <c r="F33" s="490">
        <f>E33/D33</f>
        <v>1.05</v>
      </c>
      <c r="G33" s="431">
        <f t="shared" si="1"/>
        <v>60.250689655172408</v>
      </c>
      <c r="H33" s="431"/>
      <c r="I33" s="57"/>
      <c r="K33" s="51" t="s">
        <v>557</v>
      </c>
      <c r="L33" s="201">
        <f>L32*0.37</f>
        <v>159710.5</v>
      </c>
    </row>
    <row r="34" spans="1:13" ht="10.8" thickBot="1">
      <c r="A34" s="432" t="s">
        <v>427</v>
      </c>
      <c r="B34" s="433" t="s">
        <v>428</v>
      </c>
      <c r="C34" s="433" t="s">
        <v>434</v>
      </c>
      <c r="D34" s="434">
        <v>9200</v>
      </c>
      <c r="E34" s="434">
        <v>10000</v>
      </c>
      <c r="F34" s="491">
        <f>E34/D34</f>
        <v>1.0869565217391304</v>
      </c>
      <c r="G34" s="434">
        <f t="shared" si="1"/>
        <v>57.47126436781609</v>
      </c>
      <c r="H34" s="434"/>
      <c r="K34" s="367" t="s">
        <v>562</v>
      </c>
      <c r="L34" s="681">
        <f>SUM(L32:L33)</f>
        <v>591360.5</v>
      </c>
    </row>
    <row r="35" spans="1:13" ht="10.8" thickTop="1">
      <c r="A35" s="432" t="s">
        <v>427</v>
      </c>
      <c r="B35" s="433" t="s">
        <v>428</v>
      </c>
      <c r="C35" s="433" t="s">
        <v>435</v>
      </c>
      <c r="D35" s="434">
        <v>4050</v>
      </c>
      <c r="E35" s="434">
        <v>5000</v>
      </c>
      <c r="F35" s="491">
        <f>E35/D35</f>
        <v>1.2345679012345678</v>
      </c>
      <c r="G35" s="434">
        <f t="shared" si="1"/>
        <v>28.735632183908045</v>
      </c>
      <c r="H35" s="434"/>
      <c r="K35" s="367" t="s">
        <v>378</v>
      </c>
      <c r="L35" s="404">
        <f>L31-L34</f>
        <v>-1861.597712718416</v>
      </c>
    </row>
    <row r="36" spans="1:13">
      <c r="A36" s="432" t="s">
        <v>427</v>
      </c>
      <c r="B36" s="433" t="s">
        <v>428</v>
      </c>
      <c r="C36" s="433" t="s">
        <v>432</v>
      </c>
      <c r="D36" s="434"/>
      <c r="E36" s="434">
        <v>5000</v>
      </c>
      <c r="F36" s="491"/>
      <c r="G36" s="434">
        <f t="shared" si="1"/>
        <v>28.735632183908045</v>
      </c>
      <c r="H36" s="434"/>
      <c r="I36" s="40" t="s">
        <v>483</v>
      </c>
      <c r="K36" s="377" t="s">
        <v>374</v>
      </c>
      <c r="L36" s="378"/>
    </row>
    <row r="37" spans="1:13">
      <c r="A37" s="432" t="s">
        <v>427</v>
      </c>
      <c r="B37" s="433" t="s">
        <v>428</v>
      </c>
      <c r="C37" s="433" t="s">
        <v>482</v>
      </c>
      <c r="D37" s="434"/>
      <c r="E37" s="434">
        <v>0</v>
      </c>
      <c r="F37" s="491"/>
      <c r="G37" s="434">
        <f t="shared" si="1"/>
        <v>0</v>
      </c>
      <c r="H37" s="434"/>
      <c r="I37" s="40" t="s">
        <v>483</v>
      </c>
      <c r="K37" s="367" t="s">
        <v>375</v>
      </c>
      <c r="L37" s="368">
        <f>L7+L9</f>
        <v>90558.846596000003</v>
      </c>
      <c r="M37" s="353"/>
    </row>
    <row r="38" spans="1:13">
      <c r="A38" s="435" t="s">
        <v>429</v>
      </c>
      <c r="B38" s="436" t="s">
        <v>430</v>
      </c>
      <c r="C38" s="435" t="s">
        <v>420</v>
      </c>
      <c r="D38" s="437">
        <v>22215</v>
      </c>
      <c r="E38" s="437">
        <v>23800</v>
      </c>
      <c r="F38" s="492">
        <f>E38/D38</f>
        <v>1.0713481881611524</v>
      </c>
      <c r="G38" s="437">
        <f t="shared" si="1"/>
        <v>136.7816091954023</v>
      </c>
      <c r="H38" s="437"/>
      <c r="K38" s="51" t="s">
        <v>74</v>
      </c>
      <c r="L38" s="201">
        <v>82000</v>
      </c>
      <c r="M38" s="353" t="s">
        <v>559</v>
      </c>
    </row>
    <row r="39" spans="1:13">
      <c r="A39" s="438" t="s">
        <v>431</v>
      </c>
      <c r="B39" s="439" t="s">
        <v>424</v>
      </c>
      <c r="C39" s="439" t="s">
        <v>432</v>
      </c>
      <c r="D39" s="440">
        <v>10513.26</v>
      </c>
      <c r="E39" s="440">
        <v>10513.26</v>
      </c>
      <c r="F39" s="493">
        <v>0</v>
      </c>
      <c r="G39" s="440">
        <f t="shared" si="1"/>
        <v>60.421034482758621</v>
      </c>
      <c r="H39" s="440"/>
      <c r="I39" s="453" t="s">
        <v>484</v>
      </c>
      <c r="J39" s="441"/>
      <c r="K39" s="51" t="s">
        <v>557</v>
      </c>
      <c r="L39" s="201">
        <f>L38*0.37</f>
        <v>30340</v>
      </c>
    </row>
    <row r="40" spans="1:13" ht="10.8" thickBot="1">
      <c r="A40" s="438" t="s">
        <v>431</v>
      </c>
      <c r="B40" s="439" t="s">
        <v>424</v>
      </c>
      <c r="C40" s="439" t="s">
        <v>433</v>
      </c>
      <c r="D40" s="440">
        <v>7500</v>
      </c>
      <c r="E40" s="440">
        <v>7650</v>
      </c>
      <c r="F40" s="493">
        <f t="shared" ref="F40:F48" si="2">E40/D40</f>
        <v>1.02</v>
      </c>
      <c r="G40" s="440">
        <f t="shared" si="1"/>
        <v>43.96551724137931</v>
      </c>
      <c r="H40" s="440"/>
      <c r="J40" s="442"/>
      <c r="K40" s="367" t="s">
        <v>562</v>
      </c>
      <c r="L40" s="681">
        <f>SUM(L38:L39)</f>
        <v>112340</v>
      </c>
    </row>
    <row r="41" spans="1:13" ht="10.8" thickTop="1">
      <c r="A41" s="438" t="s">
        <v>431</v>
      </c>
      <c r="B41" s="439" t="s">
        <v>424</v>
      </c>
      <c r="C41" s="439" t="s">
        <v>434</v>
      </c>
      <c r="D41" s="440">
        <v>8400</v>
      </c>
      <c r="E41" s="440">
        <v>8570</v>
      </c>
      <c r="F41" s="493">
        <f t="shared" si="2"/>
        <v>1.0202380952380952</v>
      </c>
      <c r="G41" s="440">
        <f t="shared" si="1"/>
        <v>49.252873563218394</v>
      </c>
      <c r="H41" s="440"/>
      <c r="J41" s="442"/>
      <c r="K41" s="367" t="s">
        <v>378</v>
      </c>
      <c r="L41" s="404">
        <f>L37-L40</f>
        <v>-21781.153403999997</v>
      </c>
    </row>
    <row r="42" spans="1:13">
      <c r="A42" s="438" t="s">
        <v>431</v>
      </c>
      <c r="B42" s="439" t="s">
        <v>424</v>
      </c>
      <c r="C42" s="439" t="s">
        <v>435</v>
      </c>
      <c r="D42" s="440">
        <v>5500</v>
      </c>
      <c r="E42" s="440">
        <v>5610</v>
      </c>
      <c r="F42" s="493">
        <f t="shared" si="2"/>
        <v>1.02</v>
      </c>
      <c r="G42" s="440">
        <f t="shared" si="1"/>
        <v>32.241379310344826</v>
      </c>
      <c r="H42" s="440"/>
      <c r="J42" s="442"/>
      <c r="K42" s="377" t="s">
        <v>561</v>
      </c>
      <c r="L42" s="378"/>
    </row>
    <row r="43" spans="1:13">
      <c r="A43" s="438" t="s">
        <v>431</v>
      </c>
      <c r="B43" s="439" t="s">
        <v>424</v>
      </c>
      <c r="C43" s="439" t="s">
        <v>436</v>
      </c>
      <c r="D43" s="440">
        <v>5950</v>
      </c>
      <c r="E43" s="440">
        <v>6070</v>
      </c>
      <c r="F43" s="493">
        <f t="shared" si="2"/>
        <v>1.0201680672268907</v>
      </c>
      <c r="G43" s="440">
        <f t="shared" si="1"/>
        <v>34.885057471264368</v>
      </c>
      <c r="H43" s="440"/>
      <c r="J43" s="442"/>
      <c r="K43" s="51" t="s">
        <v>74</v>
      </c>
      <c r="L43" s="201">
        <v>42000</v>
      </c>
      <c r="M43" s="353" t="s">
        <v>383</v>
      </c>
    </row>
    <row r="44" spans="1:13">
      <c r="A44" s="438" t="s">
        <v>431</v>
      </c>
      <c r="B44" s="439" t="s">
        <v>424</v>
      </c>
      <c r="C44" s="439" t="s">
        <v>437</v>
      </c>
      <c r="D44" s="443">
        <v>5890</v>
      </c>
      <c r="E44" s="440">
        <v>6010</v>
      </c>
      <c r="F44" s="493">
        <f t="shared" si="2"/>
        <v>1.0203735144312394</v>
      </c>
      <c r="G44" s="440">
        <f t="shared" si="1"/>
        <v>34.540229885057471</v>
      </c>
      <c r="H44" s="440"/>
      <c r="I44" s="453"/>
      <c r="J44" s="441"/>
      <c r="K44" s="51" t="s">
        <v>557</v>
      </c>
      <c r="L44" s="201">
        <f>L43*0.37</f>
        <v>15540</v>
      </c>
    </row>
    <row r="45" spans="1:13" ht="10.8" thickBot="1">
      <c r="A45" s="444" t="s">
        <v>438</v>
      </c>
      <c r="B45" s="445" t="s">
        <v>418</v>
      </c>
      <c r="C45" s="444" t="s">
        <v>420</v>
      </c>
      <c r="D45" s="446">
        <v>23550</v>
      </c>
      <c r="E45" s="446">
        <v>24750</v>
      </c>
      <c r="F45" s="494">
        <f t="shared" si="2"/>
        <v>1.0509554140127388</v>
      </c>
      <c r="G45" s="446">
        <f t="shared" si="1"/>
        <v>142.24137931034483</v>
      </c>
      <c r="H45" s="446"/>
      <c r="K45" s="682" t="s">
        <v>562</v>
      </c>
      <c r="L45" s="681">
        <f>SUM(L43:L44)</f>
        <v>57540</v>
      </c>
    </row>
    <row r="46" spans="1:13" ht="10.8" thickTop="1">
      <c r="A46" s="444" t="s">
        <v>438</v>
      </c>
      <c r="B46" s="445" t="s">
        <v>418</v>
      </c>
      <c r="C46" s="444" t="s">
        <v>422</v>
      </c>
      <c r="D46" s="446">
        <v>14200</v>
      </c>
      <c r="E46" s="446">
        <v>15000</v>
      </c>
      <c r="F46" s="494">
        <f t="shared" si="2"/>
        <v>1.056338028169014</v>
      </c>
      <c r="G46" s="446">
        <f t="shared" si="1"/>
        <v>86.206896551724142</v>
      </c>
      <c r="H46" s="446"/>
      <c r="K46" s="367" t="s">
        <v>563</v>
      </c>
      <c r="L46" s="201">
        <f>L25+L31++L37</f>
        <v>680057.7488832816</v>
      </c>
    </row>
    <row r="47" spans="1:13" ht="10.8" thickBot="1">
      <c r="A47" s="447" t="s">
        <v>439</v>
      </c>
      <c r="B47" s="448" t="s">
        <v>418</v>
      </c>
      <c r="C47" s="447" t="s">
        <v>420</v>
      </c>
      <c r="D47" s="449">
        <v>19000</v>
      </c>
      <c r="E47" s="449">
        <v>19900</v>
      </c>
      <c r="F47" s="495">
        <f t="shared" si="2"/>
        <v>1.0473684210526315</v>
      </c>
      <c r="G47" s="449">
        <f t="shared" si="1"/>
        <v>114.36781609195403</v>
      </c>
      <c r="H47" s="449"/>
      <c r="K47" s="685" t="s">
        <v>564</v>
      </c>
      <c r="L47" s="686">
        <f>L28+L34+L40+L45</f>
        <v>870840.5</v>
      </c>
    </row>
    <row r="48" spans="1:13" ht="11.4" thickTop="1" thickBot="1">
      <c r="A48" s="447" t="s">
        <v>439</v>
      </c>
      <c r="B48" s="448" t="s">
        <v>418</v>
      </c>
      <c r="C48" s="447" t="s">
        <v>422</v>
      </c>
      <c r="D48" s="449">
        <v>14000</v>
      </c>
      <c r="E48" s="449">
        <v>14900</v>
      </c>
      <c r="F48" s="495">
        <f t="shared" si="2"/>
        <v>1.0642857142857143</v>
      </c>
      <c r="G48" s="449">
        <f t="shared" si="1"/>
        <v>85.632183908045974</v>
      </c>
      <c r="H48" s="449"/>
      <c r="K48" s="683" t="s">
        <v>385</v>
      </c>
      <c r="L48" s="684">
        <f>L46-L47</f>
        <v>-190782.7511167184</v>
      </c>
    </row>
    <row r="49" spans="1:10">
      <c r="A49" s="450" t="s">
        <v>440</v>
      </c>
      <c r="B49" s="451" t="s">
        <v>441</v>
      </c>
      <c r="C49" s="450" t="s">
        <v>420</v>
      </c>
      <c r="D49" s="452">
        <v>13250</v>
      </c>
      <c r="E49" s="452">
        <v>13250</v>
      </c>
      <c r="F49" s="496">
        <v>0</v>
      </c>
      <c r="G49" s="452">
        <f t="shared" si="1"/>
        <v>76.149425287356323</v>
      </c>
      <c r="H49" s="452"/>
    </row>
    <row r="50" spans="1:10">
      <c r="A50" s="450" t="s">
        <v>440</v>
      </c>
      <c r="B50" s="451" t="s">
        <v>441</v>
      </c>
      <c r="C50" s="450" t="s">
        <v>419</v>
      </c>
      <c r="D50" s="452">
        <v>12250</v>
      </c>
      <c r="E50" s="452">
        <v>12250</v>
      </c>
      <c r="F50" s="496">
        <v>0</v>
      </c>
      <c r="G50" s="452">
        <f t="shared" si="1"/>
        <v>70.402298850574709</v>
      </c>
      <c r="H50" s="452"/>
    </row>
    <row r="51" spans="1:10">
      <c r="A51" s="450" t="s">
        <v>440</v>
      </c>
      <c r="B51" s="451" t="s">
        <v>441</v>
      </c>
      <c r="C51" s="450" t="s">
        <v>422</v>
      </c>
      <c r="D51" s="452">
        <v>9800</v>
      </c>
      <c r="E51" s="452">
        <v>9800</v>
      </c>
      <c r="F51" s="496">
        <v>0</v>
      </c>
      <c r="G51" s="452">
        <f t="shared" si="1"/>
        <v>56.321839080459768</v>
      </c>
      <c r="H51" s="452"/>
    </row>
    <row r="52" spans="1:10">
      <c r="A52" s="450" t="s">
        <v>440</v>
      </c>
      <c r="B52" s="451" t="s">
        <v>441</v>
      </c>
      <c r="C52" s="450" t="s">
        <v>421</v>
      </c>
      <c r="D52" s="452">
        <v>8800</v>
      </c>
      <c r="E52" s="452">
        <v>8800</v>
      </c>
      <c r="F52" s="496">
        <v>0</v>
      </c>
      <c r="G52" s="452">
        <f t="shared" si="1"/>
        <v>50.574712643678161</v>
      </c>
      <c r="H52" s="452"/>
    </row>
    <row r="53" spans="1:10">
      <c r="J53" s="52"/>
    </row>
  </sheetData>
  <mergeCells count="4">
    <mergeCell ref="K15:L15"/>
    <mergeCell ref="K16:L16"/>
    <mergeCell ref="K17:L17"/>
    <mergeCell ref="K18:L18"/>
  </mergeCells>
  <pageMargins left="0.7" right="0.7" top="0.75" bottom="0.75" header="0.3" footer="0.3"/>
  <pageSetup scale="69" fitToHeight="0" orientation="landscape"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73E7C-52FA-4C75-B408-B103AE30A52C}">
  <sheetPr codeName="Sheet18">
    <pageSetUpPr fitToPage="1"/>
  </sheetPr>
  <dimension ref="A1:N53"/>
  <sheetViews>
    <sheetView zoomScale="120" zoomScaleNormal="120" workbookViewId="0">
      <pane ySplit="4" topLeftCell="A5" activePane="bottomLeft" state="frozen"/>
      <selection pane="bottomLeft" activeCell="M18" sqref="M18"/>
    </sheetView>
  </sheetViews>
  <sheetFormatPr defaultColWidth="9.33203125" defaultRowHeight="10.199999999999999"/>
  <cols>
    <col min="1" max="1" width="21.6640625" style="40" customWidth="1"/>
    <col min="2" max="2" width="10" style="40" customWidth="1"/>
    <col min="3" max="3" width="11" style="40" customWidth="1"/>
    <col min="4" max="4" width="12.6640625" style="40" bestFit="1" customWidth="1"/>
    <col min="5" max="5" width="10.5546875" style="40" customWidth="1"/>
    <col min="6" max="6" width="10.88671875" style="40" bestFit="1" customWidth="1"/>
    <col min="7" max="7" width="7.6640625" style="40" customWidth="1"/>
    <col min="8" max="8" width="8.33203125" style="40" customWidth="1"/>
    <col min="9" max="9" width="10.6640625" style="40" customWidth="1"/>
    <col min="10" max="10" width="11.88671875" style="40" customWidth="1"/>
    <col min="11" max="11" width="16.33203125" style="40" customWidth="1"/>
    <col min="12" max="12" width="13" style="40" customWidth="1"/>
    <col min="13" max="13" width="34.6640625" style="40" bestFit="1" customWidth="1"/>
    <col min="14" max="16384" width="9.33203125" style="40"/>
  </cols>
  <sheetData>
    <row r="1" spans="1:14" s="165" customFormat="1" ht="15.6">
      <c r="A1" s="165" t="s">
        <v>355</v>
      </c>
    </row>
    <row r="2" spans="1:14">
      <c r="A2" s="40" t="s">
        <v>134</v>
      </c>
      <c r="G2" s="214"/>
      <c r="H2" s="214"/>
      <c r="I2" s="214" t="s">
        <v>134</v>
      </c>
      <c r="J2" s="214" t="s">
        <v>134</v>
      </c>
    </row>
    <row r="3" spans="1:14" s="165" customFormat="1" ht="16.2" thickBot="1">
      <c r="A3" s="632" t="s">
        <v>632</v>
      </c>
      <c r="B3" s="632"/>
      <c r="C3" s="632"/>
      <c r="D3" s="632"/>
    </row>
    <row r="4" spans="1:14" s="68" customFormat="1" ht="47.4" customHeight="1" thickBot="1">
      <c r="A4" s="567" t="s">
        <v>82</v>
      </c>
      <c r="B4" s="568" t="s">
        <v>511</v>
      </c>
      <c r="C4" s="568" t="s">
        <v>510</v>
      </c>
      <c r="D4" s="568" t="s">
        <v>552</v>
      </c>
      <c r="E4" s="569" t="s">
        <v>553</v>
      </c>
      <c r="F4" s="569" t="s">
        <v>214</v>
      </c>
      <c r="G4" s="569" t="s">
        <v>569</v>
      </c>
      <c r="H4" s="569" t="s">
        <v>570</v>
      </c>
      <c r="I4" s="569" t="s">
        <v>577</v>
      </c>
      <c r="J4" s="569" t="s">
        <v>578</v>
      </c>
      <c r="K4" s="569" t="s">
        <v>512</v>
      </c>
      <c r="L4" s="570" t="s">
        <v>513</v>
      </c>
      <c r="M4" s="571" t="s">
        <v>122</v>
      </c>
    </row>
    <row r="5" spans="1:14" s="7" customFormat="1" ht="14.4" thickBot="1">
      <c r="A5" s="694" t="s">
        <v>157</v>
      </c>
      <c r="B5" s="695">
        <v>44</v>
      </c>
      <c r="C5" s="696" t="s">
        <v>134</v>
      </c>
      <c r="D5" s="697"/>
      <c r="E5" s="698"/>
      <c r="F5" s="699"/>
      <c r="G5" s="700"/>
      <c r="H5" s="696"/>
      <c r="I5" s="701"/>
      <c r="J5" s="696"/>
      <c r="K5" s="697"/>
      <c r="L5" s="702"/>
      <c r="M5" s="703"/>
    </row>
    <row r="6" spans="1:14" s="7" customFormat="1" ht="13.95" customHeight="1">
      <c r="A6" s="689" t="s">
        <v>372</v>
      </c>
      <c r="B6" s="252">
        <v>15</v>
      </c>
      <c r="C6" s="253">
        <v>0</v>
      </c>
      <c r="D6" s="254">
        <v>10300</v>
      </c>
      <c r="E6" s="256">
        <f>(D6*F6)+D6</f>
        <v>11000.4</v>
      </c>
      <c r="F6" s="690">
        <f>'Tuition Proposed Rate Increases'!C5</f>
        <v>6.8000000000000005E-2</v>
      </c>
      <c r="G6" s="691"/>
      <c r="H6" s="691">
        <f>(E6-G6)/10</f>
        <v>1100.04</v>
      </c>
      <c r="I6" s="254">
        <f>H6/20</f>
        <v>55.001999999999995</v>
      </c>
      <c r="J6" s="254">
        <f>I6/7</f>
        <v>7.8574285714285708</v>
      </c>
      <c r="K6" s="704">
        <f>D6*F6</f>
        <v>700.40000000000009</v>
      </c>
      <c r="L6" s="692">
        <f>E6*B6</f>
        <v>165006</v>
      </c>
      <c r="M6" s="693" t="s">
        <v>509</v>
      </c>
      <c r="N6" s="67"/>
    </row>
    <row r="7" spans="1:14" s="7" customFormat="1" ht="13.8">
      <c r="A7" s="560" t="s">
        <v>161</v>
      </c>
      <c r="B7" s="222">
        <v>7</v>
      </c>
      <c r="C7" s="222">
        <v>0</v>
      </c>
      <c r="D7" s="231">
        <v>7200</v>
      </c>
      <c r="E7" s="232">
        <f t="shared" ref="E7:E9" si="0">(D7*F7)+D7</f>
        <v>7500.96</v>
      </c>
      <c r="F7" s="227">
        <f>'Tuition Proposed Rate Increases'!C7</f>
        <v>4.1799999999999997E-2</v>
      </c>
      <c r="G7" s="555"/>
      <c r="H7" s="555">
        <f>(E7-G7)/10</f>
        <v>750.096</v>
      </c>
      <c r="I7" s="224">
        <f>H7/12</f>
        <v>62.508000000000003</v>
      </c>
      <c r="J7" s="224">
        <f>I7/7</f>
        <v>8.9297142857142866</v>
      </c>
      <c r="K7" s="245">
        <f>D7*F7</f>
        <v>300.95999999999998</v>
      </c>
      <c r="L7" s="224">
        <f>E7*B7</f>
        <v>52506.720000000001</v>
      </c>
      <c r="M7" s="561"/>
    </row>
    <row r="8" spans="1:14" s="7" customFormat="1" ht="13.8">
      <c r="A8" s="560" t="s">
        <v>162</v>
      </c>
      <c r="B8" s="222">
        <v>0</v>
      </c>
      <c r="C8" s="223">
        <v>41</v>
      </c>
      <c r="D8" s="224">
        <v>10860.4334526</v>
      </c>
      <c r="E8" s="225">
        <f t="shared" si="0"/>
        <v>11110.2234220098</v>
      </c>
      <c r="F8" s="227">
        <f>'Tuition Proposed Rate Increases'!C6</f>
        <v>2.3E-2</v>
      </c>
      <c r="G8" s="555">
        <v>6110.43</v>
      </c>
      <c r="H8" s="555">
        <f>(E8-G8)/10</f>
        <v>499.97934220097994</v>
      </c>
      <c r="I8" s="224">
        <f>(E8/10)/20</f>
        <v>55.551117110048992</v>
      </c>
      <c r="J8" s="224">
        <f>I8/7</f>
        <v>7.9358738728641418</v>
      </c>
      <c r="K8" s="225">
        <f>D8*F8</f>
        <v>249.78996940979999</v>
      </c>
      <c r="L8" s="224">
        <f>E8*C8</f>
        <v>455519.16030240181</v>
      </c>
      <c r="M8" s="564" t="s">
        <v>509</v>
      </c>
    </row>
    <row r="9" spans="1:14" s="7" customFormat="1" ht="14.4" thickBot="1">
      <c r="A9" s="574" t="s">
        <v>163</v>
      </c>
      <c r="B9" s="575">
        <v>0</v>
      </c>
      <c r="C9" s="575">
        <v>5</v>
      </c>
      <c r="D9" s="576">
        <v>7610.4253192000006</v>
      </c>
      <c r="E9" s="579">
        <f t="shared" si="0"/>
        <v>7610.4253192000006</v>
      </c>
      <c r="F9" s="577">
        <f>'Tuition Proposed Rate Increases'!C8</f>
        <v>0</v>
      </c>
      <c r="G9" s="578">
        <v>6110.43</v>
      </c>
      <c r="H9" s="578">
        <f>(E9-G9)/10</f>
        <v>149.99953192000004</v>
      </c>
      <c r="I9" s="566">
        <f>(E9/10)/12</f>
        <v>63.420210993333342</v>
      </c>
      <c r="J9" s="566">
        <f>I9/7</f>
        <v>9.0600301419047629</v>
      </c>
      <c r="K9" s="579">
        <f>D9*F9</f>
        <v>0</v>
      </c>
      <c r="L9" s="566">
        <f>E9*C9</f>
        <v>38052.126596000002</v>
      </c>
      <c r="M9" s="580"/>
    </row>
    <row r="10" spans="1:14" s="7" customFormat="1" ht="14.4" thickBot="1">
      <c r="A10" s="239" t="s">
        <v>134</v>
      </c>
      <c r="B10" s="240">
        <f>SUM(B6:B9)</f>
        <v>22</v>
      </c>
      <c r="C10" s="240">
        <f>SUM(C8:C9)</f>
        <v>46</v>
      </c>
      <c r="D10" s="241"/>
      <c r="E10" s="242" t="s">
        <v>134</v>
      </c>
      <c r="F10" s="241" t="s">
        <v>134</v>
      </c>
      <c r="G10" s="241" t="s">
        <v>134</v>
      </c>
      <c r="H10" s="240"/>
      <c r="I10" s="241" t="s">
        <v>134</v>
      </c>
      <c r="J10" s="240"/>
      <c r="K10" s="240"/>
      <c r="L10" s="572">
        <f>SUM(L5:L9)</f>
        <v>711084.00689840189</v>
      </c>
      <c r="M10" s="573" t="s">
        <v>134</v>
      </c>
    </row>
    <row r="11" spans="1:14" s="7" customFormat="1" ht="13.8">
      <c r="A11" s="39" t="s">
        <v>530</v>
      </c>
      <c r="B11" s="39">
        <f>B5+B12</f>
        <v>112</v>
      </c>
      <c r="J11" s="7" t="s">
        <v>218</v>
      </c>
      <c r="K11" s="220">
        <v>4.2599999999999999E-2</v>
      </c>
      <c r="L11" s="221">
        <f>L10*K11</f>
        <v>30292.17869387192</v>
      </c>
      <c r="M11" s="245"/>
    </row>
    <row r="12" spans="1:14" s="7" customFormat="1" ht="13.8">
      <c r="A12" s="39" t="s">
        <v>498</v>
      </c>
      <c r="B12" s="39">
        <f>B10+C10</f>
        <v>68</v>
      </c>
      <c r="E12" s="245">
        <f>G8*C8</f>
        <v>250527.63</v>
      </c>
      <c r="F12" s="245">
        <f>E12+E13</f>
        <v>281079.78000000003</v>
      </c>
      <c r="K12" s="220"/>
      <c r="L12" s="619">
        <f>L10-L11</f>
        <v>680791.82820452994</v>
      </c>
    </row>
    <row r="13" spans="1:14" s="7" customFormat="1" ht="13.8">
      <c r="A13" s="39"/>
      <c r="B13" s="39"/>
      <c r="E13" s="245">
        <f>G9*C9</f>
        <v>30552.15</v>
      </c>
      <c r="I13" s="220"/>
      <c r="J13" s="245"/>
      <c r="L13" s="245">
        <f>L12-F12</f>
        <v>399712.04820452991</v>
      </c>
      <c r="M13" s="7" t="s">
        <v>804</v>
      </c>
    </row>
    <row r="14" spans="1:14" s="7" customFormat="1" ht="16.2" customHeight="1" thickBot="1">
      <c r="A14" s="632" t="s">
        <v>572</v>
      </c>
      <c r="B14" s="632"/>
      <c r="C14" s="632"/>
      <c r="D14" s="632"/>
      <c r="I14" s="220"/>
      <c r="J14" s="245"/>
    </row>
    <row r="15" spans="1:14" ht="45" customHeight="1" thickBot="1">
      <c r="A15" s="707" t="s">
        <v>565</v>
      </c>
      <c r="B15" s="708" t="s">
        <v>566</v>
      </c>
      <c r="C15" s="709" t="s">
        <v>568</v>
      </c>
      <c r="D15" s="710" t="s">
        <v>567</v>
      </c>
      <c r="E15" s="710" t="s">
        <v>573</v>
      </c>
      <c r="F15" s="710" t="s">
        <v>574</v>
      </c>
      <c r="G15" s="710" t="s">
        <v>575</v>
      </c>
      <c r="H15" s="710" t="s">
        <v>576</v>
      </c>
      <c r="I15" s="711" t="s">
        <v>512</v>
      </c>
      <c r="J15" s="710" t="s">
        <v>513</v>
      </c>
      <c r="K15" s="1379" t="s">
        <v>122</v>
      </c>
      <c r="L15" s="1380"/>
    </row>
    <row r="16" spans="1:14" s="7" customFormat="1" ht="14.4" customHeight="1">
      <c r="A16" s="689" t="s">
        <v>554</v>
      </c>
      <c r="B16" s="252">
        <v>2</v>
      </c>
      <c r="C16" s="705">
        <v>16725</v>
      </c>
      <c r="D16" s="705">
        <v>16500</v>
      </c>
      <c r="E16" s="691">
        <f>D16/10</f>
        <v>1650</v>
      </c>
      <c r="F16" s="691">
        <f>E16/4</f>
        <v>412.5</v>
      </c>
      <c r="G16" s="691">
        <f>F16/3</f>
        <v>137.5</v>
      </c>
      <c r="H16" s="254">
        <f>G16/7</f>
        <v>19.642857142857142</v>
      </c>
      <c r="I16" s="706">
        <v>0</v>
      </c>
      <c r="J16" s="705">
        <f>D16*B16</f>
        <v>33000</v>
      </c>
      <c r="K16" s="1381"/>
      <c r="L16" s="1382"/>
    </row>
    <row r="17" spans="1:13" s="7" customFormat="1" ht="15" customHeight="1" thickBot="1">
      <c r="A17" s="574" t="s">
        <v>555</v>
      </c>
      <c r="B17" s="575">
        <v>5</v>
      </c>
      <c r="C17" s="566">
        <v>22526</v>
      </c>
      <c r="D17" s="566">
        <v>20000</v>
      </c>
      <c r="E17" s="578">
        <f>D17/10</f>
        <v>2000</v>
      </c>
      <c r="F17" s="578">
        <f>E17/4</f>
        <v>500</v>
      </c>
      <c r="G17" s="1098">
        <f>F17/5</f>
        <v>100</v>
      </c>
      <c r="H17" s="566">
        <f>G17/7</f>
        <v>14.285714285714286</v>
      </c>
      <c r="I17" s="687">
        <v>0</v>
      </c>
      <c r="J17" s="688">
        <f>D17*B17</f>
        <v>100000</v>
      </c>
      <c r="K17" s="1383"/>
      <c r="L17" s="1384"/>
    </row>
    <row r="18" spans="1:13" s="7" customFormat="1" ht="15" customHeight="1" thickBot="1">
      <c r="A18" s="239" t="s">
        <v>571</v>
      </c>
      <c r="B18" s="712">
        <f>B16+B17</f>
        <v>7</v>
      </c>
      <c r="C18" s="240"/>
      <c r="D18" s="241"/>
      <c r="E18" s="242" t="s">
        <v>134</v>
      </c>
      <c r="F18" s="241" t="s">
        <v>134</v>
      </c>
      <c r="G18" s="241" t="s">
        <v>134</v>
      </c>
      <c r="H18" s="240"/>
      <c r="I18" s="240"/>
      <c r="J18" s="572">
        <f>SUM(J16:J17)</f>
        <v>133000</v>
      </c>
      <c r="K18" s="1385" t="s">
        <v>134</v>
      </c>
      <c r="L18" s="1386"/>
    </row>
    <row r="19" spans="1:13" ht="13.8">
      <c r="A19" s="7"/>
      <c r="B19" s="7"/>
      <c r="C19" s="7"/>
      <c r="D19" s="245"/>
      <c r="E19" s="245"/>
      <c r="F19" s="679"/>
      <c r="G19" s="680"/>
      <c r="H19" s="7" t="s">
        <v>218</v>
      </c>
      <c r="I19" s="220">
        <v>4.2599999999999999E-2</v>
      </c>
      <c r="J19" s="221">
        <f>J17*I19</f>
        <v>4260</v>
      </c>
      <c r="K19" s="335"/>
    </row>
    <row r="20" spans="1:13" ht="13.8">
      <c r="J20" s="619">
        <f>J18-J19</f>
        <v>128740</v>
      </c>
    </row>
    <row r="22" spans="1:13" ht="13.8">
      <c r="A22" s="39"/>
      <c r="B22" s="39"/>
      <c r="C22" s="7"/>
      <c r="D22" s="7"/>
      <c r="E22" s="7"/>
      <c r="F22" s="7"/>
      <c r="G22" s="7"/>
      <c r="H22" s="7"/>
      <c r="I22" s="713" t="s">
        <v>589</v>
      </c>
      <c r="J22" s="714">
        <f>L12+J20</f>
        <v>809531.82820452994</v>
      </c>
    </row>
    <row r="23" spans="1:13" ht="14.4" thickBot="1">
      <c r="A23" s="39"/>
      <c r="B23" s="39"/>
      <c r="C23" s="7"/>
      <c r="D23" s="7"/>
      <c r="E23" s="7"/>
      <c r="F23" s="7"/>
      <c r="G23" s="7"/>
      <c r="H23" s="7"/>
      <c r="I23" s="220" t="s">
        <v>804</v>
      </c>
      <c r="J23" s="52">
        <f>J22-F12</f>
        <v>528452.04820452991</v>
      </c>
    </row>
    <row r="24" spans="1:13" ht="13.8">
      <c r="A24" s="39"/>
      <c r="B24" s="39"/>
      <c r="C24" s="7"/>
      <c r="D24" s="7"/>
      <c r="E24" s="7"/>
      <c r="F24" s="7"/>
      <c r="G24" s="7"/>
      <c r="H24" s="7"/>
      <c r="I24" s="220"/>
      <c r="J24" s="52"/>
      <c r="K24" s="366" t="s">
        <v>556</v>
      </c>
      <c r="L24" s="200"/>
      <c r="M24" s="407"/>
    </row>
    <row r="25" spans="1:13">
      <c r="A25" s="424" t="s">
        <v>417</v>
      </c>
      <c r="B25" s="425" t="s">
        <v>418</v>
      </c>
      <c r="C25" s="424" t="s">
        <v>419</v>
      </c>
      <c r="D25" s="426">
        <v>7991</v>
      </c>
      <c r="E25" s="426">
        <v>8630</v>
      </c>
      <c r="F25" s="487">
        <f>E25/D25</f>
        <v>1.0799649605806532</v>
      </c>
      <c r="G25" s="426">
        <f t="shared" ref="G25:G52" si="1">E25/174</f>
        <v>49.597701149425291</v>
      </c>
      <c r="H25" s="426"/>
      <c r="K25" s="367" t="s">
        <v>375</v>
      </c>
      <c r="L25" s="368">
        <f>J20</f>
        <v>128740</v>
      </c>
    </row>
    <row r="26" spans="1:13">
      <c r="A26" s="424" t="s">
        <v>417</v>
      </c>
      <c r="B26" s="425" t="s">
        <v>418</v>
      </c>
      <c r="C26" s="424" t="s">
        <v>420</v>
      </c>
      <c r="D26" s="426">
        <v>9261</v>
      </c>
      <c r="E26" s="426">
        <v>10002</v>
      </c>
      <c r="F26" s="487">
        <f>E26/D26</f>
        <v>1.0800129575639781</v>
      </c>
      <c r="G26" s="426">
        <f t="shared" si="1"/>
        <v>57.482758620689658</v>
      </c>
      <c r="H26" s="426"/>
      <c r="K26" s="51" t="s">
        <v>74</v>
      </c>
      <c r="L26" s="201">
        <v>80000</v>
      </c>
      <c r="M26" s="353" t="s">
        <v>558</v>
      </c>
    </row>
    <row r="27" spans="1:13">
      <c r="A27" s="424" t="s">
        <v>417</v>
      </c>
      <c r="B27" s="425" t="s">
        <v>418</v>
      </c>
      <c r="C27" s="424" t="s">
        <v>421</v>
      </c>
      <c r="D27" s="426">
        <v>4862</v>
      </c>
      <c r="E27" s="426">
        <v>5251</v>
      </c>
      <c r="F27" s="487">
        <f>E27/D27</f>
        <v>1.0800082270670506</v>
      </c>
      <c r="G27" s="426">
        <f t="shared" si="1"/>
        <v>30.178160919540229</v>
      </c>
      <c r="H27" s="426"/>
      <c r="K27" s="51" t="s">
        <v>557</v>
      </c>
      <c r="L27" s="201">
        <f>L26*0.37</f>
        <v>29600</v>
      </c>
    </row>
    <row r="28" spans="1:13" ht="10.8" thickBot="1">
      <c r="A28" s="424" t="s">
        <v>417</v>
      </c>
      <c r="B28" s="425" t="s">
        <v>418</v>
      </c>
      <c r="C28" s="424" t="s">
        <v>422</v>
      </c>
      <c r="D28" s="426">
        <v>5788</v>
      </c>
      <c r="E28" s="426">
        <v>6251</v>
      </c>
      <c r="F28" s="487">
        <f>E28/D28</f>
        <v>1.0799930891499654</v>
      </c>
      <c r="G28" s="426">
        <f t="shared" si="1"/>
        <v>35.925287356321839</v>
      </c>
      <c r="H28" s="426"/>
      <c r="K28" s="367" t="s">
        <v>562</v>
      </c>
      <c r="L28" s="681">
        <f>L26+L27</f>
        <v>109600</v>
      </c>
      <c r="M28" s="353"/>
    </row>
    <row r="29" spans="1:13" ht="10.8" thickTop="1">
      <c r="A29" s="427" t="s">
        <v>423</v>
      </c>
      <c r="B29" s="428" t="s">
        <v>424</v>
      </c>
      <c r="C29" s="428" t="s">
        <v>420</v>
      </c>
      <c r="D29" s="429">
        <v>10150</v>
      </c>
      <c r="E29" s="429">
        <v>12000</v>
      </c>
      <c r="F29" s="488">
        <f>E29/D29</f>
        <v>1.1822660098522169</v>
      </c>
      <c r="G29" s="429">
        <f t="shared" si="1"/>
        <v>68.965517241379317</v>
      </c>
      <c r="H29" s="429"/>
      <c r="K29" s="367" t="s">
        <v>378</v>
      </c>
      <c r="L29" s="404">
        <f>L25-L28</f>
        <v>19140</v>
      </c>
      <c r="M29" s="353"/>
    </row>
    <row r="30" spans="1:13">
      <c r="A30" s="430" t="s">
        <v>425</v>
      </c>
      <c r="B30" s="430" t="s">
        <v>426</v>
      </c>
      <c r="C30" s="430" t="s">
        <v>480</v>
      </c>
      <c r="D30" s="431">
        <v>7086.24</v>
      </c>
      <c r="E30" s="489">
        <v>7086.24</v>
      </c>
      <c r="F30" s="490">
        <v>0</v>
      </c>
      <c r="G30" s="431">
        <f t="shared" si="1"/>
        <v>40.725517241379308</v>
      </c>
      <c r="H30" s="431"/>
      <c r="I30" s="57"/>
      <c r="K30" s="377" t="s">
        <v>376</v>
      </c>
      <c r="L30" s="378"/>
    </row>
    <row r="31" spans="1:13">
      <c r="A31" s="430" t="s">
        <v>425</v>
      </c>
      <c r="B31" s="430" t="s">
        <v>426</v>
      </c>
      <c r="C31" s="430" t="s">
        <v>434</v>
      </c>
      <c r="D31" s="431">
        <v>9984.4</v>
      </c>
      <c r="E31" s="489">
        <v>9984.4</v>
      </c>
      <c r="F31" s="490">
        <v>0</v>
      </c>
      <c r="G31" s="431">
        <f t="shared" si="1"/>
        <v>57.381609195402298</v>
      </c>
      <c r="H31" s="431"/>
      <c r="I31" s="57"/>
      <c r="K31" s="367" t="s">
        <v>375</v>
      </c>
      <c r="L31" s="368">
        <f>(L6+L8)*0.95</f>
        <v>589498.90228728158</v>
      </c>
    </row>
    <row r="32" spans="1:13">
      <c r="A32" s="430" t="s">
        <v>425</v>
      </c>
      <c r="B32" s="430" t="s">
        <v>426</v>
      </c>
      <c r="C32" s="430" t="s">
        <v>481</v>
      </c>
      <c r="D32" s="431">
        <v>7086.24</v>
      </c>
      <c r="E32" s="489">
        <v>7334.2583999999997</v>
      </c>
      <c r="F32" s="490">
        <f>E32/D32</f>
        <v>1.0349999999999999</v>
      </c>
      <c r="G32" s="431">
        <f t="shared" si="1"/>
        <v>42.150910344827587</v>
      </c>
      <c r="H32" s="431"/>
      <c r="I32" s="57"/>
      <c r="K32" s="51" t="s">
        <v>74</v>
      </c>
      <c r="L32" s="201">
        <v>431650</v>
      </c>
      <c r="M32" s="353" t="s">
        <v>560</v>
      </c>
    </row>
    <row r="33" spans="1:13">
      <c r="A33" s="430" t="s">
        <v>425</v>
      </c>
      <c r="B33" s="430" t="s">
        <v>426</v>
      </c>
      <c r="C33" s="430" t="s">
        <v>432</v>
      </c>
      <c r="D33" s="431">
        <v>9984.4</v>
      </c>
      <c r="E33" s="489">
        <v>10483.619999999999</v>
      </c>
      <c r="F33" s="490">
        <f>E33/D33</f>
        <v>1.05</v>
      </c>
      <c r="G33" s="431">
        <f t="shared" si="1"/>
        <v>60.250689655172408</v>
      </c>
      <c r="H33" s="431"/>
      <c r="I33" s="57"/>
      <c r="K33" s="51" t="s">
        <v>557</v>
      </c>
      <c r="L33" s="201">
        <f>L32*0.37</f>
        <v>159710.5</v>
      </c>
    </row>
    <row r="34" spans="1:13" ht="10.8" thickBot="1">
      <c r="A34" s="432" t="s">
        <v>427</v>
      </c>
      <c r="B34" s="433" t="s">
        <v>428</v>
      </c>
      <c r="C34" s="433" t="s">
        <v>434</v>
      </c>
      <c r="D34" s="434">
        <v>9200</v>
      </c>
      <c r="E34" s="434">
        <v>10000</v>
      </c>
      <c r="F34" s="491">
        <f>E34/D34</f>
        <v>1.0869565217391304</v>
      </c>
      <c r="G34" s="434">
        <f t="shared" si="1"/>
        <v>57.47126436781609</v>
      </c>
      <c r="H34" s="434"/>
      <c r="K34" s="367" t="s">
        <v>562</v>
      </c>
      <c r="L34" s="681">
        <f>SUM(L32:L33)</f>
        <v>591360.5</v>
      </c>
    </row>
    <row r="35" spans="1:13" ht="10.8" thickTop="1">
      <c r="A35" s="432" t="s">
        <v>427</v>
      </c>
      <c r="B35" s="433" t="s">
        <v>428</v>
      </c>
      <c r="C35" s="433" t="s">
        <v>435</v>
      </c>
      <c r="D35" s="434">
        <v>4050</v>
      </c>
      <c r="E35" s="434">
        <v>5000</v>
      </c>
      <c r="F35" s="491">
        <f>E35/D35</f>
        <v>1.2345679012345678</v>
      </c>
      <c r="G35" s="434">
        <f t="shared" si="1"/>
        <v>28.735632183908045</v>
      </c>
      <c r="H35" s="434"/>
      <c r="K35" s="367" t="s">
        <v>378</v>
      </c>
      <c r="L35" s="404">
        <f>L31-L34</f>
        <v>-1861.597712718416</v>
      </c>
    </row>
    <row r="36" spans="1:13">
      <c r="A36" s="432" t="s">
        <v>427</v>
      </c>
      <c r="B36" s="433" t="s">
        <v>428</v>
      </c>
      <c r="C36" s="433" t="s">
        <v>432</v>
      </c>
      <c r="D36" s="434"/>
      <c r="E36" s="434">
        <v>5000</v>
      </c>
      <c r="F36" s="491"/>
      <c r="G36" s="434">
        <f t="shared" si="1"/>
        <v>28.735632183908045</v>
      </c>
      <c r="H36" s="434"/>
      <c r="I36" s="40" t="s">
        <v>483</v>
      </c>
      <c r="K36" s="377" t="s">
        <v>374</v>
      </c>
      <c r="L36" s="378"/>
    </row>
    <row r="37" spans="1:13">
      <c r="A37" s="432" t="s">
        <v>427</v>
      </c>
      <c r="B37" s="433" t="s">
        <v>428</v>
      </c>
      <c r="C37" s="433" t="s">
        <v>482</v>
      </c>
      <c r="D37" s="434"/>
      <c r="E37" s="434">
        <v>0</v>
      </c>
      <c r="F37" s="491"/>
      <c r="G37" s="434">
        <f t="shared" si="1"/>
        <v>0</v>
      </c>
      <c r="H37" s="434"/>
      <c r="I37" s="40" t="s">
        <v>483</v>
      </c>
      <c r="K37" s="367" t="s">
        <v>375</v>
      </c>
      <c r="L37" s="368">
        <f>L7+L9</f>
        <v>90558.846596000003</v>
      </c>
      <c r="M37" s="353"/>
    </row>
    <row r="38" spans="1:13">
      <c r="A38" s="435" t="s">
        <v>429</v>
      </c>
      <c r="B38" s="436" t="s">
        <v>430</v>
      </c>
      <c r="C38" s="435" t="s">
        <v>420</v>
      </c>
      <c r="D38" s="437">
        <v>22215</v>
      </c>
      <c r="E38" s="437">
        <v>23800</v>
      </c>
      <c r="F38" s="492">
        <f>E38/D38</f>
        <v>1.0713481881611524</v>
      </c>
      <c r="G38" s="437">
        <f t="shared" si="1"/>
        <v>136.7816091954023</v>
      </c>
      <c r="H38" s="437"/>
      <c r="K38" s="51" t="s">
        <v>74</v>
      </c>
      <c r="L38" s="201">
        <v>82000</v>
      </c>
      <c r="M38" s="353" t="s">
        <v>559</v>
      </c>
    </row>
    <row r="39" spans="1:13">
      <c r="A39" s="438" t="s">
        <v>431</v>
      </c>
      <c r="B39" s="439" t="s">
        <v>424</v>
      </c>
      <c r="C39" s="439" t="s">
        <v>432</v>
      </c>
      <c r="D39" s="440">
        <v>10513.26</v>
      </c>
      <c r="E39" s="440">
        <v>10513.26</v>
      </c>
      <c r="F39" s="493">
        <v>0</v>
      </c>
      <c r="G39" s="440">
        <f t="shared" si="1"/>
        <v>60.421034482758621</v>
      </c>
      <c r="H39" s="440"/>
      <c r="I39" s="453" t="s">
        <v>484</v>
      </c>
      <c r="J39" s="441"/>
      <c r="K39" s="51" t="s">
        <v>557</v>
      </c>
      <c r="L39" s="201">
        <f>L38*0.37</f>
        <v>30340</v>
      </c>
    </row>
    <row r="40" spans="1:13" ht="10.8" thickBot="1">
      <c r="A40" s="438" t="s">
        <v>431</v>
      </c>
      <c r="B40" s="439" t="s">
        <v>424</v>
      </c>
      <c r="C40" s="439" t="s">
        <v>433</v>
      </c>
      <c r="D40" s="440">
        <v>7500</v>
      </c>
      <c r="E40" s="440">
        <v>7650</v>
      </c>
      <c r="F40" s="493">
        <f t="shared" ref="F40:F48" si="2">E40/D40</f>
        <v>1.02</v>
      </c>
      <c r="G40" s="440">
        <f t="shared" si="1"/>
        <v>43.96551724137931</v>
      </c>
      <c r="H40" s="440"/>
      <c r="J40" s="442"/>
      <c r="K40" s="367" t="s">
        <v>562</v>
      </c>
      <c r="L40" s="681">
        <f>SUM(L38:L39)</f>
        <v>112340</v>
      </c>
    </row>
    <row r="41" spans="1:13" ht="10.8" thickTop="1">
      <c r="A41" s="438" t="s">
        <v>431</v>
      </c>
      <c r="B41" s="439" t="s">
        <v>424</v>
      </c>
      <c r="C41" s="439" t="s">
        <v>434</v>
      </c>
      <c r="D41" s="440">
        <v>8400</v>
      </c>
      <c r="E41" s="440">
        <v>8570</v>
      </c>
      <c r="F41" s="493">
        <f t="shared" si="2"/>
        <v>1.0202380952380952</v>
      </c>
      <c r="G41" s="440">
        <f t="shared" si="1"/>
        <v>49.252873563218394</v>
      </c>
      <c r="H41" s="440"/>
      <c r="J41" s="442"/>
      <c r="K41" s="367" t="s">
        <v>378</v>
      </c>
      <c r="L41" s="404">
        <f>L37-L40</f>
        <v>-21781.153403999997</v>
      </c>
    </row>
    <row r="42" spans="1:13">
      <c r="A42" s="438" t="s">
        <v>431</v>
      </c>
      <c r="B42" s="439" t="s">
        <v>424</v>
      </c>
      <c r="C42" s="439" t="s">
        <v>435</v>
      </c>
      <c r="D42" s="440">
        <v>5500</v>
      </c>
      <c r="E42" s="440">
        <v>5610</v>
      </c>
      <c r="F42" s="493">
        <f t="shared" si="2"/>
        <v>1.02</v>
      </c>
      <c r="G42" s="440">
        <f t="shared" si="1"/>
        <v>32.241379310344826</v>
      </c>
      <c r="H42" s="440"/>
      <c r="J42" s="442"/>
      <c r="K42" s="377" t="s">
        <v>561</v>
      </c>
      <c r="L42" s="378"/>
    </row>
    <row r="43" spans="1:13">
      <c r="A43" s="438" t="s">
        <v>431</v>
      </c>
      <c r="B43" s="439" t="s">
        <v>424</v>
      </c>
      <c r="C43" s="439" t="s">
        <v>436</v>
      </c>
      <c r="D43" s="440">
        <v>5950</v>
      </c>
      <c r="E43" s="440">
        <v>6070</v>
      </c>
      <c r="F43" s="493">
        <f t="shared" si="2"/>
        <v>1.0201680672268907</v>
      </c>
      <c r="G43" s="440">
        <f t="shared" si="1"/>
        <v>34.885057471264368</v>
      </c>
      <c r="H43" s="440"/>
      <c r="J43" s="442"/>
      <c r="K43" s="51" t="s">
        <v>74</v>
      </c>
      <c r="L43" s="201">
        <v>42000</v>
      </c>
      <c r="M43" s="353" t="s">
        <v>383</v>
      </c>
    </row>
    <row r="44" spans="1:13">
      <c r="A44" s="438" t="s">
        <v>431</v>
      </c>
      <c r="B44" s="439" t="s">
        <v>424</v>
      </c>
      <c r="C44" s="439" t="s">
        <v>437</v>
      </c>
      <c r="D44" s="443">
        <v>5890</v>
      </c>
      <c r="E44" s="440">
        <v>6010</v>
      </c>
      <c r="F44" s="493">
        <f t="shared" si="2"/>
        <v>1.0203735144312394</v>
      </c>
      <c r="G44" s="440">
        <f t="shared" si="1"/>
        <v>34.540229885057471</v>
      </c>
      <c r="H44" s="440"/>
      <c r="I44" s="453"/>
      <c r="J44" s="441"/>
      <c r="K44" s="51" t="s">
        <v>557</v>
      </c>
      <c r="L44" s="201">
        <f>L43*0.37</f>
        <v>15540</v>
      </c>
    </row>
    <row r="45" spans="1:13" ht="10.8" thickBot="1">
      <c r="A45" s="444" t="s">
        <v>438</v>
      </c>
      <c r="B45" s="445" t="s">
        <v>418</v>
      </c>
      <c r="C45" s="444" t="s">
        <v>420</v>
      </c>
      <c r="D45" s="446">
        <v>23550</v>
      </c>
      <c r="E45" s="446">
        <v>24750</v>
      </c>
      <c r="F45" s="494">
        <f t="shared" si="2"/>
        <v>1.0509554140127388</v>
      </c>
      <c r="G45" s="446">
        <f t="shared" si="1"/>
        <v>142.24137931034483</v>
      </c>
      <c r="H45" s="446"/>
      <c r="K45" s="682" t="s">
        <v>562</v>
      </c>
      <c r="L45" s="681">
        <f>SUM(L43:L44)</f>
        <v>57540</v>
      </c>
    </row>
    <row r="46" spans="1:13" ht="10.8" thickTop="1">
      <c r="A46" s="444" t="s">
        <v>438</v>
      </c>
      <c r="B46" s="445" t="s">
        <v>418</v>
      </c>
      <c r="C46" s="444" t="s">
        <v>422</v>
      </c>
      <c r="D46" s="446">
        <v>14200</v>
      </c>
      <c r="E46" s="446">
        <v>15000</v>
      </c>
      <c r="F46" s="494">
        <f t="shared" si="2"/>
        <v>1.056338028169014</v>
      </c>
      <c r="G46" s="446">
        <f t="shared" si="1"/>
        <v>86.206896551724142</v>
      </c>
      <c r="H46" s="446"/>
      <c r="K46" s="367" t="s">
        <v>563</v>
      </c>
      <c r="L46" s="201">
        <f>L25+L31++L37</f>
        <v>808797.7488832816</v>
      </c>
    </row>
    <row r="47" spans="1:13" ht="10.8" thickBot="1">
      <c r="A47" s="447" t="s">
        <v>439</v>
      </c>
      <c r="B47" s="448" t="s">
        <v>418</v>
      </c>
      <c r="C47" s="447" t="s">
        <v>420</v>
      </c>
      <c r="D47" s="449">
        <v>19000</v>
      </c>
      <c r="E47" s="449">
        <v>19900</v>
      </c>
      <c r="F47" s="495">
        <f t="shared" si="2"/>
        <v>1.0473684210526315</v>
      </c>
      <c r="G47" s="449">
        <f t="shared" si="1"/>
        <v>114.36781609195403</v>
      </c>
      <c r="H47" s="449"/>
      <c r="K47" s="685" t="s">
        <v>564</v>
      </c>
      <c r="L47" s="686">
        <f>L28+L34+L40+L45</f>
        <v>870840.5</v>
      </c>
    </row>
    <row r="48" spans="1:13" ht="11.4" thickTop="1" thickBot="1">
      <c r="A48" s="447" t="s">
        <v>439</v>
      </c>
      <c r="B48" s="448" t="s">
        <v>418</v>
      </c>
      <c r="C48" s="447" t="s">
        <v>422</v>
      </c>
      <c r="D48" s="449">
        <v>14000</v>
      </c>
      <c r="E48" s="449">
        <v>14900</v>
      </c>
      <c r="F48" s="495">
        <f t="shared" si="2"/>
        <v>1.0642857142857143</v>
      </c>
      <c r="G48" s="449">
        <f t="shared" si="1"/>
        <v>85.632183908045974</v>
      </c>
      <c r="H48" s="449"/>
      <c r="K48" s="683" t="s">
        <v>385</v>
      </c>
      <c r="L48" s="684">
        <f>L46-L47</f>
        <v>-62042.751116718398</v>
      </c>
    </row>
    <row r="49" spans="1:10">
      <c r="A49" s="450" t="s">
        <v>440</v>
      </c>
      <c r="B49" s="451" t="s">
        <v>441</v>
      </c>
      <c r="C49" s="450" t="s">
        <v>420</v>
      </c>
      <c r="D49" s="452">
        <v>13250</v>
      </c>
      <c r="E49" s="452">
        <v>13250</v>
      </c>
      <c r="F49" s="496">
        <v>0</v>
      </c>
      <c r="G49" s="452">
        <f t="shared" si="1"/>
        <v>76.149425287356323</v>
      </c>
      <c r="H49" s="452"/>
    </row>
    <row r="50" spans="1:10">
      <c r="A50" s="450" t="s">
        <v>440</v>
      </c>
      <c r="B50" s="451" t="s">
        <v>441</v>
      </c>
      <c r="C50" s="450" t="s">
        <v>419</v>
      </c>
      <c r="D50" s="452">
        <v>12250</v>
      </c>
      <c r="E50" s="452">
        <v>12250</v>
      </c>
      <c r="F50" s="496">
        <v>0</v>
      </c>
      <c r="G50" s="452">
        <f t="shared" si="1"/>
        <v>70.402298850574709</v>
      </c>
      <c r="H50" s="452"/>
    </row>
    <row r="51" spans="1:10">
      <c r="A51" s="450" t="s">
        <v>440</v>
      </c>
      <c r="B51" s="451" t="s">
        <v>441</v>
      </c>
      <c r="C51" s="450" t="s">
        <v>422</v>
      </c>
      <c r="D51" s="452">
        <v>9800</v>
      </c>
      <c r="E51" s="452">
        <v>9800</v>
      </c>
      <c r="F51" s="496">
        <v>0</v>
      </c>
      <c r="G51" s="452">
        <f t="shared" si="1"/>
        <v>56.321839080459768</v>
      </c>
      <c r="H51" s="452"/>
    </row>
    <row r="52" spans="1:10">
      <c r="A52" s="450" t="s">
        <v>440</v>
      </c>
      <c r="B52" s="451" t="s">
        <v>441</v>
      </c>
      <c r="C52" s="450" t="s">
        <v>421</v>
      </c>
      <c r="D52" s="452">
        <v>8800</v>
      </c>
      <c r="E52" s="452">
        <v>8800</v>
      </c>
      <c r="F52" s="496">
        <v>0</v>
      </c>
      <c r="G52" s="452">
        <f t="shared" si="1"/>
        <v>50.574712643678161</v>
      </c>
      <c r="H52" s="452"/>
    </row>
    <row r="53" spans="1:10">
      <c r="J53" s="52"/>
    </row>
  </sheetData>
  <mergeCells count="4">
    <mergeCell ref="K15:L15"/>
    <mergeCell ref="K16:L16"/>
    <mergeCell ref="K17:L17"/>
    <mergeCell ref="K18:L18"/>
  </mergeCells>
  <pageMargins left="0.7" right="0.7" top="0.75" bottom="0.75" header="0.3" footer="0.3"/>
  <pageSetup scale="68" fitToHeight="0" orientation="landscape"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Y56"/>
  <sheetViews>
    <sheetView zoomScale="120" zoomScaleNormal="120" workbookViewId="0">
      <pane ySplit="4" topLeftCell="A5" activePane="bottomLeft" state="frozen"/>
      <selection pane="bottomLeft" activeCell="M18" sqref="M18"/>
    </sheetView>
  </sheetViews>
  <sheetFormatPr defaultColWidth="9.33203125" defaultRowHeight="10.199999999999999"/>
  <cols>
    <col min="1" max="1" width="21.6640625" style="40" customWidth="1"/>
    <col min="2" max="2" width="10" style="40" customWidth="1"/>
    <col min="3" max="3" width="7.33203125" style="40" bestFit="1" customWidth="1"/>
    <col min="4" max="4" width="12.6640625" style="40" bestFit="1" customWidth="1"/>
    <col min="5" max="5" width="11.33203125" style="40" customWidth="1"/>
    <col min="6" max="6" width="8.5546875" style="40" bestFit="1" customWidth="1"/>
    <col min="7" max="7" width="7.6640625" style="40" customWidth="1"/>
    <col min="8" max="8" width="8.33203125" style="40" customWidth="1"/>
    <col min="9" max="9" width="10.6640625" style="40" customWidth="1"/>
    <col min="10" max="10" width="11.88671875" style="40" customWidth="1"/>
    <col min="11" max="11" width="34" style="40" customWidth="1"/>
    <col min="12" max="12" width="9.33203125" style="40"/>
    <col min="13" max="13" width="14" style="40" customWidth="1"/>
    <col min="14" max="14" width="4.6640625" style="40" hidden="1" customWidth="1"/>
    <col min="15" max="15" width="14.44140625" style="40" hidden="1" customWidth="1"/>
    <col min="16" max="17" width="0" style="40" hidden="1" customWidth="1"/>
    <col min="18" max="18" width="31" style="40" hidden="1" customWidth="1"/>
    <col min="19" max="22" width="0" style="40" hidden="1" customWidth="1"/>
    <col min="23" max="23" width="13.44140625" style="40" hidden="1" customWidth="1"/>
    <col min="24" max="24" width="38.5546875" style="40" hidden="1" customWidth="1"/>
    <col min="25" max="16384" width="9.33203125" style="40"/>
  </cols>
  <sheetData>
    <row r="1" spans="1:25" s="165" customFormat="1" ht="15.6">
      <c r="A1" s="165" t="s">
        <v>355</v>
      </c>
    </row>
    <row r="2" spans="1:25">
      <c r="A2" s="40" t="s">
        <v>134</v>
      </c>
      <c r="G2" s="214"/>
      <c r="H2" s="214"/>
      <c r="I2" s="214" t="s">
        <v>134</v>
      </c>
      <c r="J2" s="214" t="s">
        <v>134</v>
      </c>
    </row>
    <row r="3" spans="1:25" s="165" customFormat="1" ht="16.2" thickBot="1">
      <c r="A3" s="632" t="s">
        <v>548</v>
      </c>
      <c r="B3" s="632"/>
      <c r="C3" s="632"/>
      <c r="D3" s="632"/>
      <c r="N3" s="250" t="s">
        <v>357</v>
      </c>
      <c r="O3" s="251"/>
      <c r="P3" s="251"/>
      <c r="Q3" s="251"/>
    </row>
    <row r="4" spans="1:25" s="68" customFormat="1" ht="47.4" customHeight="1" thickBot="1">
      <c r="A4" s="567" t="s">
        <v>82</v>
      </c>
      <c r="B4" s="568" t="s">
        <v>511</v>
      </c>
      <c r="C4" s="568" t="s">
        <v>510</v>
      </c>
      <c r="D4" s="568" t="s">
        <v>552</v>
      </c>
      <c r="E4" s="569" t="s">
        <v>553</v>
      </c>
      <c r="F4" s="569" t="s">
        <v>214</v>
      </c>
      <c r="G4" s="569" t="s">
        <v>631</v>
      </c>
      <c r="H4" s="569" t="s">
        <v>570</v>
      </c>
      <c r="I4" s="569" t="s">
        <v>512</v>
      </c>
      <c r="J4" s="570" t="s">
        <v>513</v>
      </c>
      <c r="K4" s="571" t="s">
        <v>122</v>
      </c>
      <c r="N4" s="257" t="s">
        <v>153</v>
      </c>
      <c r="O4" s="258" t="s">
        <v>154</v>
      </c>
      <c r="P4" s="258" t="s">
        <v>155</v>
      </c>
      <c r="Q4" s="257" t="s">
        <v>156</v>
      </c>
      <c r="R4" s="258" t="s">
        <v>213</v>
      </c>
      <c r="S4" s="258" t="s">
        <v>214</v>
      </c>
      <c r="T4" s="258" t="s">
        <v>215</v>
      </c>
      <c r="U4" s="259" t="s">
        <v>216</v>
      </c>
      <c r="V4" s="260" t="s">
        <v>217</v>
      </c>
      <c r="W4" s="261" t="s">
        <v>122</v>
      </c>
    </row>
    <row r="5" spans="1:25" s="7" customFormat="1" ht="14.4" thickBot="1">
      <c r="A5" s="581" t="s">
        <v>157</v>
      </c>
      <c r="B5" s="582">
        <v>52</v>
      </c>
      <c r="C5" s="583" t="s">
        <v>134</v>
      </c>
      <c r="D5" s="584"/>
      <c r="E5" s="585"/>
      <c r="F5" s="586"/>
      <c r="G5" s="587"/>
      <c r="H5" s="583"/>
      <c r="I5" s="584"/>
      <c r="J5" s="588"/>
      <c r="K5" s="589"/>
      <c r="N5" s="252"/>
      <c r="O5" s="253">
        <v>60</v>
      </c>
      <c r="P5" s="252" t="s">
        <v>134</v>
      </c>
      <c r="Q5" s="252" t="s">
        <v>157</v>
      </c>
      <c r="R5" s="254">
        <v>0</v>
      </c>
      <c r="S5" s="255">
        <v>0</v>
      </c>
      <c r="T5" s="254">
        <f>R5*S5</f>
        <v>0</v>
      </c>
      <c r="U5" s="254">
        <f>T5+R5</f>
        <v>0</v>
      </c>
      <c r="V5" s="256">
        <v>0</v>
      </c>
      <c r="W5" s="252" t="s">
        <v>352</v>
      </c>
    </row>
    <row r="6" spans="1:25" s="7" customFormat="1" ht="13.95" customHeight="1">
      <c r="A6" s="556" t="s">
        <v>372</v>
      </c>
      <c r="B6" s="557">
        <v>24</v>
      </c>
      <c r="C6" s="590">
        <v>0</v>
      </c>
      <c r="D6" s="558">
        <v>10300</v>
      </c>
      <c r="E6" s="592">
        <f>D6+(F6*D6)</f>
        <v>11000.4</v>
      </c>
      <c r="F6" s="591">
        <f>'Tuition Proposed Rate Increases'!C5</f>
        <v>6.8000000000000005E-2</v>
      </c>
      <c r="G6" s="559"/>
      <c r="H6" s="559">
        <f>(E6-G6)/10</f>
        <v>1100.04</v>
      </c>
      <c r="I6" s="592">
        <f>D6*F6</f>
        <v>700.40000000000009</v>
      </c>
      <c r="J6" s="593">
        <f>E6*B6</f>
        <v>264009.59999999998</v>
      </c>
      <c r="K6" s="594" t="s">
        <v>509</v>
      </c>
      <c r="M6" s="67"/>
      <c r="N6" s="222" t="s">
        <v>158</v>
      </c>
      <c r="O6" s="226">
        <v>16</v>
      </c>
      <c r="P6" s="223" t="s">
        <v>134</v>
      </c>
      <c r="Q6" s="222" t="s">
        <v>159</v>
      </c>
      <c r="R6" s="224">
        <v>9160</v>
      </c>
      <c r="S6" s="227">
        <v>0.09</v>
      </c>
      <c r="T6" s="224">
        <f>R6*S6</f>
        <v>824.4</v>
      </c>
      <c r="U6" s="224">
        <f>T6+R6</f>
        <v>9984.4</v>
      </c>
      <c r="V6" s="228">
        <f>U6*O6</f>
        <v>159750.39999999999</v>
      </c>
      <c r="W6" s="229" t="s">
        <v>350</v>
      </c>
      <c r="X6" s="67"/>
      <c r="Y6" s="67"/>
    </row>
    <row r="7" spans="1:25" s="7" customFormat="1" ht="13.8" hidden="1">
      <c r="A7" s="560" t="s">
        <v>158</v>
      </c>
      <c r="B7" s="222"/>
      <c r="C7" s="223">
        <v>0</v>
      </c>
      <c r="D7" s="224">
        <v>9984.4</v>
      </c>
      <c r="E7" s="225">
        <f>I7+D7</f>
        <v>10882.995999999999</v>
      </c>
      <c r="F7" s="227">
        <v>0.09</v>
      </c>
      <c r="G7" s="555"/>
      <c r="H7" s="555"/>
      <c r="I7" s="225">
        <f>D7*F7</f>
        <v>898.59599999999989</v>
      </c>
      <c r="J7" s="565">
        <f>E7*C7</f>
        <v>0</v>
      </c>
      <c r="K7" s="562"/>
      <c r="N7" s="222" t="s">
        <v>158</v>
      </c>
      <c r="O7" s="222"/>
      <c r="P7" s="223">
        <v>1</v>
      </c>
      <c r="Q7" s="222" t="s">
        <v>159</v>
      </c>
      <c r="R7" s="224">
        <v>9160</v>
      </c>
      <c r="S7" s="227">
        <v>0.09</v>
      </c>
      <c r="T7" s="224">
        <f>R7*S7</f>
        <v>824.4</v>
      </c>
      <c r="U7" s="224">
        <f>T7+R7</f>
        <v>9984.4</v>
      </c>
      <c r="V7" s="228">
        <f>U7*P7</f>
        <v>9984.4</v>
      </c>
      <c r="W7" s="230"/>
    </row>
    <row r="8" spans="1:25" s="7" customFormat="1" ht="13.8">
      <c r="A8" s="560" t="s">
        <v>161</v>
      </c>
      <c r="B8" s="222">
        <v>10</v>
      </c>
      <c r="C8" s="222">
        <v>0</v>
      </c>
      <c r="D8" s="231">
        <v>7200</v>
      </c>
      <c r="E8" s="232">
        <f>D8+(F8*D8)</f>
        <v>7500.96</v>
      </c>
      <c r="F8" s="227">
        <f>'Tuition Proposed Rate Increases'!C7</f>
        <v>4.1799999999999997E-2</v>
      </c>
      <c r="G8" s="555"/>
      <c r="H8" s="555">
        <f>(E8-G8)/10</f>
        <v>750.096</v>
      </c>
      <c r="I8" s="245">
        <f>D8*F8</f>
        <v>300.95999999999998</v>
      </c>
      <c r="J8" s="224">
        <f>E8*B8</f>
        <v>75009.600000000006</v>
      </c>
      <c r="K8" s="561"/>
      <c r="N8" s="222" t="s">
        <v>348</v>
      </c>
      <c r="O8" s="222">
        <v>7</v>
      </c>
      <c r="P8" s="222" t="s">
        <v>134</v>
      </c>
      <c r="Q8" s="222" t="s">
        <v>161</v>
      </c>
      <c r="R8" s="231">
        <v>6327</v>
      </c>
      <c r="S8" s="227">
        <v>0.12</v>
      </c>
      <c r="T8" s="7">
        <f>R8*S8</f>
        <v>759.24</v>
      </c>
      <c r="U8" s="231">
        <f>T9+R8</f>
        <v>7086.24</v>
      </c>
      <c r="V8" s="232">
        <f>U8*O8</f>
        <v>49603.68</v>
      </c>
      <c r="W8" s="230"/>
    </row>
    <row r="9" spans="1:25" s="7" customFormat="1" ht="13.5" hidden="1" customHeight="1">
      <c r="A9" s="560" t="s">
        <v>160</v>
      </c>
      <c r="B9" s="222"/>
      <c r="C9" s="234">
        <v>0</v>
      </c>
      <c r="D9" s="235">
        <v>6327</v>
      </c>
      <c r="E9" s="631">
        <f t="shared" ref="E9" si="0">D9+(F9*D9)</f>
        <v>7086.24</v>
      </c>
      <c r="F9" s="236">
        <v>0.12</v>
      </c>
      <c r="G9" s="555"/>
      <c r="H9" s="555"/>
      <c r="I9" s="238">
        <f>D8*F8</f>
        <v>300.95999999999998</v>
      </c>
      <c r="J9" s="224">
        <f>E9*C9</f>
        <v>0</v>
      </c>
      <c r="K9" s="563"/>
      <c r="N9" s="222" t="s">
        <v>348</v>
      </c>
      <c r="O9" s="222"/>
      <c r="P9" s="234">
        <v>1</v>
      </c>
      <c r="Q9" s="234" t="s">
        <v>161</v>
      </c>
      <c r="R9" s="235">
        <v>6327</v>
      </c>
      <c r="S9" s="236">
        <v>0.12</v>
      </c>
      <c r="T9" s="235">
        <f>R8*S8</f>
        <v>759.24</v>
      </c>
      <c r="U9" s="237">
        <f>R9+T9</f>
        <v>7086.24</v>
      </c>
      <c r="V9" s="238">
        <f>U9*P9</f>
        <v>7086.24</v>
      </c>
      <c r="W9" s="230" t="s">
        <v>134</v>
      </c>
      <c r="X9" s="233" t="s">
        <v>134</v>
      </c>
      <c r="Y9" s="31" t="s">
        <v>134</v>
      </c>
    </row>
    <row r="10" spans="1:25" s="7" customFormat="1" ht="13.8">
      <c r="A10" s="560" t="s">
        <v>162</v>
      </c>
      <c r="B10" s="222">
        <v>0</v>
      </c>
      <c r="C10" s="223">
        <v>44</v>
      </c>
      <c r="D10" s="224">
        <v>10774.15</v>
      </c>
      <c r="E10" s="225">
        <f>D10+(F10*D10)</f>
        <v>11021.955449999999</v>
      </c>
      <c r="F10" s="227">
        <f>'Tuition Proposed Rate Increases'!C6</f>
        <v>2.3E-2</v>
      </c>
      <c r="G10" s="555">
        <v>6110.43</v>
      </c>
      <c r="H10" s="555">
        <f>(E10-G10)/10</f>
        <v>491.15254499999992</v>
      </c>
      <c r="I10" s="225">
        <f>D10*F10</f>
        <v>247.80544999999998</v>
      </c>
      <c r="J10" s="224">
        <f>E10*C10</f>
        <v>484966.03979999997</v>
      </c>
      <c r="K10" s="564" t="s">
        <v>509</v>
      </c>
      <c r="N10" s="222" t="s">
        <v>158</v>
      </c>
      <c r="O10" s="222">
        <v>0</v>
      </c>
      <c r="P10" s="226">
        <v>43</v>
      </c>
      <c r="Q10" s="222" t="s">
        <v>162</v>
      </c>
      <c r="R10" s="224">
        <v>9160</v>
      </c>
      <c r="S10" s="227">
        <v>0.09</v>
      </c>
      <c r="T10" s="224">
        <f>R10*S10</f>
        <v>824.4</v>
      </c>
      <c r="U10" s="224">
        <f>T10+R10</f>
        <v>9984.4</v>
      </c>
      <c r="V10" s="225">
        <f>U10*P10</f>
        <v>429329.2</v>
      </c>
      <c r="W10" s="226" t="s">
        <v>349</v>
      </c>
    </row>
    <row r="11" spans="1:25" s="7" customFormat="1" ht="14.4" thickBot="1">
      <c r="A11" s="574" t="s">
        <v>163</v>
      </c>
      <c r="B11" s="575">
        <v>0</v>
      </c>
      <c r="C11" s="575">
        <v>14</v>
      </c>
      <c r="D11" s="576">
        <v>7383.65</v>
      </c>
      <c r="E11" s="579">
        <f>D11+(F11*D11)</f>
        <v>7383.65</v>
      </c>
      <c r="F11" s="577">
        <f>'Tuition Proposed Rate Increases'!C8</f>
        <v>0</v>
      </c>
      <c r="G11" s="578">
        <v>6110.43</v>
      </c>
      <c r="H11" s="578">
        <f>(E11-G11)/10</f>
        <v>127.32199999999993</v>
      </c>
      <c r="I11" s="579">
        <f>D11*F11+49.39</f>
        <v>49.39</v>
      </c>
      <c r="J11" s="566">
        <f>E11*C11</f>
        <v>103371.09999999999</v>
      </c>
      <c r="K11" s="580"/>
      <c r="N11" s="222" t="s">
        <v>160</v>
      </c>
      <c r="O11" s="222">
        <v>0</v>
      </c>
      <c r="P11" s="222">
        <v>12</v>
      </c>
      <c r="Q11" s="222" t="s">
        <v>163</v>
      </c>
      <c r="R11" s="231">
        <v>6327</v>
      </c>
      <c r="S11" s="227">
        <v>0.12</v>
      </c>
      <c r="T11" s="231">
        <f>R11*S11</f>
        <v>759.24</v>
      </c>
      <c r="U11" s="231">
        <f>T11+R11</f>
        <v>7086.24</v>
      </c>
      <c r="V11" s="232">
        <f>U11*P11</f>
        <v>85034.880000000005</v>
      </c>
      <c r="W11" s="222"/>
    </row>
    <row r="12" spans="1:25" s="7" customFormat="1" ht="14.4" thickBot="1">
      <c r="A12" s="239" t="s">
        <v>134</v>
      </c>
      <c r="B12" s="240">
        <f>SUM(B5:B11)</f>
        <v>86</v>
      </c>
      <c r="C12" s="240">
        <f>SUM(C10:C11)</f>
        <v>58</v>
      </c>
      <c r="D12" s="241"/>
      <c r="E12" s="242" t="s">
        <v>134</v>
      </c>
      <c r="F12" s="241" t="s">
        <v>134</v>
      </c>
      <c r="G12" s="241" t="s">
        <v>134</v>
      </c>
      <c r="H12" s="240"/>
      <c r="I12" s="240"/>
      <c r="J12" s="572">
        <f>SUM(J5:J11)</f>
        <v>927356.33979999984</v>
      </c>
      <c r="K12" s="573" t="s">
        <v>134</v>
      </c>
      <c r="N12" s="239" t="s">
        <v>134</v>
      </c>
      <c r="O12" s="240">
        <f>SUM(O5:O11)</f>
        <v>83</v>
      </c>
      <c r="P12" s="240">
        <f>SUM(P5:P11)</f>
        <v>57</v>
      </c>
      <c r="Q12" s="240"/>
      <c r="R12" s="241"/>
      <c r="S12" s="242" t="s">
        <v>134</v>
      </c>
      <c r="T12" s="241" t="s">
        <v>134</v>
      </c>
      <c r="U12" s="241" t="s">
        <v>134</v>
      </c>
      <c r="V12" s="243">
        <f>SUM(V5:V11)</f>
        <v>740788.79999999993</v>
      </c>
      <c r="W12" s="244" t="s">
        <v>134</v>
      </c>
    </row>
    <row r="13" spans="1:25" s="7" customFormat="1" ht="13.8">
      <c r="A13" s="39" t="s">
        <v>530</v>
      </c>
      <c r="B13" s="39">
        <f>B12+C12</f>
        <v>144</v>
      </c>
      <c r="H13" s="7" t="s">
        <v>218</v>
      </c>
      <c r="I13" s="220">
        <v>4.2599999999999999E-2</v>
      </c>
      <c r="J13" s="221">
        <f>J12*I13</f>
        <v>39505.380075479996</v>
      </c>
      <c r="O13" s="39" t="s">
        <v>164</v>
      </c>
      <c r="P13" s="39">
        <f>O12+P12</f>
        <v>140</v>
      </c>
      <c r="U13" s="7" t="s">
        <v>218</v>
      </c>
      <c r="V13" s="220">
        <v>4.2599999999999999E-2</v>
      </c>
      <c r="W13" s="221">
        <f>V12*V13</f>
        <v>31557.602879999995</v>
      </c>
      <c r="X13" s="39" t="s">
        <v>351</v>
      </c>
    </row>
    <row r="14" spans="1:25" s="7" customFormat="1" ht="13.8">
      <c r="A14" s="39" t="s">
        <v>498</v>
      </c>
      <c r="B14" s="39">
        <f>B6+B8+C10+C11</f>
        <v>92</v>
      </c>
      <c r="I14" s="220"/>
      <c r="J14" s="619">
        <f>J12-J13</f>
        <v>887850.95972451987</v>
      </c>
      <c r="O14" s="39"/>
      <c r="P14" s="39"/>
      <c r="V14" s="220"/>
      <c r="W14" s="221"/>
      <c r="X14" s="39"/>
    </row>
    <row r="15" spans="1:25" s="7" customFormat="1" ht="13.8">
      <c r="A15" s="39"/>
      <c r="B15" s="39"/>
      <c r="I15" s="220"/>
      <c r="J15" s="245"/>
      <c r="O15" s="39"/>
      <c r="P15" s="39"/>
      <c r="V15" s="220"/>
      <c r="W15" s="221"/>
      <c r="X15" s="39"/>
    </row>
    <row r="16" spans="1:25" s="7" customFormat="1" ht="13.8">
      <c r="A16" s="39"/>
      <c r="B16" s="39"/>
      <c r="I16" s="220"/>
      <c r="J16" s="245"/>
      <c r="O16" s="39"/>
      <c r="P16" s="39"/>
      <c r="V16" s="220"/>
      <c r="W16" s="221"/>
      <c r="X16" s="39"/>
    </row>
    <row r="17" spans="1:24" s="7" customFormat="1" ht="15.6">
      <c r="A17" s="249" t="s">
        <v>500</v>
      </c>
      <c r="B17" s="249"/>
      <c r="C17" s="249"/>
      <c r="D17" s="249"/>
      <c r="E17" s="165"/>
      <c r="F17" s="165"/>
      <c r="G17" s="165"/>
      <c r="H17" s="165"/>
      <c r="I17" s="165"/>
      <c r="J17" s="165"/>
      <c r="K17" s="165"/>
      <c r="O17" s="39"/>
      <c r="P17" s="39"/>
      <c r="V17" s="220"/>
      <c r="W17" s="221"/>
      <c r="X17" s="39"/>
    </row>
    <row r="18" spans="1:24" s="7" customFormat="1" ht="83.4" thickBot="1">
      <c r="A18" s="263" t="s">
        <v>82</v>
      </c>
      <c r="B18" s="264" t="s">
        <v>154</v>
      </c>
      <c r="C18" s="264" t="s">
        <v>155</v>
      </c>
      <c r="D18" s="263" t="s">
        <v>156</v>
      </c>
      <c r="E18" s="264" t="s">
        <v>485</v>
      </c>
      <c r="F18" s="264" t="s">
        <v>214</v>
      </c>
      <c r="G18" s="264" t="s">
        <v>215</v>
      </c>
      <c r="H18" s="264"/>
      <c r="I18" s="259" t="s">
        <v>499</v>
      </c>
      <c r="J18" s="265" t="s">
        <v>217</v>
      </c>
      <c r="K18" s="541" t="s">
        <v>122</v>
      </c>
      <c r="O18" s="39"/>
      <c r="P18" s="39"/>
      <c r="V18" s="220"/>
      <c r="W18" s="221"/>
      <c r="X18" s="39"/>
    </row>
    <row r="19" spans="1:24" s="7" customFormat="1" ht="13.8">
      <c r="A19" s="252"/>
      <c r="B19" s="262">
        <v>50</v>
      </c>
      <c r="C19" s="252" t="s">
        <v>134</v>
      </c>
      <c r="D19" s="252" t="s">
        <v>157</v>
      </c>
      <c r="E19" s="254">
        <v>0</v>
      </c>
      <c r="F19" s="255">
        <v>0</v>
      </c>
      <c r="G19" s="254">
        <f>E19*F19</f>
        <v>0</v>
      </c>
      <c r="H19" s="254"/>
      <c r="I19" s="254">
        <f>G19+E19</f>
        <v>0</v>
      </c>
      <c r="J19" s="256">
        <v>0</v>
      </c>
      <c r="K19" s="252"/>
      <c r="O19" s="39"/>
      <c r="P19" s="39"/>
      <c r="V19" s="220"/>
      <c r="W19" s="221"/>
      <c r="X19" s="39"/>
    </row>
    <row r="20" spans="1:24" s="7" customFormat="1" ht="13.8">
      <c r="A20" s="222" t="s">
        <v>158</v>
      </c>
      <c r="B20" s="222">
        <v>30</v>
      </c>
      <c r="C20" s="223">
        <v>0</v>
      </c>
      <c r="D20" s="222" t="s">
        <v>501</v>
      </c>
      <c r="E20" s="224">
        <v>9984.4</v>
      </c>
      <c r="F20" s="227">
        <v>1.6000000000000001E-3</v>
      </c>
      <c r="G20" s="224">
        <f>E20*F20</f>
        <v>15.97504</v>
      </c>
      <c r="H20" s="224"/>
      <c r="I20" s="224">
        <v>10000</v>
      </c>
      <c r="J20" s="228">
        <f>I20*B20</f>
        <v>300000</v>
      </c>
      <c r="K20" s="351"/>
      <c r="O20" s="39"/>
      <c r="P20" s="39"/>
      <c r="V20" s="220"/>
      <c r="W20" s="221"/>
      <c r="X20" s="39"/>
    </row>
    <row r="21" spans="1:24" s="7" customFormat="1" ht="13.8">
      <c r="A21" s="222" t="s">
        <v>158</v>
      </c>
      <c r="B21" s="222">
        <v>9</v>
      </c>
      <c r="C21" s="223">
        <v>0</v>
      </c>
      <c r="D21" s="222" t="s">
        <v>502</v>
      </c>
      <c r="E21" s="231">
        <v>7086.24</v>
      </c>
      <c r="F21" s="227">
        <v>3.0200000000000001E-2</v>
      </c>
      <c r="G21" s="224">
        <f>E21*F21</f>
        <v>214.004448</v>
      </c>
      <c r="H21" s="224"/>
      <c r="I21" s="224">
        <v>7300</v>
      </c>
      <c r="J21" s="228">
        <f>I21*B21</f>
        <v>65700</v>
      </c>
      <c r="K21" s="352"/>
      <c r="O21" s="39"/>
      <c r="P21" s="39"/>
      <c r="V21" s="220"/>
      <c r="W21" s="221"/>
      <c r="X21" s="39"/>
    </row>
    <row r="22" spans="1:24" s="7" customFormat="1" ht="13.8">
      <c r="A22" s="222" t="s">
        <v>158</v>
      </c>
      <c r="B22" s="222"/>
      <c r="C22" s="223">
        <v>45</v>
      </c>
      <c r="D22" s="222" t="s">
        <v>503</v>
      </c>
      <c r="E22" s="224">
        <v>10483.620000000001</v>
      </c>
      <c r="F22" s="227">
        <v>3.1199999999999999E-2</v>
      </c>
      <c r="G22" s="224">
        <f>E22*F22</f>
        <v>327.08894400000003</v>
      </c>
      <c r="H22" s="224"/>
      <c r="I22" s="224">
        <f>G22+E22</f>
        <v>10810.708944</v>
      </c>
      <c r="J22" s="225">
        <f>I22*C22</f>
        <v>486481.90247999999</v>
      </c>
      <c r="K22" s="222"/>
      <c r="O22" s="39"/>
      <c r="P22" s="39"/>
      <c r="V22" s="220"/>
      <c r="W22" s="221"/>
      <c r="X22" s="39"/>
    </row>
    <row r="23" spans="1:24" s="7" customFormat="1" ht="13.8">
      <c r="A23" s="222" t="s">
        <v>158</v>
      </c>
      <c r="B23" s="222"/>
      <c r="C23" s="222">
        <v>9</v>
      </c>
      <c r="D23" s="222" t="s">
        <v>504</v>
      </c>
      <c r="E23" s="231">
        <v>7334.26</v>
      </c>
      <c r="F23" s="227">
        <v>4.4600000000000001E-2</v>
      </c>
      <c r="G23" s="231">
        <f>E23*F23</f>
        <v>327.10799600000001</v>
      </c>
      <c r="H23" s="231"/>
      <c r="I23" s="231">
        <f>G23+E23</f>
        <v>7661.3679959999999</v>
      </c>
      <c r="J23" s="232">
        <f>I23*C23</f>
        <v>68952.311963999993</v>
      </c>
      <c r="K23" s="222"/>
      <c r="O23" s="39"/>
      <c r="P23" s="39"/>
      <c r="W23" s="245">
        <f>V12-W13</f>
        <v>709231.19711999991</v>
      </c>
      <c r="X23" s="7" t="s">
        <v>134</v>
      </c>
    </row>
    <row r="24" spans="1:24" s="7" customFormat="1" ht="14.4" thickBot="1">
      <c r="A24" s="239" t="s">
        <v>134</v>
      </c>
      <c r="B24" s="240">
        <f>SUM(B20:B23)</f>
        <v>39</v>
      </c>
      <c r="C24" s="240">
        <f>SUM(C19:C23)</f>
        <v>54</v>
      </c>
      <c r="D24" s="240"/>
      <c r="E24" s="241"/>
      <c r="F24" s="242" t="s">
        <v>134</v>
      </c>
      <c r="G24" s="241" t="s">
        <v>134</v>
      </c>
      <c r="H24" s="241"/>
      <c r="I24" s="241" t="s">
        <v>134</v>
      </c>
      <c r="J24" s="248">
        <f>SUM(J19:J23)</f>
        <v>921134.21444399992</v>
      </c>
      <c r="K24" s="244" t="s">
        <v>134</v>
      </c>
      <c r="X24" s="7" t="s">
        <v>134</v>
      </c>
    </row>
    <row r="25" spans="1:24" ht="13.8">
      <c r="A25" s="39" t="s">
        <v>164</v>
      </c>
      <c r="B25" s="39">
        <f>B24+C24+B19</f>
        <v>143</v>
      </c>
      <c r="C25" s="7"/>
      <c r="D25" s="7"/>
      <c r="E25" s="7"/>
      <c r="F25" s="7"/>
      <c r="G25" s="7" t="s">
        <v>218</v>
      </c>
      <c r="H25" s="7"/>
      <c r="I25" s="220">
        <v>4.2599999999999999E-2</v>
      </c>
      <c r="J25" s="221">
        <f>J24*I25</f>
        <v>39240.317535314396</v>
      </c>
      <c r="K25" s="7"/>
    </row>
    <row r="26" spans="1:24" ht="13.8">
      <c r="A26" s="39" t="s">
        <v>498</v>
      </c>
      <c r="B26" s="39">
        <f>B20+C22+C23+B21</f>
        <v>93</v>
      </c>
      <c r="C26" s="7"/>
      <c r="D26" s="7"/>
      <c r="E26" s="7"/>
      <c r="F26" s="7"/>
      <c r="G26" s="7"/>
      <c r="H26" s="7"/>
      <c r="I26" s="220"/>
      <c r="J26" s="245">
        <f>J24-J25</f>
        <v>881893.89690868556</v>
      </c>
      <c r="K26" s="7"/>
    </row>
    <row r="27" spans="1:24" ht="13.8">
      <c r="A27" s="39"/>
      <c r="B27" s="39"/>
      <c r="C27" s="7"/>
      <c r="D27" s="7"/>
      <c r="E27" s="7"/>
      <c r="F27" s="7"/>
      <c r="G27" s="7"/>
      <c r="H27" s="7"/>
      <c r="I27" s="220"/>
      <c r="J27" s="52">
        <f>G11*C12</f>
        <v>354404.94</v>
      </c>
      <c r="K27" s="7"/>
    </row>
    <row r="28" spans="1:24">
      <c r="A28" s="424" t="s">
        <v>417</v>
      </c>
      <c r="B28" s="425" t="s">
        <v>418</v>
      </c>
      <c r="C28" s="424" t="s">
        <v>419</v>
      </c>
      <c r="D28" s="426">
        <v>7991</v>
      </c>
      <c r="E28" s="426">
        <v>8630</v>
      </c>
      <c r="F28" s="487">
        <f>E28/D28</f>
        <v>1.0799649605806532</v>
      </c>
      <c r="G28" s="426">
        <f t="shared" ref="G28:G55" si="1">E28/174</f>
        <v>49.597701149425291</v>
      </c>
      <c r="H28" s="426"/>
    </row>
    <row r="29" spans="1:24">
      <c r="A29" s="424" t="s">
        <v>417</v>
      </c>
      <c r="B29" s="425" t="s">
        <v>418</v>
      </c>
      <c r="C29" s="424" t="s">
        <v>420</v>
      </c>
      <c r="D29" s="426">
        <v>9261</v>
      </c>
      <c r="E29" s="426">
        <v>10002</v>
      </c>
      <c r="F29" s="487">
        <f>E29/D29</f>
        <v>1.0800129575639781</v>
      </c>
      <c r="G29" s="426">
        <f t="shared" si="1"/>
        <v>57.482758620689658</v>
      </c>
      <c r="H29" s="426"/>
    </row>
    <row r="30" spans="1:24">
      <c r="A30" s="424" t="s">
        <v>417</v>
      </c>
      <c r="B30" s="425" t="s">
        <v>418</v>
      </c>
      <c r="C30" s="424" t="s">
        <v>421</v>
      </c>
      <c r="D30" s="426">
        <v>4862</v>
      </c>
      <c r="E30" s="426">
        <v>5251</v>
      </c>
      <c r="F30" s="487">
        <f>E30/D30</f>
        <v>1.0800082270670506</v>
      </c>
      <c r="G30" s="426">
        <f t="shared" si="1"/>
        <v>30.178160919540229</v>
      </c>
      <c r="H30" s="426"/>
    </row>
    <row r="31" spans="1:24">
      <c r="A31" s="424" t="s">
        <v>417</v>
      </c>
      <c r="B31" s="425" t="s">
        <v>418</v>
      </c>
      <c r="C31" s="424" t="s">
        <v>422</v>
      </c>
      <c r="D31" s="426">
        <v>5788</v>
      </c>
      <c r="E31" s="426">
        <v>6251</v>
      </c>
      <c r="F31" s="487">
        <f>E31/D31</f>
        <v>1.0799930891499654</v>
      </c>
      <c r="G31" s="426">
        <f t="shared" si="1"/>
        <v>35.925287356321839</v>
      </c>
      <c r="H31" s="426"/>
    </row>
    <row r="32" spans="1:24">
      <c r="A32" s="427" t="s">
        <v>423</v>
      </c>
      <c r="B32" s="428" t="s">
        <v>424</v>
      </c>
      <c r="C32" s="428" t="s">
        <v>420</v>
      </c>
      <c r="D32" s="429">
        <v>10150</v>
      </c>
      <c r="E32" s="429">
        <v>12000</v>
      </c>
      <c r="F32" s="488">
        <f>E32/D32</f>
        <v>1.1822660098522169</v>
      </c>
      <c r="G32" s="429">
        <f t="shared" si="1"/>
        <v>68.965517241379317</v>
      </c>
      <c r="H32" s="429"/>
    </row>
    <row r="33" spans="1:11">
      <c r="A33" s="430" t="s">
        <v>425</v>
      </c>
      <c r="B33" s="430" t="s">
        <v>426</v>
      </c>
      <c r="C33" s="430" t="s">
        <v>480</v>
      </c>
      <c r="D33" s="431">
        <v>7086.24</v>
      </c>
      <c r="E33" s="489">
        <v>7086.24</v>
      </c>
      <c r="F33" s="490">
        <v>0</v>
      </c>
      <c r="G33" s="431">
        <f t="shared" si="1"/>
        <v>40.725517241379308</v>
      </c>
      <c r="H33" s="431"/>
      <c r="I33" s="57"/>
    </row>
    <row r="34" spans="1:11">
      <c r="A34" s="430" t="s">
        <v>425</v>
      </c>
      <c r="B34" s="430" t="s">
        <v>426</v>
      </c>
      <c r="C34" s="430" t="s">
        <v>434</v>
      </c>
      <c r="D34" s="431">
        <v>9984.4</v>
      </c>
      <c r="E34" s="489">
        <v>9984.4</v>
      </c>
      <c r="F34" s="490">
        <v>0</v>
      </c>
      <c r="G34" s="431">
        <f t="shared" si="1"/>
        <v>57.381609195402298</v>
      </c>
      <c r="H34" s="431"/>
      <c r="I34" s="57"/>
    </row>
    <row r="35" spans="1:11">
      <c r="A35" s="430" t="s">
        <v>425</v>
      </c>
      <c r="B35" s="430" t="s">
        <v>426</v>
      </c>
      <c r="C35" s="430" t="s">
        <v>481</v>
      </c>
      <c r="D35" s="431">
        <v>7086.24</v>
      </c>
      <c r="E35" s="489">
        <v>7334.2583999999997</v>
      </c>
      <c r="F35" s="490">
        <f>E35/D35</f>
        <v>1.0349999999999999</v>
      </c>
      <c r="G35" s="431">
        <f t="shared" si="1"/>
        <v>42.150910344827587</v>
      </c>
      <c r="H35" s="431"/>
      <c r="I35" s="57"/>
    </row>
    <row r="36" spans="1:11">
      <c r="A36" s="430" t="s">
        <v>425</v>
      </c>
      <c r="B36" s="430" t="s">
        <v>426</v>
      </c>
      <c r="C36" s="430" t="s">
        <v>432</v>
      </c>
      <c r="D36" s="431">
        <v>9984.4</v>
      </c>
      <c r="E36" s="489">
        <v>10483.619999999999</v>
      </c>
      <c r="F36" s="490">
        <f>E36/D36</f>
        <v>1.05</v>
      </c>
      <c r="G36" s="431">
        <f t="shared" si="1"/>
        <v>60.250689655172408</v>
      </c>
      <c r="H36" s="431"/>
      <c r="I36" s="57"/>
    </row>
    <row r="37" spans="1:11">
      <c r="A37" s="432" t="s">
        <v>427</v>
      </c>
      <c r="B37" s="433" t="s">
        <v>428</v>
      </c>
      <c r="C37" s="433" t="s">
        <v>434</v>
      </c>
      <c r="D37" s="434">
        <v>9200</v>
      </c>
      <c r="E37" s="434">
        <v>10000</v>
      </c>
      <c r="F37" s="491">
        <f>E37/D37</f>
        <v>1.0869565217391304</v>
      </c>
      <c r="G37" s="434">
        <f t="shared" si="1"/>
        <v>57.47126436781609</v>
      </c>
      <c r="H37" s="434"/>
    </row>
    <row r="38" spans="1:11">
      <c r="A38" s="432" t="s">
        <v>427</v>
      </c>
      <c r="B38" s="433" t="s">
        <v>428</v>
      </c>
      <c r="C38" s="433" t="s">
        <v>435</v>
      </c>
      <c r="D38" s="434">
        <v>4050</v>
      </c>
      <c r="E38" s="434">
        <v>5000</v>
      </c>
      <c r="F38" s="491">
        <f>E38/D38</f>
        <v>1.2345679012345678</v>
      </c>
      <c r="G38" s="434">
        <f t="shared" si="1"/>
        <v>28.735632183908045</v>
      </c>
      <c r="H38" s="434"/>
    </row>
    <row r="39" spans="1:11">
      <c r="A39" s="432" t="s">
        <v>427</v>
      </c>
      <c r="B39" s="433" t="s">
        <v>428</v>
      </c>
      <c r="C39" s="433" t="s">
        <v>432</v>
      </c>
      <c r="D39" s="434"/>
      <c r="E39" s="434">
        <v>5000</v>
      </c>
      <c r="F39" s="491"/>
      <c r="G39" s="434">
        <f t="shared" si="1"/>
        <v>28.735632183908045</v>
      </c>
      <c r="H39" s="434"/>
      <c r="I39" s="40" t="s">
        <v>483</v>
      </c>
    </row>
    <row r="40" spans="1:11">
      <c r="A40" s="432" t="s">
        <v>427</v>
      </c>
      <c r="B40" s="433" t="s">
        <v>428</v>
      </c>
      <c r="C40" s="433" t="s">
        <v>482</v>
      </c>
      <c r="D40" s="434"/>
      <c r="E40" s="434">
        <v>0</v>
      </c>
      <c r="F40" s="491"/>
      <c r="G40" s="434">
        <f t="shared" si="1"/>
        <v>0</v>
      </c>
      <c r="H40" s="434"/>
      <c r="I40" s="40" t="s">
        <v>483</v>
      </c>
    </row>
    <row r="41" spans="1:11">
      <c r="A41" s="435" t="s">
        <v>429</v>
      </c>
      <c r="B41" s="436" t="s">
        <v>430</v>
      </c>
      <c r="C41" s="435" t="s">
        <v>420</v>
      </c>
      <c r="D41" s="437">
        <v>22215</v>
      </c>
      <c r="E41" s="437">
        <v>23800</v>
      </c>
      <c r="F41" s="492">
        <f>E41/D41</f>
        <v>1.0713481881611524</v>
      </c>
      <c r="G41" s="437">
        <f t="shared" si="1"/>
        <v>136.7816091954023</v>
      </c>
      <c r="H41" s="437"/>
    </row>
    <row r="42" spans="1:11">
      <c r="A42" s="438" t="s">
        <v>431</v>
      </c>
      <c r="B42" s="439" t="s">
        <v>424</v>
      </c>
      <c r="C42" s="439" t="s">
        <v>432</v>
      </c>
      <c r="D42" s="440">
        <v>10513.26</v>
      </c>
      <c r="E42" s="440">
        <v>10513.26</v>
      </c>
      <c r="F42" s="493">
        <v>0</v>
      </c>
      <c r="G42" s="440">
        <f t="shared" si="1"/>
        <v>60.421034482758621</v>
      </c>
      <c r="H42" s="440"/>
      <c r="I42" s="453" t="s">
        <v>484</v>
      </c>
      <c r="J42" s="441"/>
      <c r="K42" s="441"/>
    </row>
    <row r="43" spans="1:11">
      <c r="A43" s="438" t="s">
        <v>431</v>
      </c>
      <c r="B43" s="439" t="s">
        <v>424</v>
      </c>
      <c r="C43" s="439" t="s">
        <v>433</v>
      </c>
      <c r="D43" s="440">
        <v>7500</v>
      </c>
      <c r="E43" s="440">
        <v>7650</v>
      </c>
      <c r="F43" s="493">
        <f t="shared" ref="F43:F51" si="2">E43/D43</f>
        <v>1.02</v>
      </c>
      <c r="G43" s="440">
        <f t="shared" si="1"/>
        <v>43.96551724137931</v>
      </c>
      <c r="H43" s="440"/>
      <c r="J43" s="442"/>
      <c r="K43" s="442"/>
    </row>
    <row r="44" spans="1:11">
      <c r="A44" s="438" t="s">
        <v>431</v>
      </c>
      <c r="B44" s="439" t="s">
        <v>424</v>
      </c>
      <c r="C44" s="439" t="s">
        <v>434</v>
      </c>
      <c r="D44" s="440">
        <v>8400</v>
      </c>
      <c r="E44" s="440">
        <v>8570</v>
      </c>
      <c r="F44" s="493">
        <f t="shared" si="2"/>
        <v>1.0202380952380952</v>
      </c>
      <c r="G44" s="440">
        <f t="shared" si="1"/>
        <v>49.252873563218394</v>
      </c>
      <c r="H44" s="440"/>
      <c r="J44" s="442"/>
      <c r="K44" s="442"/>
    </row>
    <row r="45" spans="1:11">
      <c r="A45" s="438" t="s">
        <v>431</v>
      </c>
      <c r="B45" s="439" t="s">
        <v>424</v>
      </c>
      <c r="C45" s="439" t="s">
        <v>435</v>
      </c>
      <c r="D45" s="440">
        <v>5500</v>
      </c>
      <c r="E45" s="440">
        <v>5610</v>
      </c>
      <c r="F45" s="493">
        <f t="shared" si="2"/>
        <v>1.02</v>
      </c>
      <c r="G45" s="440">
        <f t="shared" si="1"/>
        <v>32.241379310344826</v>
      </c>
      <c r="H45" s="440"/>
      <c r="J45" s="442"/>
      <c r="K45" s="442"/>
    </row>
    <row r="46" spans="1:11">
      <c r="A46" s="438" t="s">
        <v>431</v>
      </c>
      <c r="B46" s="439" t="s">
        <v>424</v>
      </c>
      <c r="C46" s="439" t="s">
        <v>436</v>
      </c>
      <c r="D46" s="440">
        <v>5950</v>
      </c>
      <c r="E46" s="440">
        <v>6070</v>
      </c>
      <c r="F46" s="493">
        <f t="shared" si="2"/>
        <v>1.0201680672268907</v>
      </c>
      <c r="G46" s="440">
        <f t="shared" si="1"/>
        <v>34.885057471264368</v>
      </c>
      <c r="H46" s="440"/>
      <c r="J46" s="442"/>
      <c r="K46" s="442"/>
    </row>
    <row r="47" spans="1:11">
      <c r="A47" s="438" t="s">
        <v>431</v>
      </c>
      <c r="B47" s="439" t="s">
        <v>424</v>
      </c>
      <c r="C47" s="439" t="s">
        <v>437</v>
      </c>
      <c r="D47" s="443">
        <v>5890</v>
      </c>
      <c r="E47" s="440">
        <v>6010</v>
      </c>
      <c r="F47" s="493">
        <f t="shared" si="2"/>
        <v>1.0203735144312394</v>
      </c>
      <c r="G47" s="440">
        <f t="shared" si="1"/>
        <v>34.540229885057471</v>
      </c>
      <c r="H47" s="440"/>
      <c r="I47" s="453"/>
      <c r="J47" s="441"/>
      <c r="K47" s="441"/>
    </row>
    <row r="48" spans="1:11">
      <c r="A48" s="444" t="s">
        <v>438</v>
      </c>
      <c r="B48" s="445" t="s">
        <v>418</v>
      </c>
      <c r="C48" s="444" t="s">
        <v>420</v>
      </c>
      <c r="D48" s="446">
        <v>23550</v>
      </c>
      <c r="E48" s="446">
        <v>24750</v>
      </c>
      <c r="F48" s="494">
        <f t="shared" si="2"/>
        <v>1.0509554140127388</v>
      </c>
      <c r="G48" s="446">
        <f t="shared" si="1"/>
        <v>142.24137931034483</v>
      </c>
      <c r="H48" s="446"/>
    </row>
    <row r="49" spans="1:10">
      <c r="A49" s="444" t="s">
        <v>438</v>
      </c>
      <c r="B49" s="445" t="s">
        <v>418</v>
      </c>
      <c r="C49" s="444" t="s">
        <v>422</v>
      </c>
      <c r="D49" s="446">
        <v>14200</v>
      </c>
      <c r="E49" s="446">
        <v>15000</v>
      </c>
      <c r="F49" s="494">
        <f t="shared" si="2"/>
        <v>1.056338028169014</v>
      </c>
      <c r="G49" s="446">
        <f t="shared" si="1"/>
        <v>86.206896551724142</v>
      </c>
      <c r="H49" s="446"/>
    </row>
    <row r="50" spans="1:10">
      <c r="A50" s="447" t="s">
        <v>439</v>
      </c>
      <c r="B50" s="448" t="s">
        <v>418</v>
      </c>
      <c r="C50" s="447" t="s">
        <v>420</v>
      </c>
      <c r="D50" s="449">
        <v>19000</v>
      </c>
      <c r="E50" s="449">
        <v>19900</v>
      </c>
      <c r="F50" s="495">
        <f t="shared" si="2"/>
        <v>1.0473684210526315</v>
      </c>
      <c r="G50" s="449">
        <f t="shared" si="1"/>
        <v>114.36781609195403</v>
      </c>
      <c r="H50" s="449"/>
    </row>
    <row r="51" spans="1:10">
      <c r="A51" s="447" t="s">
        <v>439</v>
      </c>
      <c r="B51" s="448" t="s">
        <v>418</v>
      </c>
      <c r="C51" s="447" t="s">
        <v>422</v>
      </c>
      <c r="D51" s="449">
        <v>14000</v>
      </c>
      <c r="E51" s="449">
        <v>14900</v>
      </c>
      <c r="F51" s="495">
        <f t="shared" si="2"/>
        <v>1.0642857142857143</v>
      </c>
      <c r="G51" s="449">
        <f t="shared" si="1"/>
        <v>85.632183908045974</v>
      </c>
      <c r="H51" s="449"/>
    </row>
    <row r="52" spans="1:10">
      <c r="A52" s="450" t="s">
        <v>440</v>
      </c>
      <c r="B52" s="451" t="s">
        <v>441</v>
      </c>
      <c r="C52" s="450" t="s">
        <v>420</v>
      </c>
      <c r="D52" s="452">
        <v>13250</v>
      </c>
      <c r="E52" s="452">
        <v>13250</v>
      </c>
      <c r="F52" s="496">
        <v>0</v>
      </c>
      <c r="G52" s="452">
        <f t="shared" si="1"/>
        <v>76.149425287356323</v>
      </c>
      <c r="H52" s="452"/>
    </row>
    <row r="53" spans="1:10">
      <c r="A53" s="450" t="s">
        <v>440</v>
      </c>
      <c r="B53" s="451" t="s">
        <v>441</v>
      </c>
      <c r="C53" s="450" t="s">
        <v>419</v>
      </c>
      <c r="D53" s="452">
        <v>12250</v>
      </c>
      <c r="E53" s="452">
        <v>12250</v>
      </c>
      <c r="F53" s="496">
        <v>0</v>
      </c>
      <c r="G53" s="452">
        <f t="shared" si="1"/>
        <v>70.402298850574709</v>
      </c>
      <c r="H53" s="452"/>
    </row>
    <row r="54" spans="1:10">
      <c r="A54" s="450" t="s">
        <v>440</v>
      </c>
      <c r="B54" s="451" t="s">
        <v>441</v>
      </c>
      <c r="C54" s="450" t="s">
        <v>422</v>
      </c>
      <c r="D54" s="452">
        <v>9800</v>
      </c>
      <c r="E54" s="452">
        <v>9800</v>
      </c>
      <c r="F54" s="496">
        <v>0</v>
      </c>
      <c r="G54" s="452">
        <f t="shared" si="1"/>
        <v>56.321839080459768</v>
      </c>
      <c r="H54" s="452"/>
    </row>
    <row r="55" spans="1:10">
      <c r="A55" s="450" t="s">
        <v>440</v>
      </c>
      <c r="B55" s="451" t="s">
        <v>441</v>
      </c>
      <c r="C55" s="450" t="s">
        <v>421</v>
      </c>
      <c r="D55" s="452">
        <v>8800</v>
      </c>
      <c r="E55" s="452">
        <v>8800</v>
      </c>
      <c r="F55" s="496">
        <v>0</v>
      </c>
      <c r="G55" s="452">
        <f t="shared" si="1"/>
        <v>50.574712643678161</v>
      </c>
      <c r="H55" s="452"/>
    </row>
    <row r="56" spans="1:10">
      <c r="J56" s="52">
        <f>G11*C10</f>
        <v>268858.92000000004</v>
      </c>
    </row>
  </sheetData>
  <pageMargins left="0.7" right="0.7" top="0.75" bottom="0.75" header="0.3" footer="0.3"/>
  <pageSetup scale="84" fitToHeight="0" orientation="landscape"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L25"/>
  <sheetViews>
    <sheetView workbookViewId="0">
      <pane ySplit="3" topLeftCell="A5" activePane="bottomLeft" state="frozen"/>
      <selection pane="bottomLeft" activeCell="J28" sqref="J28"/>
    </sheetView>
  </sheetViews>
  <sheetFormatPr defaultRowHeight="14.4"/>
  <cols>
    <col min="1" max="1" width="16" customWidth="1"/>
    <col min="2" max="2" width="6.33203125" customWidth="1"/>
    <col min="3" max="3" width="7.44140625" customWidth="1"/>
    <col min="4" max="4" width="7.33203125" customWidth="1"/>
    <col min="5" max="6" width="7.109375" customWidth="1"/>
    <col min="7" max="7" width="7.6640625" customWidth="1"/>
    <col min="8" max="8" width="10" customWidth="1"/>
    <col min="9" max="9" width="11.109375" customWidth="1"/>
    <col min="10" max="10" width="11" customWidth="1"/>
    <col min="11" max="11" width="10.5546875" style="1135" customWidth="1"/>
  </cols>
  <sheetData>
    <row r="1" spans="1:11">
      <c r="A1" t="s">
        <v>202</v>
      </c>
    </row>
    <row r="2" spans="1:11" ht="15" customHeight="1" thickBot="1">
      <c r="A2" t="s">
        <v>478</v>
      </c>
      <c r="G2" s="65"/>
      <c r="H2" s="65"/>
      <c r="I2" s="65"/>
    </row>
    <row r="3" spans="1:11" s="35" customFormat="1" ht="48" customHeight="1">
      <c r="A3" s="546" t="s">
        <v>123</v>
      </c>
      <c r="B3" s="748" t="s">
        <v>203</v>
      </c>
      <c r="C3" s="547" t="s">
        <v>204</v>
      </c>
      <c r="D3" s="547" t="s">
        <v>205</v>
      </c>
      <c r="E3" s="547" t="s">
        <v>369</v>
      </c>
      <c r="F3" s="547" t="s">
        <v>506</v>
      </c>
      <c r="G3" s="550" t="s">
        <v>549</v>
      </c>
      <c r="H3" s="769" t="s">
        <v>550</v>
      </c>
      <c r="I3" s="551" t="s">
        <v>591</v>
      </c>
      <c r="J3" s="788" t="s">
        <v>508</v>
      </c>
      <c r="K3" s="1136" t="s">
        <v>507</v>
      </c>
    </row>
    <row r="4" spans="1:11" ht="16.5" hidden="1" customHeight="1">
      <c r="A4" s="749" t="s">
        <v>208</v>
      </c>
      <c r="B4" s="754">
        <v>6</v>
      </c>
      <c r="C4" s="35">
        <v>3</v>
      </c>
      <c r="D4" s="754">
        <v>5</v>
      </c>
      <c r="E4" s="755"/>
      <c r="F4" s="755"/>
      <c r="G4" s="552"/>
      <c r="H4" s="781"/>
      <c r="I4" s="761"/>
      <c r="J4" s="756"/>
      <c r="K4" s="1137"/>
    </row>
    <row r="5" spans="1:11">
      <c r="A5" s="749" t="s">
        <v>206</v>
      </c>
      <c r="B5" s="754">
        <v>13</v>
      </c>
      <c r="C5" s="35">
        <v>9</v>
      </c>
      <c r="D5" s="754">
        <v>18</v>
      </c>
      <c r="E5" s="35">
        <v>13</v>
      </c>
      <c r="F5" s="35">
        <v>6</v>
      </c>
      <c r="G5" s="754">
        <v>8</v>
      </c>
      <c r="H5" s="410">
        <v>7</v>
      </c>
      <c r="I5" s="762">
        <v>7</v>
      </c>
      <c r="J5" s="746"/>
      <c r="K5" s="1138">
        <v>12</v>
      </c>
    </row>
    <row r="6" spans="1:11">
      <c r="A6" s="749" t="s">
        <v>209</v>
      </c>
      <c r="B6" s="754">
        <v>21</v>
      </c>
      <c r="C6" s="35">
        <v>13</v>
      </c>
      <c r="D6" s="754">
        <v>23</v>
      </c>
      <c r="E6" s="35">
        <v>26</v>
      </c>
      <c r="F6" s="35">
        <v>18</v>
      </c>
      <c r="G6" s="754">
        <v>20</v>
      </c>
      <c r="H6" s="410">
        <v>26</v>
      </c>
      <c r="I6" s="762">
        <v>15</v>
      </c>
      <c r="J6" s="746"/>
      <c r="K6" s="1138">
        <v>24</v>
      </c>
    </row>
    <row r="7" spans="1:11" hidden="1">
      <c r="A7" s="749" t="s">
        <v>210</v>
      </c>
      <c r="B7" s="754">
        <v>4</v>
      </c>
      <c r="C7" s="35">
        <v>1</v>
      </c>
      <c r="D7" s="754">
        <v>4</v>
      </c>
      <c r="E7" s="755"/>
      <c r="F7" s="755"/>
      <c r="G7" s="779"/>
      <c r="H7" s="780"/>
      <c r="I7" s="763"/>
      <c r="J7" s="757"/>
      <c r="K7" s="1139"/>
    </row>
    <row r="8" spans="1:11">
      <c r="A8" s="749" t="s">
        <v>207</v>
      </c>
      <c r="B8" s="754">
        <v>13</v>
      </c>
      <c r="C8" s="35">
        <v>11</v>
      </c>
      <c r="D8" s="754">
        <v>14</v>
      </c>
      <c r="E8" s="35">
        <v>17</v>
      </c>
      <c r="F8" s="35">
        <v>10</v>
      </c>
      <c r="G8" s="754">
        <v>10</v>
      </c>
      <c r="H8" s="410">
        <v>18</v>
      </c>
      <c r="I8" s="762">
        <v>5</v>
      </c>
      <c r="J8" s="746"/>
      <c r="K8" s="1138">
        <v>12</v>
      </c>
    </row>
    <row r="9" spans="1:11" ht="15" thickBot="1">
      <c r="A9" s="750" t="s">
        <v>211</v>
      </c>
      <c r="B9" s="754">
        <v>26</v>
      </c>
      <c r="C9" s="35">
        <v>20</v>
      </c>
      <c r="D9" s="754">
        <v>29</v>
      </c>
      <c r="E9" s="35">
        <v>29</v>
      </c>
      <c r="F9" s="35">
        <v>40</v>
      </c>
      <c r="G9" s="754">
        <v>39</v>
      </c>
      <c r="H9" s="410">
        <v>42</v>
      </c>
      <c r="I9" s="762">
        <v>41</v>
      </c>
      <c r="J9" s="770"/>
      <c r="K9" s="1138">
        <v>48</v>
      </c>
    </row>
    <row r="10" spans="1:11" ht="15" thickBot="1">
      <c r="A10" s="773"/>
      <c r="B10" s="774">
        <f>SUM(B4:B9)</f>
        <v>83</v>
      </c>
      <c r="C10" s="775">
        <f>SUM(C4:C9)</f>
        <v>57</v>
      </c>
      <c r="D10" s="776">
        <f>SUM(D4:D9)</f>
        <v>93</v>
      </c>
      <c r="E10" s="775">
        <f>SUM(E5:E9)</f>
        <v>85</v>
      </c>
      <c r="F10" s="775">
        <f>SUM(F5:F9)</f>
        <v>74</v>
      </c>
      <c r="G10" s="775">
        <f>SUM(G5:G9)</f>
        <v>77</v>
      </c>
      <c r="H10" s="782">
        <f>SUM(H5:H9)</f>
        <v>93</v>
      </c>
      <c r="I10" s="777">
        <f>SUM(I5:I9)</f>
        <v>68</v>
      </c>
      <c r="J10" s="778"/>
      <c r="K10" s="1140">
        <f>K5+K6+K8+K9</f>
        <v>96</v>
      </c>
    </row>
    <row r="11" spans="1:11" hidden="1">
      <c r="A11" s="773"/>
      <c r="B11" s="754"/>
      <c r="C11" s="35"/>
      <c r="D11" s="754"/>
      <c r="E11" s="35"/>
      <c r="F11" s="35"/>
      <c r="G11" s="35"/>
      <c r="H11" s="410"/>
      <c r="I11" s="771"/>
      <c r="J11" s="772"/>
      <c r="K11" s="1141"/>
    </row>
    <row r="12" spans="1:11" hidden="1">
      <c r="A12" s="749" t="s">
        <v>183</v>
      </c>
      <c r="B12" s="754">
        <v>8</v>
      </c>
      <c r="C12" s="35">
        <v>4</v>
      </c>
      <c r="D12" s="754">
        <v>5</v>
      </c>
      <c r="E12" s="755"/>
      <c r="F12" s="755"/>
      <c r="G12" s="779"/>
      <c r="H12" s="780"/>
      <c r="I12" s="763"/>
      <c r="J12" s="755"/>
      <c r="K12" s="1139"/>
    </row>
    <row r="13" spans="1:11" ht="15" thickBot="1">
      <c r="A13" s="350" t="s">
        <v>184</v>
      </c>
      <c r="B13" s="774">
        <v>48</v>
      </c>
      <c r="C13" s="775">
        <v>56</v>
      </c>
      <c r="D13" s="776">
        <v>58</v>
      </c>
      <c r="E13" s="775">
        <v>53</v>
      </c>
      <c r="F13" s="775">
        <v>49</v>
      </c>
      <c r="G13" s="776">
        <v>50</v>
      </c>
      <c r="H13" s="782">
        <v>50</v>
      </c>
      <c r="I13" s="786">
        <v>44</v>
      </c>
      <c r="J13" s="789"/>
      <c r="K13" s="1140">
        <v>60</v>
      </c>
    </row>
    <row r="14" spans="1:11">
      <c r="A14" s="749" t="s">
        <v>124</v>
      </c>
      <c r="B14" s="754">
        <v>54</v>
      </c>
      <c r="C14" s="35">
        <v>50</v>
      </c>
      <c r="D14" s="754">
        <v>48</v>
      </c>
      <c r="E14" s="35">
        <v>51</v>
      </c>
      <c r="F14" s="754">
        <v>46</v>
      </c>
      <c r="G14" s="754">
        <v>43</v>
      </c>
      <c r="H14" s="410">
        <v>43</v>
      </c>
      <c r="I14" s="762">
        <v>38</v>
      </c>
      <c r="J14" s="790"/>
      <c r="K14" s="1142">
        <v>46</v>
      </c>
    </row>
    <row r="15" spans="1:11">
      <c r="A15" s="749" t="s">
        <v>125</v>
      </c>
      <c r="B15" s="754">
        <v>51</v>
      </c>
      <c r="C15" s="35">
        <v>42</v>
      </c>
      <c r="D15" s="754">
        <v>46</v>
      </c>
      <c r="E15" s="35">
        <v>45</v>
      </c>
      <c r="F15" s="754">
        <v>45</v>
      </c>
      <c r="G15" s="754">
        <v>44</v>
      </c>
      <c r="H15" s="410">
        <v>41</v>
      </c>
      <c r="I15" s="762">
        <v>35</v>
      </c>
      <c r="J15" s="746"/>
      <c r="K15" s="1142">
        <v>46</v>
      </c>
    </row>
    <row r="16" spans="1:11">
      <c r="A16" s="749" t="s">
        <v>126</v>
      </c>
      <c r="B16" s="754">
        <v>46</v>
      </c>
      <c r="C16" s="35">
        <v>45</v>
      </c>
      <c r="D16" s="754">
        <v>35</v>
      </c>
      <c r="E16" s="35">
        <v>39</v>
      </c>
      <c r="F16" s="754">
        <v>44</v>
      </c>
      <c r="G16" s="754">
        <v>42</v>
      </c>
      <c r="H16" s="410">
        <v>36</v>
      </c>
      <c r="I16" s="762">
        <v>34</v>
      </c>
      <c r="J16" s="746"/>
      <c r="K16" s="1142">
        <v>46</v>
      </c>
    </row>
    <row r="17" spans="1:12">
      <c r="A17" s="749" t="s">
        <v>127</v>
      </c>
      <c r="B17" s="754">
        <v>58</v>
      </c>
      <c r="C17" s="35">
        <v>43</v>
      </c>
      <c r="D17" s="754">
        <v>47</v>
      </c>
      <c r="E17" s="35">
        <v>32</v>
      </c>
      <c r="F17" s="754">
        <v>37</v>
      </c>
      <c r="G17" s="754">
        <v>42</v>
      </c>
      <c r="H17" s="410">
        <v>37</v>
      </c>
      <c r="I17" s="762">
        <v>36</v>
      </c>
      <c r="J17" s="746"/>
      <c r="K17" s="1142">
        <v>37</v>
      </c>
    </row>
    <row r="18" spans="1:12" ht="15" thickBot="1">
      <c r="A18" s="750" t="s">
        <v>128</v>
      </c>
      <c r="B18" s="639">
        <v>33</v>
      </c>
      <c r="C18" s="640">
        <v>46</v>
      </c>
      <c r="D18" s="639">
        <v>34</v>
      </c>
      <c r="E18" s="640">
        <v>41</v>
      </c>
      <c r="F18" s="639">
        <v>27</v>
      </c>
      <c r="G18" s="639">
        <v>38</v>
      </c>
      <c r="H18" s="412">
        <v>39</v>
      </c>
      <c r="I18" s="762">
        <v>35</v>
      </c>
      <c r="J18" s="746"/>
      <c r="K18" s="1142">
        <v>36</v>
      </c>
    </row>
    <row r="19" spans="1:12" ht="14.4" customHeight="1" thickBot="1">
      <c r="A19" s="758"/>
      <c r="B19" s="35"/>
      <c r="C19" s="35"/>
      <c r="D19" s="35"/>
      <c r="E19" s="35"/>
      <c r="F19" s="35"/>
      <c r="G19" s="271"/>
      <c r="H19" s="751" t="s">
        <v>129</v>
      </c>
      <c r="I19" s="1134">
        <v>19</v>
      </c>
      <c r="J19" s="791"/>
      <c r="K19" s="1143">
        <v>36</v>
      </c>
    </row>
    <row r="20" spans="1:12" ht="15" thickBot="1">
      <c r="A20" s="751" t="s">
        <v>129</v>
      </c>
      <c r="B20" s="641">
        <v>37</v>
      </c>
      <c r="C20" s="642">
        <v>20</v>
      </c>
      <c r="D20" s="641">
        <v>33</v>
      </c>
      <c r="E20" s="642">
        <v>16</v>
      </c>
      <c r="F20" s="641">
        <v>23</v>
      </c>
      <c r="G20" s="634">
        <v>20</v>
      </c>
      <c r="H20" s="783">
        <v>10</v>
      </c>
      <c r="I20" s="767"/>
      <c r="K20" s="1138"/>
    </row>
    <row r="21" spans="1:12">
      <c r="A21" s="749" t="s">
        <v>130</v>
      </c>
      <c r="B21" s="754">
        <v>16</v>
      </c>
      <c r="C21" s="35">
        <v>26</v>
      </c>
      <c r="D21" s="754">
        <v>18</v>
      </c>
      <c r="E21" s="35">
        <v>27</v>
      </c>
      <c r="F21" s="754">
        <v>16</v>
      </c>
      <c r="G21" s="633">
        <v>19</v>
      </c>
      <c r="H21" s="784">
        <v>16</v>
      </c>
      <c r="I21" s="766">
        <v>11</v>
      </c>
      <c r="J21" s="747"/>
      <c r="K21" s="1144">
        <v>21</v>
      </c>
    </row>
    <row r="22" spans="1:12" ht="15" thickBot="1">
      <c r="A22" s="750" t="s">
        <v>131</v>
      </c>
      <c r="B22" s="639">
        <v>14</v>
      </c>
      <c r="C22" s="640">
        <v>14</v>
      </c>
      <c r="D22" s="640">
        <v>18</v>
      </c>
      <c r="E22" s="640">
        <v>12</v>
      </c>
      <c r="F22" s="639">
        <v>21</v>
      </c>
      <c r="G22" s="635">
        <v>17</v>
      </c>
      <c r="H22" s="785">
        <v>17</v>
      </c>
      <c r="I22" s="764">
        <v>11</v>
      </c>
      <c r="J22" s="554"/>
      <c r="K22" s="1143">
        <v>21</v>
      </c>
    </row>
    <row r="23" spans="1:12" s="65" customFormat="1" ht="15" thickBot="1">
      <c r="A23" s="752" t="s">
        <v>164</v>
      </c>
      <c r="B23" s="643">
        <f t="shared" ref="B23:I23" si="0">SUM(B10:B22)</f>
        <v>448</v>
      </c>
      <c r="C23" s="644">
        <f t="shared" si="0"/>
        <v>403</v>
      </c>
      <c r="D23" s="644">
        <f t="shared" si="0"/>
        <v>435</v>
      </c>
      <c r="E23" s="644">
        <f t="shared" si="0"/>
        <v>401</v>
      </c>
      <c r="F23" s="644">
        <f t="shared" si="0"/>
        <v>382</v>
      </c>
      <c r="G23" s="636">
        <f t="shared" si="0"/>
        <v>392</v>
      </c>
      <c r="H23" s="760">
        <f t="shared" si="0"/>
        <v>382</v>
      </c>
      <c r="I23" s="765">
        <f t="shared" si="0"/>
        <v>331</v>
      </c>
      <c r="J23" s="548"/>
      <c r="K23" s="1145">
        <f>SUM(K5:K22)-80</f>
        <v>461</v>
      </c>
    </row>
    <row r="24" spans="1:12" ht="15" hidden="1" thickBot="1">
      <c r="A24" s="759"/>
      <c r="B24" s="35"/>
      <c r="C24" s="35"/>
      <c r="D24" s="35"/>
      <c r="E24" s="35"/>
      <c r="F24" s="35"/>
      <c r="G24" s="637"/>
      <c r="H24" s="553"/>
      <c r="I24" s="762"/>
      <c r="K24" s="1138"/>
    </row>
    <row r="25" spans="1:12" ht="29.4" thickBot="1">
      <c r="A25" s="753" t="s">
        <v>334</v>
      </c>
      <c r="B25" s="645">
        <f>SUM(B12:B22)</f>
        <v>365</v>
      </c>
      <c r="C25" s="645">
        <f>SUM(C12:C22)</f>
        <v>346</v>
      </c>
      <c r="D25" s="645">
        <f>SUM(D12:D22)</f>
        <v>342</v>
      </c>
      <c r="E25" s="645">
        <f>SUM(E12:E22)</f>
        <v>316</v>
      </c>
      <c r="F25" s="645">
        <f>SUM(F12:F22)</f>
        <v>308</v>
      </c>
      <c r="G25" s="638">
        <f>SUM(G13:G22)</f>
        <v>315</v>
      </c>
      <c r="H25" s="638">
        <f>H13+H14+H15+H16+H17+H18+H20+H21+H22</f>
        <v>289</v>
      </c>
      <c r="I25" s="768">
        <f>I13+I14+I15+I16+I17+I18+I19+I21+I22</f>
        <v>263</v>
      </c>
      <c r="J25" s="549"/>
      <c r="K25" s="1146">
        <f>SUM(K12:K22)</f>
        <v>349</v>
      </c>
      <c r="L25" t="s">
        <v>859</v>
      </c>
    </row>
  </sheetData>
  <pageMargins left="0.7" right="0.7" top="0.75" bottom="0.75" header="0.3" footer="0.3"/>
  <pageSetup scale="89"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C0B9C-74F3-4DE4-A7BD-02B661863196}">
  <sheetPr codeName="Sheet20">
    <pageSetUpPr fitToPage="1"/>
  </sheetPr>
  <dimension ref="A1:O26"/>
  <sheetViews>
    <sheetView workbookViewId="0">
      <pane ySplit="3" topLeftCell="A4" activePane="bottomLeft" state="frozen"/>
      <selection pane="bottomLeft" activeCell="Q11" sqref="Q11"/>
    </sheetView>
  </sheetViews>
  <sheetFormatPr defaultRowHeight="14.4"/>
  <cols>
    <col min="1" max="1" width="16" customWidth="1"/>
    <col min="2" max="2" width="6.33203125" customWidth="1"/>
    <col min="3" max="3" width="7.44140625" customWidth="1"/>
    <col min="4" max="4" width="7.33203125" customWidth="1"/>
    <col min="5" max="6" width="7.109375" customWidth="1"/>
    <col min="7" max="7" width="7.6640625" customWidth="1"/>
    <col min="8" max="8" width="9.6640625" customWidth="1"/>
    <col min="9" max="9" width="11.109375" customWidth="1"/>
    <col min="10" max="10" width="11" customWidth="1"/>
    <col min="11" max="11" width="10.5546875" customWidth="1"/>
  </cols>
  <sheetData>
    <row r="1" spans="1:11">
      <c r="A1" t="s">
        <v>202</v>
      </c>
    </row>
    <row r="2" spans="1:11" ht="15" customHeight="1" thickBot="1">
      <c r="A2" t="s">
        <v>478</v>
      </c>
      <c r="G2" s="65"/>
      <c r="H2" s="65"/>
      <c r="I2" s="65"/>
    </row>
    <row r="3" spans="1:11" s="35" customFormat="1" ht="48" customHeight="1" thickBot="1">
      <c r="A3" s="546" t="s">
        <v>123</v>
      </c>
      <c r="B3" s="748" t="s">
        <v>203</v>
      </c>
      <c r="C3" s="547" t="s">
        <v>204</v>
      </c>
      <c r="D3" s="547" t="s">
        <v>205</v>
      </c>
      <c r="E3" s="547" t="s">
        <v>369</v>
      </c>
      <c r="F3" s="547" t="s">
        <v>506</v>
      </c>
      <c r="G3" s="550" t="s">
        <v>549</v>
      </c>
      <c r="H3" s="769" t="s">
        <v>550</v>
      </c>
      <c r="I3" s="889" t="s">
        <v>591</v>
      </c>
      <c r="J3" s="890" t="s">
        <v>508</v>
      </c>
      <c r="K3" s="891" t="s">
        <v>507</v>
      </c>
    </row>
    <row r="4" spans="1:11">
      <c r="A4" s="888" t="s">
        <v>633</v>
      </c>
      <c r="B4" s="887"/>
      <c r="C4" s="887"/>
      <c r="D4" s="887"/>
      <c r="E4" s="887"/>
      <c r="F4" s="887"/>
      <c r="G4" s="887"/>
      <c r="H4" s="887"/>
      <c r="I4" s="1406">
        <v>7</v>
      </c>
      <c r="J4" s="896"/>
      <c r="K4" s="895">
        <v>10</v>
      </c>
    </row>
    <row r="5" spans="1:11" hidden="1">
      <c r="A5" s="749" t="s">
        <v>208</v>
      </c>
      <c r="B5" s="754">
        <v>6</v>
      </c>
      <c r="C5" s="35">
        <v>3</v>
      </c>
      <c r="D5" s="754">
        <v>5</v>
      </c>
      <c r="E5" s="755"/>
      <c r="F5" s="755"/>
      <c r="G5" s="552"/>
      <c r="H5" s="892"/>
      <c r="I5" s="763"/>
      <c r="J5" s="756"/>
      <c r="K5" s="792"/>
    </row>
    <row r="6" spans="1:11">
      <c r="A6" s="749" t="s">
        <v>206</v>
      </c>
      <c r="B6" s="754">
        <v>13</v>
      </c>
      <c r="C6" s="35">
        <v>9</v>
      </c>
      <c r="D6" s="754">
        <v>18</v>
      </c>
      <c r="E6" s="35">
        <v>13</v>
      </c>
      <c r="F6" s="35">
        <v>6</v>
      </c>
      <c r="G6" s="754">
        <v>8</v>
      </c>
      <c r="H6" s="35">
        <v>7</v>
      </c>
      <c r="I6" s="762">
        <v>7</v>
      </c>
      <c r="J6" s="746"/>
      <c r="K6" s="767">
        <v>12</v>
      </c>
    </row>
    <row r="7" spans="1:11">
      <c r="A7" s="749" t="s">
        <v>209</v>
      </c>
      <c r="B7" s="754">
        <v>21</v>
      </c>
      <c r="C7" s="35">
        <v>13</v>
      </c>
      <c r="D7" s="754">
        <v>23</v>
      </c>
      <c r="E7" s="35">
        <v>26</v>
      </c>
      <c r="F7" s="35">
        <v>18</v>
      </c>
      <c r="G7" s="754">
        <v>20</v>
      </c>
      <c r="H7" s="35">
        <v>26</v>
      </c>
      <c r="I7" s="762">
        <v>15</v>
      </c>
      <c r="J7" s="746"/>
      <c r="K7" s="767">
        <v>24</v>
      </c>
    </row>
    <row r="8" spans="1:11" hidden="1">
      <c r="A8" s="749" t="s">
        <v>210</v>
      </c>
      <c r="B8" s="754">
        <v>4</v>
      </c>
      <c r="C8" s="35">
        <v>1</v>
      </c>
      <c r="D8" s="754">
        <v>4</v>
      </c>
      <c r="E8" s="755"/>
      <c r="F8" s="755"/>
      <c r="G8" s="779"/>
      <c r="H8" s="755"/>
      <c r="I8" s="763"/>
      <c r="J8" s="757"/>
      <c r="K8" s="792"/>
    </row>
    <row r="9" spans="1:11">
      <c r="A9" s="749" t="s">
        <v>207</v>
      </c>
      <c r="B9" s="754">
        <v>13</v>
      </c>
      <c r="C9" s="35">
        <v>11</v>
      </c>
      <c r="D9" s="754">
        <v>14</v>
      </c>
      <c r="E9" s="35">
        <v>17</v>
      </c>
      <c r="F9" s="35">
        <v>10</v>
      </c>
      <c r="G9" s="754">
        <v>10</v>
      </c>
      <c r="H9" s="35">
        <v>18</v>
      </c>
      <c r="I9" s="762">
        <v>5</v>
      </c>
      <c r="J9" s="746"/>
      <c r="K9" s="767">
        <v>12</v>
      </c>
    </row>
    <row r="10" spans="1:11" ht="15" thickBot="1">
      <c r="A10" s="750" t="s">
        <v>211</v>
      </c>
      <c r="B10" s="754">
        <v>26</v>
      </c>
      <c r="C10" s="35">
        <v>20</v>
      </c>
      <c r="D10" s="754">
        <v>29</v>
      </c>
      <c r="E10" s="35">
        <v>29</v>
      </c>
      <c r="F10" s="35">
        <v>40</v>
      </c>
      <c r="G10" s="754">
        <v>39</v>
      </c>
      <c r="H10" s="35">
        <v>42</v>
      </c>
      <c r="I10" s="762">
        <v>41</v>
      </c>
      <c r="J10" s="770"/>
      <c r="K10" s="767">
        <v>48</v>
      </c>
    </row>
    <row r="11" spans="1:11" ht="15" thickBot="1">
      <c r="A11" s="773"/>
      <c r="B11" s="774">
        <f>SUM(B5:B10)</f>
        <v>83</v>
      </c>
      <c r="C11" s="775">
        <f>SUM(C5:C10)</f>
        <v>57</v>
      </c>
      <c r="D11" s="776">
        <f>SUM(D5:D10)</f>
        <v>93</v>
      </c>
      <c r="E11" s="775">
        <f>SUM(E6:E10)</f>
        <v>85</v>
      </c>
      <c r="F11" s="775">
        <f>SUM(F6:F10)</f>
        <v>74</v>
      </c>
      <c r="G11" s="775">
        <f>SUM(G6:G10)</f>
        <v>77</v>
      </c>
      <c r="H11" s="775">
        <f>SUM(H6:H10)</f>
        <v>93</v>
      </c>
      <c r="I11" s="777">
        <f>SUM(I4:I10)</f>
        <v>75</v>
      </c>
      <c r="J11" s="778"/>
      <c r="K11" s="787">
        <f>K6+K7+K9+K10</f>
        <v>96</v>
      </c>
    </row>
    <row r="12" spans="1:11" ht="15" thickBot="1">
      <c r="A12" s="773"/>
      <c r="B12" s="754"/>
      <c r="C12" s="35"/>
      <c r="D12" s="754"/>
      <c r="E12" s="35"/>
      <c r="F12" s="35"/>
      <c r="G12" s="35"/>
      <c r="H12" s="35"/>
      <c r="I12" s="771"/>
      <c r="J12" s="772"/>
      <c r="K12" s="793"/>
    </row>
    <row r="13" spans="1:11" ht="15" hidden="1" thickBot="1">
      <c r="A13" s="749" t="s">
        <v>183</v>
      </c>
      <c r="B13" s="754">
        <v>8</v>
      </c>
      <c r="C13" s="35">
        <v>4</v>
      </c>
      <c r="D13" s="754">
        <v>5</v>
      </c>
      <c r="E13" s="755"/>
      <c r="F13" s="755"/>
      <c r="G13" s="779"/>
      <c r="H13" s="755"/>
      <c r="I13" s="893"/>
      <c r="J13" s="755"/>
      <c r="K13" s="894"/>
    </row>
    <row r="14" spans="1:11" ht="15" thickBot="1">
      <c r="A14" s="350" t="s">
        <v>184</v>
      </c>
      <c r="B14" s="774">
        <v>48</v>
      </c>
      <c r="C14" s="775">
        <v>56</v>
      </c>
      <c r="D14" s="776">
        <v>58</v>
      </c>
      <c r="E14" s="775">
        <v>53</v>
      </c>
      <c r="F14" s="775">
        <v>49</v>
      </c>
      <c r="G14" s="776">
        <v>50</v>
      </c>
      <c r="H14" s="782">
        <v>50</v>
      </c>
      <c r="I14" s="786">
        <v>44</v>
      </c>
      <c r="J14" s="789"/>
      <c r="K14" s="787">
        <v>60</v>
      </c>
    </row>
    <row r="15" spans="1:11">
      <c r="A15" s="749" t="s">
        <v>124</v>
      </c>
      <c r="B15" s="754">
        <v>54</v>
      </c>
      <c r="C15" s="35">
        <v>50</v>
      </c>
      <c r="D15" s="754">
        <v>48</v>
      </c>
      <c r="E15" s="35">
        <v>51</v>
      </c>
      <c r="F15" s="754">
        <v>46</v>
      </c>
      <c r="G15" s="754">
        <v>43</v>
      </c>
      <c r="H15" s="410">
        <v>43</v>
      </c>
      <c r="I15" s="762">
        <v>38</v>
      </c>
      <c r="J15" s="790"/>
      <c r="K15" s="794">
        <v>46</v>
      </c>
    </row>
    <row r="16" spans="1:11">
      <c r="A16" s="749" t="s">
        <v>125</v>
      </c>
      <c r="B16" s="754">
        <v>51</v>
      </c>
      <c r="C16" s="35">
        <v>42</v>
      </c>
      <c r="D16" s="754">
        <v>46</v>
      </c>
      <c r="E16" s="35">
        <v>45</v>
      </c>
      <c r="F16" s="754">
        <v>45</v>
      </c>
      <c r="G16" s="754">
        <v>44</v>
      </c>
      <c r="H16" s="410">
        <v>41</v>
      </c>
      <c r="I16" s="762">
        <v>35</v>
      </c>
      <c r="J16" s="746"/>
      <c r="K16" s="794">
        <v>46</v>
      </c>
    </row>
    <row r="17" spans="1:15">
      <c r="A17" s="749" t="s">
        <v>126</v>
      </c>
      <c r="B17" s="754">
        <v>46</v>
      </c>
      <c r="C17" s="35">
        <v>45</v>
      </c>
      <c r="D17" s="754">
        <v>35</v>
      </c>
      <c r="E17" s="35">
        <v>39</v>
      </c>
      <c r="F17" s="754">
        <v>44</v>
      </c>
      <c r="G17" s="754">
        <v>42</v>
      </c>
      <c r="H17" s="410">
        <v>36</v>
      </c>
      <c r="I17" s="762">
        <v>34</v>
      </c>
      <c r="J17" s="746"/>
      <c r="K17" s="794">
        <v>46</v>
      </c>
    </row>
    <row r="18" spans="1:15">
      <c r="A18" s="749" t="s">
        <v>127</v>
      </c>
      <c r="B18" s="754">
        <v>58</v>
      </c>
      <c r="C18" s="35">
        <v>43</v>
      </c>
      <c r="D18" s="754">
        <v>47</v>
      </c>
      <c r="E18" s="35">
        <v>32</v>
      </c>
      <c r="F18" s="754">
        <v>37</v>
      </c>
      <c r="G18" s="754">
        <v>42</v>
      </c>
      <c r="H18" s="410">
        <v>37</v>
      </c>
      <c r="I18" s="762">
        <v>36</v>
      </c>
      <c r="J18" s="746"/>
      <c r="K18" s="794">
        <v>37</v>
      </c>
    </row>
    <row r="19" spans="1:15" ht="14.4" customHeight="1" thickBot="1">
      <c r="A19" s="750" t="s">
        <v>128</v>
      </c>
      <c r="B19" s="639">
        <v>33</v>
      </c>
      <c r="C19" s="640">
        <v>46</v>
      </c>
      <c r="D19" s="639">
        <v>34</v>
      </c>
      <c r="E19" s="640">
        <v>41</v>
      </c>
      <c r="F19" s="639">
        <v>27</v>
      </c>
      <c r="G19" s="639">
        <v>38</v>
      </c>
      <c r="H19" s="412">
        <v>39</v>
      </c>
      <c r="I19" s="762">
        <v>35</v>
      </c>
      <c r="J19" s="746"/>
      <c r="K19" s="794">
        <v>36</v>
      </c>
    </row>
    <row r="20" spans="1:15" ht="15" thickBot="1">
      <c r="A20" s="758"/>
      <c r="B20" s="35"/>
      <c r="C20" s="35"/>
      <c r="D20" s="35"/>
      <c r="E20" s="35"/>
      <c r="F20" s="35"/>
      <c r="G20" s="271"/>
      <c r="H20" s="751" t="s">
        <v>129</v>
      </c>
      <c r="I20" s="1134">
        <v>19</v>
      </c>
      <c r="J20" s="791"/>
      <c r="K20" s="795">
        <v>36</v>
      </c>
    </row>
    <row r="21" spans="1:15" ht="15" thickBot="1">
      <c r="A21" s="751" t="s">
        <v>129</v>
      </c>
      <c r="B21" s="641">
        <v>37</v>
      </c>
      <c r="C21" s="642">
        <v>20</v>
      </c>
      <c r="D21" s="641">
        <v>33</v>
      </c>
      <c r="E21" s="642">
        <v>16</v>
      </c>
      <c r="F21" s="641">
        <v>23</v>
      </c>
      <c r="G21" s="634">
        <v>20</v>
      </c>
      <c r="H21" s="783">
        <v>10</v>
      </c>
      <c r="I21" s="767"/>
      <c r="K21" s="767"/>
    </row>
    <row r="22" spans="1:15">
      <c r="A22" s="749" t="s">
        <v>130</v>
      </c>
      <c r="B22" s="754">
        <v>16</v>
      </c>
      <c r="C22" s="35">
        <v>26</v>
      </c>
      <c r="D22" s="754">
        <v>18</v>
      </c>
      <c r="E22" s="35">
        <v>27</v>
      </c>
      <c r="F22" s="754">
        <v>16</v>
      </c>
      <c r="G22" s="633">
        <v>19</v>
      </c>
      <c r="H22" s="784">
        <v>16</v>
      </c>
      <c r="I22" s="766">
        <v>11</v>
      </c>
      <c r="J22" s="747"/>
      <c r="K22" s="796">
        <v>21</v>
      </c>
    </row>
    <row r="23" spans="1:15" s="65" customFormat="1" ht="15" thickBot="1">
      <c r="A23" s="750" t="s">
        <v>131</v>
      </c>
      <c r="B23" s="639">
        <v>14</v>
      </c>
      <c r="C23" s="640">
        <v>14</v>
      </c>
      <c r="D23" s="640">
        <v>18</v>
      </c>
      <c r="E23" s="640">
        <v>12</v>
      </c>
      <c r="F23" s="639">
        <v>21</v>
      </c>
      <c r="G23" s="635">
        <v>17</v>
      </c>
      <c r="H23" s="785">
        <v>17</v>
      </c>
      <c r="I23" s="764">
        <v>11</v>
      </c>
      <c r="J23" s="554"/>
      <c r="K23" s="795">
        <v>21</v>
      </c>
      <c r="L23"/>
      <c r="M23"/>
      <c r="N23"/>
      <c r="O23"/>
    </row>
    <row r="24" spans="1:15" ht="15" thickBot="1">
      <c r="A24" s="752" t="s">
        <v>164</v>
      </c>
      <c r="B24" s="643">
        <f t="shared" ref="B24:H24" si="0">SUM(B11:B23)</f>
        <v>448</v>
      </c>
      <c r="C24" s="644">
        <f t="shared" si="0"/>
        <v>403</v>
      </c>
      <c r="D24" s="644">
        <f t="shared" si="0"/>
        <v>435</v>
      </c>
      <c r="E24" s="644">
        <f t="shared" si="0"/>
        <v>401</v>
      </c>
      <c r="F24" s="644">
        <f t="shared" si="0"/>
        <v>382</v>
      </c>
      <c r="G24" s="636">
        <f t="shared" si="0"/>
        <v>392</v>
      </c>
      <c r="H24" s="760">
        <f t="shared" si="0"/>
        <v>382</v>
      </c>
      <c r="I24" s="765">
        <f>SUM(I11:I23)</f>
        <v>338</v>
      </c>
      <c r="J24" s="548"/>
      <c r="K24" s="797">
        <f>SUM(K6:K23)-80</f>
        <v>461</v>
      </c>
      <c r="L24" s="65"/>
      <c r="M24" s="65"/>
      <c r="N24" s="65"/>
      <c r="O24" s="65"/>
    </row>
    <row r="25" spans="1:15" ht="15" thickBot="1">
      <c r="A25" s="759"/>
      <c r="B25" s="35"/>
      <c r="C25" s="35"/>
      <c r="D25" s="35"/>
      <c r="E25" s="35"/>
      <c r="F25" s="35"/>
      <c r="G25" s="637"/>
      <c r="H25" s="553"/>
      <c r="I25" s="762"/>
      <c r="K25" s="767"/>
    </row>
    <row r="26" spans="1:15" ht="29.4" thickBot="1">
      <c r="A26" s="753" t="s">
        <v>334</v>
      </c>
      <c r="B26" s="645">
        <f>SUM(B13:B23)</f>
        <v>365</v>
      </c>
      <c r="C26" s="645">
        <f>SUM(C13:C23)</f>
        <v>346</v>
      </c>
      <c r="D26" s="645">
        <f>SUM(D13:D23)</f>
        <v>342</v>
      </c>
      <c r="E26" s="645">
        <f>SUM(E13:E23)</f>
        <v>316</v>
      </c>
      <c r="F26" s="645">
        <f>SUM(F13:F23)</f>
        <v>308</v>
      </c>
      <c r="G26" s="638">
        <f>SUM(G14:G23)</f>
        <v>315</v>
      </c>
      <c r="H26" s="638">
        <f>H14+H15+H16+H17+H18+H19+H21+H22+H23</f>
        <v>289</v>
      </c>
      <c r="I26" s="768">
        <f>I14+I15+I16+I17+I18+I19+I20+I22+I23</f>
        <v>263</v>
      </c>
      <c r="J26" s="549"/>
      <c r="K26" s="798">
        <f>SUM(K13:K23)</f>
        <v>349</v>
      </c>
      <c r="L26" t="s">
        <v>606</v>
      </c>
    </row>
  </sheetData>
  <pageMargins left="0.7" right="0.7" top="0.75" bottom="0.75" header="0.3" footer="0.3"/>
  <pageSetup scale="89"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57"/>
  <sheetViews>
    <sheetView workbookViewId="0">
      <pane ySplit="5" topLeftCell="A8" activePane="bottomLeft" state="frozen"/>
      <selection pane="bottomLeft" activeCell="D40" sqref="D40"/>
    </sheetView>
  </sheetViews>
  <sheetFormatPr defaultColWidth="9.33203125" defaultRowHeight="12" outlineLevelRow="1"/>
  <cols>
    <col min="1" max="1" width="14" style="164" customWidth="1"/>
    <col min="2" max="2" width="36.33203125" style="164" customWidth="1"/>
    <col min="3" max="3" width="12.6640625" style="164" customWidth="1"/>
    <col min="4" max="4" width="11.6640625" style="164" customWidth="1"/>
    <col min="5" max="5" width="15.44140625" style="164" customWidth="1"/>
    <col min="6" max="16384" width="9.33203125" style="164"/>
  </cols>
  <sheetData>
    <row r="1" spans="1:7">
      <c r="A1" s="170" t="s">
        <v>132</v>
      </c>
      <c r="B1" s="171"/>
      <c r="C1" s="171"/>
      <c r="D1" s="196"/>
    </row>
    <row r="2" spans="1:7">
      <c r="A2" s="170" t="s">
        <v>691</v>
      </c>
      <c r="B2" s="171"/>
      <c r="C2" s="171"/>
      <c r="D2" s="196"/>
    </row>
    <row r="3" spans="1:7">
      <c r="A3" s="170" t="s">
        <v>477</v>
      </c>
      <c r="B3" s="171"/>
      <c r="C3" s="171"/>
      <c r="D3" s="196"/>
    </row>
    <row r="4" spans="1:7">
      <c r="A4" s="172" t="s">
        <v>82</v>
      </c>
      <c r="B4" s="172"/>
      <c r="C4" s="173"/>
      <c r="D4" s="174"/>
    </row>
    <row r="5" spans="1:7" ht="24">
      <c r="A5" s="172" t="s">
        <v>83</v>
      </c>
      <c r="B5" s="172" t="s">
        <v>1</v>
      </c>
      <c r="C5" s="175" t="s">
        <v>336</v>
      </c>
      <c r="D5" s="176" t="s">
        <v>337</v>
      </c>
    </row>
    <row r="6" spans="1:7">
      <c r="A6" s="75"/>
      <c r="B6" s="159"/>
      <c r="C6" s="70"/>
    </row>
    <row r="7" spans="1:7">
      <c r="A7" s="177" t="s">
        <v>85</v>
      </c>
      <c r="B7" s="178" t="s">
        <v>86</v>
      </c>
      <c r="C7" s="606">
        <v>4600</v>
      </c>
      <c r="D7" s="607">
        <v>4600</v>
      </c>
    </row>
    <row r="8" spans="1:7" ht="15.75" customHeight="1">
      <c r="A8" s="177" t="s">
        <v>87</v>
      </c>
      <c r="B8" s="178" t="s">
        <v>242</v>
      </c>
      <c r="C8" s="606">
        <v>400</v>
      </c>
      <c r="D8" s="608">
        <v>400</v>
      </c>
    </row>
    <row r="9" spans="1:7">
      <c r="A9" s="177" t="s">
        <v>88</v>
      </c>
      <c r="B9" s="178" t="s">
        <v>243</v>
      </c>
      <c r="C9" s="606"/>
      <c r="D9" s="607"/>
    </row>
    <row r="10" spans="1:7">
      <c r="A10" s="177" t="s">
        <v>89</v>
      </c>
      <c r="B10" s="178" t="s">
        <v>244</v>
      </c>
      <c r="C10" s="606">
        <v>8000</v>
      </c>
      <c r="D10" s="607">
        <v>8000</v>
      </c>
    </row>
    <row r="11" spans="1:7">
      <c r="A11" s="177" t="s">
        <v>90</v>
      </c>
      <c r="B11" s="178" t="s">
        <v>245</v>
      </c>
      <c r="C11" s="606"/>
      <c r="D11" s="607"/>
    </row>
    <row r="12" spans="1:7">
      <c r="A12" s="177" t="s">
        <v>91</v>
      </c>
      <c r="B12" s="178" t="s">
        <v>246</v>
      </c>
      <c r="C12" s="606"/>
      <c r="D12" s="607"/>
      <c r="G12" s="607">
        <f>C20+C22+C26+C23</f>
        <v>26450</v>
      </c>
    </row>
    <row r="13" spans="1:7">
      <c r="A13" s="177" t="s">
        <v>92</v>
      </c>
      <c r="B13" s="178" t="s">
        <v>247</v>
      </c>
      <c r="C13" s="606"/>
      <c r="D13" s="607"/>
    </row>
    <row r="14" spans="1:7">
      <c r="A14" s="177" t="s">
        <v>93</v>
      </c>
      <c r="B14" s="178" t="s">
        <v>248</v>
      </c>
      <c r="C14" s="606"/>
      <c r="D14" s="607"/>
    </row>
    <row r="15" spans="1:7">
      <c r="A15" s="177" t="s">
        <v>94</v>
      </c>
      <c r="B15" s="178" t="s">
        <v>249</v>
      </c>
      <c r="C15" s="606"/>
      <c r="D15" s="607"/>
    </row>
    <row r="16" spans="1:7">
      <c r="A16" s="177" t="s">
        <v>95</v>
      </c>
      <c r="B16" s="178" t="s">
        <v>250</v>
      </c>
      <c r="C16" s="606">
        <v>3000</v>
      </c>
      <c r="D16" s="607">
        <v>3000</v>
      </c>
      <c r="G16" s="607">
        <f>C8+C27</f>
        <v>1400</v>
      </c>
    </row>
    <row r="17" spans="1:7">
      <c r="A17" s="177" t="s">
        <v>96</v>
      </c>
      <c r="B17" s="178" t="s">
        <v>251</v>
      </c>
      <c r="C17" s="606">
        <v>3500</v>
      </c>
      <c r="D17" s="607">
        <v>3500</v>
      </c>
    </row>
    <row r="18" spans="1:7">
      <c r="A18" s="1279" t="s">
        <v>794</v>
      </c>
      <c r="B18" s="178" t="s">
        <v>251</v>
      </c>
      <c r="C18" s="606">
        <v>1500</v>
      </c>
      <c r="D18" s="607">
        <v>1500</v>
      </c>
    </row>
    <row r="19" spans="1:7">
      <c r="A19" s="177" t="s">
        <v>97</v>
      </c>
      <c r="B19" s="178" t="s">
        <v>252</v>
      </c>
      <c r="C19" s="606">
        <v>3200</v>
      </c>
      <c r="D19" s="607">
        <v>3200</v>
      </c>
    </row>
    <row r="20" spans="1:7">
      <c r="A20" s="1278">
        <v>133</v>
      </c>
      <c r="B20" s="178" t="s">
        <v>790</v>
      </c>
      <c r="C20" s="606">
        <v>3000</v>
      </c>
      <c r="D20" s="607">
        <v>3000</v>
      </c>
      <c r="G20" s="607">
        <f>C7+C16</f>
        <v>7600</v>
      </c>
    </row>
    <row r="21" spans="1:7">
      <c r="A21" s="177" t="s">
        <v>98</v>
      </c>
      <c r="B21" s="178" t="s">
        <v>253</v>
      </c>
      <c r="C21" s="606">
        <v>2500</v>
      </c>
      <c r="D21" s="607">
        <v>2500</v>
      </c>
    </row>
    <row r="22" spans="1:7">
      <c r="A22" s="177" t="s">
        <v>99</v>
      </c>
      <c r="B22" s="178" t="s">
        <v>789</v>
      </c>
      <c r="C22" s="606">
        <v>7000</v>
      </c>
      <c r="D22" s="607">
        <v>7000</v>
      </c>
    </row>
    <row r="23" spans="1:7">
      <c r="A23" s="177" t="s">
        <v>100</v>
      </c>
      <c r="B23" s="178" t="s">
        <v>254</v>
      </c>
      <c r="C23" s="606">
        <v>8450</v>
      </c>
      <c r="D23" s="607">
        <v>8450</v>
      </c>
    </row>
    <row r="24" spans="1:7">
      <c r="A24" s="1278">
        <v>181</v>
      </c>
      <c r="B24" s="178" t="s">
        <v>792</v>
      </c>
      <c r="C24" s="606">
        <v>500</v>
      </c>
      <c r="D24" s="607">
        <v>500</v>
      </c>
      <c r="G24" s="607">
        <f>C24+C41</f>
        <v>1500</v>
      </c>
    </row>
    <row r="25" spans="1:7">
      <c r="A25" s="177" t="s">
        <v>101</v>
      </c>
      <c r="B25" s="180" t="s">
        <v>255</v>
      </c>
      <c r="C25" s="607">
        <v>1500</v>
      </c>
      <c r="D25" s="607">
        <v>1500</v>
      </c>
    </row>
    <row r="26" spans="1:7">
      <c r="A26" s="177" t="s">
        <v>102</v>
      </c>
      <c r="B26" s="180" t="s">
        <v>791</v>
      </c>
      <c r="C26" s="607">
        <v>8000</v>
      </c>
      <c r="D26" s="607">
        <v>8000</v>
      </c>
    </row>
    <row r="27" spans="1:7">
      <c r="A27" s="177" t="s">
        <v>103</v>
      </c>
      <c r="B27" s="180" t="s">
        <v>256</v>
      </c>
      <c r="C27" s="607">
        <v>1000</v>
      </c>
      <c r="D27" s="607">
        <v>1000</v>
      </c>
    </row>
    <row r="28" spans="1:7">
      <c r="A28" s="177" t="s">
        <v>104</v>
      </c>
      <c r="B28" s="178" t="s">
        <v>257</v>
      </c>
      <c r="C28" s="606">
        <v>3500</v>
      </c>
      <c r="D28" s="607">
        <v>3500</v>
      </c>
      <c r="G28" s="607">
        <f>C17+C21+C25+C19</f>
        <v>10700</v>
      </c>
    </row>
    <row r="29" spans="1:7">
      <c r="A29" s="177" t="s">
        <v>105</v>
      </c>
      <c r="B29" s="178" t="s">
        <v>258</v>
      </c>
      <c r="C29" s="606"/>
      <c r="D29" s="607"/>
    </row>
    <row r="30" spans="1:7">
      <c r="A30" s="177" t="s">
        <v>106</v>
      </c>
      <c r="B30" s="178" t="s">
        <v>259</v>
      </c>
      <c r="C30" s="606">
        <v>0</v>
      </c>
      <c r="D30" s="607">
        <v>0</v>
      </c>
    </row>
    <row r="31" spans="1:7">
      <c r="A31" s="177" t="s">
        <v>107</v>
      </c>
      <c r="B31" s="178" t="s">
        <v>288</v>
      </c>
      <c r="C31" s="606">
        <v>1800</v>
      </c>
      <c r="D31" s="607">
        <v>1800</v>
      </c>
    </row>
    <row r="32" spans="1:7">
      <c r="A32" s="177" t="s">
        <v>108</v>
      </c>
      <c r="B32" s="178" t="s">
        <v>260</v>
      </c>
      <c r="C32" s="606"/>
      <c r="D32" s="607"/>
    </row>
    <row r="33" spans="1:7">
      <c r="A33" s="177" t="s">
        <v>109</v>
      </c>
      <c r="B33" s="178" t="s">
        <v>261</v>
      </c>
      <c r="C33" s="606"/>
      <c r="D33" s="607"/>
    </row>
    <row r="34" spans="1:7">
      <c r="A34" s="177" t="s">
        <v>110</v>
      </c>
      <c r="B34" s="178" t="s">
        <v>262</v>
      </c>
      <c r="C34" s="606">
        <v>2000</v>
      </c>
      <c r="D34" s="607">
        <v>2000</v>
      </c>
      <c r="G34" s="607">
        <f>C17+C19+C21+C25+C28+C31+C34+C35+C36+C37+C38+C10</f>
        <v>33000</v>
      </c>
    </row>
    <row r="35" spans="1:7">
      <c r="A35" s="177" t="s">
        <v>111</v>
      </c>
      <c r="B35" s="178" t="s">
        <v>263</v>
      </c>
      <c r="C35" s="606">
        <v>1000</v>
      </c>
      <c r="D35" s="607">
        <v>1000</v>
      </c>
    </row>
    <row r="36" spans="1:7">
      <c r="A36" s="177" t="s">
        <v>112</v>
      </c>
      <c r="B36" s="178" t="s">
        <v>264</v>
      </c>
      <c r="C36" s="606">
        <v>3000</v>
      </c>
      <c r="D36" s="607">
        <v>3000</v>
      </c>
    </row>
    <row r="37" spans="1:7">
      <c r="A37" s="177" t="s">
        <v>113</v>
      </c>
      <c r="B37" s="178" t="s">
        <v>265</v>
      </c>
      <c r="C37" s="606">
        <v>2000</v>
      </c>
      <c r="D37" s="607">
        <v>2000</v>
      </c>
    </row>
    <row r="38" spans="1:7">
      <c r="A38" s="177" t="s">
        <v>114</v>
      </c>
      <c r="B38" s="178" t="s">
        <v>266</v>
      </c>
      <c r="C38" s="606">
        <v>1000</v>
      </c>
      <c r="D38" s="607">
        <v>1000</v>
      </c>
    </row>
    <row r="39" spans="1:7">
      <c r="A39" s="177" t="s">
        <v>115</v>
      </c>
      <c r="B39" s="178" t="s">
        <v>267</v>
      </c>
      <c r="C39" s="606">
        <v>0</v>
      </c>
      <c r="D39" s="607">
        <v>0</v>
      </c>
    </row>
    <row r="40" spans="1:7">
      <c r="A40" s="177" t="s">
        <v>116</v>
      </c>
      <c r="B40" s="178" t="s">
        <v>524</v>
      </c>
      <c r="C40" s="606">
        <v>700</v>
      </c>
      <c r="D40" s="607">
        <v>700</v>
      </c>
    </row>
    <row r="41" spans="1:7">
      <c r="A41" s="177" t="s">
        <v>117</v>
      </c>
      <c r="B41" s="178" t="s">
        <v>268</v>
      </c>
      <c r="C41" s="606">
        <v>1000</v>
      </c>
      <c r="D41" s="607">
        <v>1000</v>
      </c>
    </row>
    <row r="42" spans="1:7">
      <c r="A42" s="177" t="s">
        <v>118</v>
      </c>
      <c r="B42" s="178" t="s">
        <v>269</v>
      </c>
      <c r="C42" s="606"/>
      <c r="D42" s="607"/>
    </row>
    <row r="43" spans="1:7">
      <c r="A43" s="177" t="s">
        <v>119</v>
      </c>
      <c r="B43" s="178" t="s">
        <v>343</v>
      </c>
      <c r="C43" s="606">
        <v>1000</v>
      </c>
      <c r="D43" s="607">
        <v>1000</v>
      </c>
    </row>
    <row r="44" spans="1:7">
      <c r="A44" s="177" t="s">
        <v>120</v>
      </c>
      <c r="B44" s="178" t="s">
        <v>344</v>
      </c>
      <c r="C44" s="606"/>
      <c r="D44" s="607"/>
    </row>
    <row r="45" spans="1:7">
      <c r="A45" s="177" t="s">
        <v>121</v>
      </c>
      <c r="B45" s="178" t="s">
        <v>270</v>
      </c>
      <c r="C45" s="606"/>
      <c r="D45" s="607"/>
    </row>
    <row r="46" spans="1:7" ht="12.6" thickBot="1">
      <c r="A46" s="179"/>
      <c r="B46" s="180" t="s">
        <v>342</v>
      </c>
      <c r="C46" s="609">
        <f>SUM(C7:C45)</f>
        <v>73150</v>
      </c>
      <c r="D46" s="610">
        <f>SUM(D7:D45)</f>
        <v>73150</v>
      </c>
    </row>
    <row r="47" spans="1:7" ht="12.6" thickTop="1">
      <c r="A47" s="177"/>
      <c r="B47" s="178"/>
      <c r="C47" s="72"/>
    </row>
    <row r="48" spans="1:7">
      <c r="B48" s="186" t="s">
        <v>341</v>
      </c>
    </row>
    <row r="53" outlineLevel="1"/>
    <row r="54" outlineLevel="1"/>
    <row r="55" outlineLevel="1"/>
    <row r="56" outlineLevel="1"/>
    <row r="57" outlineLevel="1"/>
  </sheetData>
  <conditionalFormatting sqref="K1:K1048576">
    <cfRule type="cellIs" dxfId="8" priority="1" operator="lessThan">
      <formula>0</formula>
    </cfRule>
  </conditionalFormatting>
  <pageMargins left="0.25" right="0.25" top="0.75" bottom="0.75" header="0.3" footer="0.3"/>
  <pageSetup fitToWidth="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3:O63"/>
  <sheetViews>
    <sheetView zoomScale="80" zoomScaleNormal="80" workbookViewId="0">
      <pane ySplit="7" topLeftCell="A8" activePane="bottomLeft" state="frozen"/>
      <selection pane="bottomLeft" activeCell="N27" sqref="N27"/>
    </sheetView>
  </sheetViews>
  <sheetFormatPr defaultColWidth="28.6640625" defaultRowHeight="11.4"/>
  <cols>
    <col min="1" max="1" width="3.5546875" style="69" customWidth="1"/>
    <col min="2" max="2" width="30.109375" style="161" customWidth="1"/>
    <col min="3" max="3" width="24" style="161" customWidth="1"/>
    <col min="4" max="4" width="15.44140625" style="162" customWidth="1"/>
    <col min="5" max="5" width="15.6640625" style="162" customWidth="1"/>
    <col min="6" max="7" width="13" style="162" customWidth="1"/>
    <col min="8" max="8" width="12" style="162" customWidth="1"/>
    <col min="9" max="9" width="15.88671875" style="162" customWidth="1"/>
    <col min="10" max="10" width="15.5546875" style="162" customWidth="1"/>
    <col min="11" max="11" width="17.33203125" style="162" customWidth="1"/>
    <col min="12" max="12" width="12.44140625" style="162" customWidth="1"/>
    <col min="13" max="13" width="13" style="162" customWidth="1"/>
    <col min="14" max="14" width="25.6640625" style="184" customWidth="1"/>
    <col min="15" max="16384" width="28.6640625" style="69"/>
  </cols>
  <sheetData>
    <row r="3" spans="2:15" ht="12">
      <c r="B3" s="69"/>
      <c r="C3" s="1397" t="s">
        <v>271</v>
      </c>
      <c r="D3" s="1397"/>
      <c r="E3" s="1397"/>
      <c r="F3" s="1397"/>
      <c r="G3" s="1397"/>
      <c r="H3" s="1397"/>
      <c r="I3" s="1397"/>
      <c r="J3" s="1397"/>
      <c r="K3" s="1397"/>
      <c r="L3" s="70"/>
      <c r="M3" s="71"/>
      <c r="N3" s="181"/>
      <c r="O3" s="72"/>
    </row>
    <row r="4" spans="2:15" ht="12">
      <c r="B4" s="69"/>
      <c r="C4" s="1398" t="s">
        <v>630</v>
      </c>
      <c r="D4" s="1398"/>
      <c r="E4" s="1398"/>
      <c r="F4" s="1398"/>
      <c r="G4" s="1398"/>
      <c r="H4" s="1398"/>
      <c r="I4" s="1398"/>
      <c r="J4" s="1398"/>
      <c r="K4" s="1398"/>
      <c r="L4" s="73"/>
      <c r="M4" s="74"/>
      <c r="N4" s="88"/>
      <c r="O4" s="75"/>
    </row>
    <row r="5" spans="2:15" ht="12">
      <c r="B5" s="76"/>
      <c r="L5" s="73"/>
      <c r="M5" s="74"/>
      <c r="N5" s="88"/>
      <c r="O5" s="75"/>
    </row>
    <row r="6" spans="2:15" ht="12.6" thickBot="1">
      <c r="B6" s="76" t="s">
        <v>272</v>
      </c>
      <c r="C6" s="1399"/>
      <c r="D6" s="1399"/>
      <c r="E6" s="1399"/>
      <c r="F6" s="1399"/>
      <c r="G6" s="1399"/>
      <c r="H6" s="1399"/>
      <c r="I6" s="1399"/>
      <c r="J6" s="1399"/>
      <c r="K6" s="1399"/>
      <c r="L6" s="73"/>
      <c r="M6" s="74"/>
      <c r="N6" s="88"/>
      <c r="O6" s="75"/>
    </row>
    <row r="7" spans="2:15" ht="13.8">
      <c r="B7" s="80" t="s">
        <v>273</v>
      </c>
      <c r="C7" s="81" t="s">
        <v>274</v>
      </c>
      <c r="D7" s="82" t="s">
        <v>275</v>
      </c>
      <c r="E7" s="82" t="s">
        <v>157</v>
      </c>
      <c r="F7" s="82">
        <v>1</v>
      </c>
      <c r="G7" s="82">
        <v>2</v>
      </c>
      <c r="H7" s="82">
        <v>3</v>
      </c>
      <c r="I7" s="82">
        <v>4</v>
      </c>
      <c r="J7" s="82">
        <v>5</v>
      </c>
      <c r="K7" s="82" t="s">
        <v>327</v>
      </c>
      <c r="L7" s="82" t="s">
        <v>328</v>
      </c>
      <c r="M7" s="83" t="s">
        <v>329</v>
      </c>
      <c r="N7" s="182" t="s">
        <v>276</v>
      </c>
      <c r="O7" s="75"/>
    </row>
    <row r="8" spans="2:15" ht="37.950000000000003" customHeight="1">
      <c r="B8" s="90" t="s">
        <v>277</v>
      </c>
      <c r="C8" s="91" t="s">
        <v>278</v>
      </c>
      <c r="D8" s="341">
        <v>15</v>
      </c>
      <c r="E8" s="341">
        <v>15</v>
      </c>
      <c r="F8" s="341">
        <v>15</v>
      </c>
      <c r="G8" s="341">
        <v>15</v>
      </c>
      <c r="H8" s="341">
        <v>15</v>
      </c>
      <c r="I8" s="341">
        <v>15</v>
      </c>
      <c r="J8" s="341">
        <v>15</v>
      </c>
      <c r="K8" s="341">
        <v>15</v>
      </c>
      <c r="L8" s="341">
        <v>0</v>
      </c>
      <c r="M8" s="630">
        <v>0</v>
      </c>
      <c r="N8" s="217" t="s">
        <v>518</v>
      </c>
      <c r="O8" s="89"/>
    </row>
    <row r="9" spans="2:15" ht="37.950000000000003" customHeight="1">
      <c r="B9" s="90" t="s">
        <v>515</v>
      </c>
      <c r="C9" s="91" t="s">
        <v>516</v>
      </c>
      <c r="D9" s="341">
        <v>0</v>
      </c>
      <c r="E9" s="341">
        <v>0</v>
      </c>
      <c r="F9" s="341">
        <v>0</v>
      </c>
      <c r="G9" s="341">
        <v>0</v>
      </c>
      <c r="H9" s="341">
        <v>0</v>
      </c>
      <c r="I9" s="341">
        <v>0</v>
      </c>
      <c r="J9" s="341">
        <v>0</v>
      </c>
      <c r="K9" s="341">
        <v>0</v>
      </c>
      <c r="L9" s="341">
        <v>0</v>
      </c>
      <c r="M9" s="630">
        <v>0</v>
      </c>
      <c r="N9" s="217"/>
      <c r="O9" s="89"/>
    </row>
    <row r="10" spans="2:15" ht="34.950000000000003" customHeight="1">
      <c r="B10" s="90" t="s">
        <v>279</v>
      </c>
      <c r="C10" s="91" t="s">
        <v>517</v>
      </c>
      <c r="D10" s="341">
        <v>8</v>
      </c>
      <c r="E10" s="341">
        <v>8</v>
      </c>
      <c r="F10" s="885">
        <v>8</v>
      </c>
      <c r="G10" s="885">
        <v>8</v>
      </c>
      <c r="H10" s="885">
        <v>8</v>
      </c>
      <c r="I10" s="885">
        <v>8</v>
      </c>
      <c r="J10" s="885">
        <v>8</v>
      </c>
      <c r="K10" s="885">
        <v>8</v>
      </c>
      <c r="L10" s="885">
        <v>5</v>
      </c>
      <c r="M10" s="886">
        <v>5</v>
      </c>
      <c r="N10" s="216" t="s">
        <v>538</v>
      </c>
      <c r="O10" s="89"/>
    </row>
    <row r="11" spans="2:15" ht="48">
      <c r="B11" s="90" t="s">
        <v>281</v>
      </c>
      <c r="C11" s="91" t="s">
        <v>622</v>
      </c>
      <c r="D11" s="341">
        <v>25</v>
      </c>
      <c r="E11" s="341">
        <v>25</v>
      </c>
      <c r="F11" s="341">
        <v>25</v>
      </c>
      <c r="G11" s="341">
        <v>25</v>
      </c>
      <c r="H11" s="341">
        <v>25</v>
      </c>
      <c r="I11" s="341">
        <v>25</v>
      </c>
      <c r="J11" s="341">
        <v>25</v>
      </c>
      <c r="K11" s="341">
        <v>25</v>
      </c>
      <c r="L11" s="341">
        <v>15</v>
      </c>
      <c r="M11" s="630">
        <v>15</v>
      </c>
      <c r="N11" s="217" t="s">
        <v>537</v>
      </c>
      <c r="O11" s="89"/>
    </row>
    <row r="12" spans="2:15" ht="28.5" customHeight="1">
      <c r="B12" s="90" t="s">
        <v>523</v>
      </c>
      <c r="C12" s="91" t="s">
        <v>450</v>
      </c>
      <c r="D12" s="92">
        <v>1</v>
      </c>
      <c r="E12" s="92">
        <v>2</v>
      </c>
      <c r="F12" s="92">
        <v>3</v>
      </c>
      <c r="G12" s="92">
        <v>3</v>
      </c>
      <c r="H12" s="92">
        <v>3</v>
      </c>
      <c r="I12" s="92">
        <v>2</v>
      </c>
      <c r="J12" s="92">
        <v>2</v>
      </c>
      <c r="K12" s="92">
        <v>2</v>
      </c>
      <c r="L12" s="92">
        <v>0</v>
      </c>
      <c r="M12" s="95">
        <v>0</v>
      </c>
      <c r="N12" s="217" t="s">
        <v>525</v>
      </c>
      <c r="O12" s="96"/>
    </row>
    <row r="13" spans="2:15" ht="30" customHeight="1">
      <c r="B13" s="90" t="s">
        <v>451</v>
      </c>
      <c r="C13" s="91" t="s">
        <v>286</v>
      </c>
      <c r="D13" s="341">
        <v>0</v>
      </c>
      <c r="E13" s="341">
        <v>5.25</v>
      </c>
      <c r="F13" s="341">
        <v>7</v>
      </c>
      <c r="G13" s="341">
        <v>7</v>
      </c>
      <c r="H13" s="341">
        <v>7</v>
      </c>
      <c r="I13" s="341">
        <v>7</v>
      </c>
      <c r="J13" s="341">
        <v>7</v>
      </c>
      <c r="K13" s="341">
        <v>7</v>
      </c>
      <c r="L13" s="341">
        <v>3.5</v>
      </c>
      <c r="M13" s="630">
        <v>3.5</v>
      </c>
      <c r="N13" s="217" t="s">
        <v>452</v>
      </c>
      <c r="O13" s="89"/>
    </row>
    <row r="14" spans="2:15" ht="28.2" customHeight="1">
      <c r="B14" s="90" t="s">
        <v>521</v>
      </c>
      <c r="C14" s="91" t="s">
        <v>522</v>
      </c>
      <c r="D14" s="341">
        <v>0</v>
      </c>
      <c r="E14" s="341">
        <v>0</v>
      </c>
      <c r="F14" s="341">
        <v>0</v>
      </c>
      <c r="G14" s="341">
        <v>0</v>
      </c>
      <c r="H14" s="341">
        <v>0</v>
      </c>
      <c r="I14" s="341">
        <v>0</v>
      </c>
      <c r="J14" s="341">
        <v>0</v>
      </c>
      <c r="K14" s="341">
        <v>0</v>
      </c>
      <c r="L14" s="341">
        <v>0</v>
      </c>
      <c r="M14" s="630">
        <v>0</v>
      </c>
      <c r="N14" s="217"/>
      <c r="O14" s="89">
        <v>15</v>
      </c>
    </row>
    <row r="15" spans="2:15" ht="28.5" customHeight="1">
      <c r="B15" s="90" t="s">
        <v>288</v>
      </c>
      <c r="C15" s="91" t="s">
        <v>289</v>
      </c>
      <c r="D15" s="92">
        <v>0</v>
      </c>
      <c r="E15" s="92">
        <v>0</v>
      </c>
      <c r="F15" s="92">
        <v>0</v>
      </c>
      <c r="G15" s="92">
        <v>0</v>
      </c>
      <c r="H15" s="92">
        <v>0</v>
      </c>
      <c r="I15" s="97" t="s">
        <v>292</v>
      </c>
      <c r="J15" s="97" t="s">
        <v>292</v>
      </c>
      <c r="K15" s="97" t="s">
        <v>292</v>
      </c>
      <c r="L15" s="97" t="s">
        <v>292</v>
      </c>
      <c r="M15" s="97" t="s">
        <v>292</v>
      </c>
      <c r="N15" s="217" t="s">
        <v>532</v>
      </c>
      <c r="O15" s="89"/>
    </row>
    <row r="16" spans="2:15" ht="31.5" customHeight="1">
      <c r="B16" s="90" t="s">
        <v>290</v>
      </c>
      <c r="C16" s="91" t="s">
        <v>291</v>
      </c>
      <c r="D16" s="92">
        <v>0</v>
      </c>
      <c r="E16" s="92">
        <v>0</v>
      </c>
      <c r="F16" s="92">
        <v>0</v>
      </c>
      <c r="G16" s="92">
        <v>0</v>
      </c>
      <c r="H16" s="92">
        <v>0</v>
      </c>
      <c r="I16" s="97" t="s">
        <v>292</v>
      </c>
      <c r="J16" s="97" t="s">
        <v>292</v>
      </c>
      <c r="K16" s="97" t="s">
        <v>292</v>
      </c>
      <c r="L16" s="97" t="s">
        <v>292</v>
      </c>
      <c r="M16" s="97" t="s">
        <v>292</v>
      </c>
      <c r="N16" s="217" t="s">
        <v>536</v>
      </c>
      <c r="O16" s="96"/>
    </row>
    <row r="17" spans="2:15" ht="36" customHeight="1">
      <c r="B17" s="90" t="s">
        <v>293</v>
      </c>
      <c r="C17" s="91" t="s">
        <v>294</v>
      </c>
      <c r="D17" s="92">
        <v>0</v>
      </c>
      <c r="E17" s="92">
        <v>0</v>
      </c>
      <c r="F17" s="92">
        <v>0</v>
      </c>
      <c r="G17" s="92">
        <v>0</v>
      </c>
      <c r="H17" s="92">
        <v>0</v>
      </c>
      <c r="I17" s="97" t="s">
        <v>292</v>
      </c>
      <c r="J17" s="97" t="s">
        <v>292</v>
      </c>
      <c r="K17" s="97" t="s">
        <v>292</v>
      </c>
      <c r="L17" s="97" t="s">
        <v>292</v>
      </c>
      <c r="M17" s="97" t="s">
        <v>292</v>
      </c>
      <c r="N17" s="217" t="s">
        <v>526</v>
      </c>
      <c r="O17" s="89"/>
    </row>
    <row r="18" spans="2:15" ht="36">
      <c r="B18" s="90" t="s">
        <v>295</v>
      </c>
      <c r="C18" s="91" t="s">
        <v>353</v>
      </c>
      <c r="D18" s="92">
        <v>0</v>
      </c>
      <c r="E18" s="93">
        <v>0</v>
      </c>
      <c r="F18" s="92">
        <v>0</v>
      </c>
      <c r="G18" s="92">
        <v>0</v>
      </c>
      <c r="H18" s="92">
        <v>0</v>
      </c>
      <c r="I18" s="97" t="s">
        <v>292</v>
      </c>
      <c r="J18" s="97" t="s">
        <v>292</v>
      </c>
      <c r="K18" s="97" t="s">
        <v>292</v>
      </c>
      <c r="L18" s="97" t="s">
        <v>292</v>
      </c>
      <c r="M18" s="97" t="s">
        <v>292</v>
      </c>
      <c r="N18" s="217" t="s">
        <v>535</v>
      </c>
      <c r="O18" s="96"/>
    </row>
    <row r="19" spans="2:15" ht="34.200000000000003" customHeight="1">
      <c r="B19" s="90" t="s">
        <v>296</v>
      </c>
      <c r="C19" s="91" t="s">
        <v>297</v>
      </c>
      <c r="D19" s="92">
        <v>0</v>
      </c>
      <c r="E19" s="92">
        <v>0</v>
      </c>
      <c r="F19" s="92">
        <v>0</v>
      </c>
      <c r="G19" s="92">
        <v>0</v>
      </c>
      <c r="H19" s="92">
        <v>0</v>
      </c>
      <c r="I19" s="92">
        <v>0</v>
      </c>
      <c r="J19" s="92">
        <v>0</v>
      </c>
      <c r="K19" s="92">
        <v>0</v>
      </c>
      <c r="L19" s="92">
        <v>0</v>
      </c>
      <c r="M19" s="95">
        <v>0</v>
      </c>
      <c r="N19" s="217" t="s">
        <v>532</v>
      </c>
      <c r="O19" s="89"/>
    </row>
    <row r="20" spans="2:15" ht="37.200000000000003" customHeight="1">
      <c r="B20" s="90" t="s">
        <v>298</v>
      </c>
      <c r="C20" s="91" t="s">
        <v>299</v>
      </c>
      <c r="D20" s="341">
        <v>5</v>
      </c>
      <c r="E20" s="341">
        <v>5</v>
      </c>
      <c r="F20" s="341">
        <v>5</v>
      </c>
      <c r="G20" s="341">
        <v>5</v>
      </c>
      <c r="H20" s="341">
        <v>5</v>
      </c>
      <c r="I20" s="341">
        <v>5</v>
      </c>
      <c r="J20" s="341">
        <v>5</v>
      </c>
      <c r="K20" s="341">
        <v>5</v>
      </c>
      <c r="L20" s="341">
        <v>5</v>
      </c>
      <c r="M20" s="630">
        <v>5</v>
      </c>
      <c r="N20" s="217" t="s">
        <v>534</v>
      </c>
      <c r="O20" s="96"/>
    </row>
    <row r="21" spans="2:15" ht="33" customHeight="1">
      <c r="B21" s="595" t="s">
        <v>300</v>
      </c>
      <c r="C21" s="111" t="s">
        <v>301</v>
      </c>
      <c r="D21" s="596">
        <v>0</v>
      </c>
      <c r="E21" s="596">
        <v>0</v>
      </c>
      <c r="F21" s="596">
        <v>0</v>
      </c>
      <c r="G21" s="596">
        <v>0</v>
      </c>
      <c r="H21" s="596">
        <v>0</v>
      </c>
      <c r="I21" s="596">
        <v>0</v>
      </c>
      <c r="J21" s="596">
        <v>0</v>
      </c>
      <c r="K21" s="879">
        <v>0</v>
      </c>
      <c r="L21" s="879">
        <v>10</v>
      </c>
      <c r="M21" s="880">
        <v>10</v>
      </c>
      <c r="N21" s="217" t="s">
        <v>533</v>
      </c>
      <c r="O21" s="89"/>
    </row>
    <row r="22" spans="2:15" ht="31.95" customHeight="1">
      <c r="B22" s="595" t="s">
        <v>457</v>
      </c>
      <c r="C22" s="111" t="s">
        <v>519</v>
      </c>
      <c r="D22" s="879">
        <v>40</v>
      </c>
      <c r="E22" s="879">
        <v>40</v>
      </c>
      <c r="F22" s="879">
        <v>40</v>
      </c>
      <c r="G22" s="879">
        <v>40</v>
      </c>
      <c r="H22" s="879">
        <v>40</v>
      </c>
      <c r="I22" s="879">
        <v>40</v>
      </c>
      <c r="J22" s="879">
        <v>40</v>
      </c>
      <c r="K22" s="879">
        <v>40</v>
      </c>
      <c r="L22" s="879">
        <v>40</v>
      </c>
      <c r="M22" s="880">
        <v>40</v>
      </c>
      <c r="N22" s="218"/>
      <c r="O22" s="89"/>
    </row>
    <row r="23" spans="2:15" ht="32.700000000000003" customHeight="1" thickBot="1">
      <c r="B23" s="145" t="s">
        <v>458</v>
      </c>
      <c r="C23" s="115" t="s">
        <v>459</v>
      </c>
      <c r="D23" s="116">
        <v>40</v>
      </c>
      <c r="E23" s="116">
        <v>40</v>
      </c>
      <c r="F23" s="116">
        <v>40</v>
      </c>
      <c r="G23" s="116">
        <v>40</v>
      </c>
      <c r="H23" s="116">
        <v>40</v>
      </c>
      <c r="I23" s="116">
        <v>40</v>
      </c>
      <c r="J23" s="116">
        <v>40</v>
      </c>
      <c r="K23" s="116">
        <v>40</v>
      </c>
      <c r="L23" s="116">
        <v>40</v>
      </c>
      <c r="M23" s="597">
        <v>40</v>
      </c>
      <c r="N23" s="217" t="s">
        <v>527</v>
      </c>
      <c r="O23" s="89"/>
    </row>
    <row r="24" spans="2:15" ht="27.75" customHeight="1" thickBot="1">
      <c r="B24" s="598" t="s">
        <v>302</v>
      </c>
      <c r="C24" s="599"/>
      <c r="D24" s="1159">
        <f>SUM(D8:D21)</f>
        <v>54</v>
      </c>
      <c r="E24" s="600">
        <f t="shared" ref="E24:M24" si="0">SUM(E8:E21)</f>
        <v>60.25</v>
      </c>
      <c r="F24" s="600">
        <f t="shared" si="0"/>
        <v>63</v>
      </c>
      <c r="G24" s="600">
        <f t="shared" si="0"/>
        <v>63</v>
      </c>
      <c r="H24" s="600">
        <f t="shared" si="0"/>
        <v>63</v>
      </c>
      <c r="I24" s="600">
        <f>SUM(I8:I21)</f>
        <v>62</v>
      </c>
      <c r="J24" s="600">
        <f t="shared" si="0"/>
        <v>62</v>
      </c>
      <c r="K24" s="600">
        <f t="shared" si="0"/>
        <v>62</v>
      </c>
      <c r="L24" s="600">
        <f t="shared" si="0"/>
        <v>38.5</v>
      </c>
      <c r="M24" s="600">
        <f t="shared" si="0"/>
        <v>38.5</v>
      </c>
      <c r="N24" s="183"/>
      <c r="O24" s="89"/>
    </row>
    <row r="25" spans="2:15" ht="27.75" customHeight="1" thickTop="1">
      <c r="B25" s="190"/>
      <c r="C25" s="624" t="s">
        <v>629</v>
      </c>
      <c r="D25" s="625">
        <v>46.5</v>
      </c>
      <c r="E25" s="626">
        <v>104.75</v>
      </c>
      <c r="F25" s="626">
        <v>120.25</v>
      </c>
      <c r="G25" s="626">
        <v>120.25</v>
      </c>
      <c r="H25" s="626">
        <v>115.25</v>
      </c>
      <c r="I25" s="626">
        <v>117.25</v>
      </c>
      <c r="J25" s="626">
        <v>117.25</v>
      </c>
      <c r="K25" s="626">
        <v>125</v>
      </c>
      <c r="L25" s="626">
        <v>125</v>
      </c>
      <c r="M25" s="627">
        <v>125</v>
      </c>
      <c r="N25" s="183"/>
      <c r="O25" s="89"/>
    </row>
    <row r="26" spans="2:15" ht="33" customHeight="1" thickBot="1">
      <c r="B26" s="1400"/>
      <c r="C26" s="1401"/>
      <c r="D26" s="1401"/>
      <c r="E26" s="1401"/>
      <c r="F26" s="1401"/>
      <c r="G26" s="1401"/>
      <c r="H26" s="1401"/>
      <c r="I26" s="1401"/>
      <c r="J26" s="1401"/>
      <c r="K26" s="1401"/>
      <c r="L26" s="1401"/>
      <c r="M26" s="1402"/>
      <c r="N26" s="183"/>
      <c r="O26" s="89"/>
    </row>
    <row r="27" spans="2:15" ht="12">
      <c r="B27" s="1403" t="s">
        <v>303</v>
      </c>
      <c r="C27" s="1404"/>
      <c r="D27" s="1404"/>
      <c r="E27" s="1404"/>
      <c r="F27" s="1404"/>
      <c r="G27" s="1404"/>
      <c r="H27" s="1404"/>
      <c r="I27" s="1404"/>
      <c r="J27" s="1404"/>
      <c r="K27" s="1404"/>
      <c r="L27" s="1404"/>
      <c r="M27" s="1405"/>
      <c r="N27" s="183"/>
      <c r="O27" s="89"/>
    </row>
    <row r="28" spans="2:15" ht="12">
      <c r="B28" s="108" t="s">
        <v>340</v>
      </c>
      <c r="C28" s="109" t="s">
        <v>453</v>
      </c>
      <c r="D28" s="93">
        <v>0</v>
      </c>
      <c r="E28" s="93">
        <v>0</v>
      </c>
      <c r="F28" s="93">
        <v>0</v>
      </c>
      <c r="G28" s="93">
        <v>0</v>
      </c>
      <c r="H28" s="93">
        <v>0</v>
      </c>
      <c r="I28" s="93">
        <v>0</v>
      </c>
      <c r="J28" s="93">
        <v>0</v>
      </c>
      <c r="K28" s="454">
        <v>300</v>
      </c>
      <c r="L28" s="93">
        <v>0</v>
      </c>
      <c r="M28" s="94">
        <v>0</v>
      </c>
      <c r="N28" s="183"/>
      <c r="O28" s="89"/>
    </row>
    <row r="29" spans="2:15" ht="48.6" thickBot="1">
      <c r="B29" s="110" t="s">
        <v>330</v>
      </c>
      <c r="C29" s="111" t="s">
        <v>304</v>
      </c>
      <c r="D29" s="112">
        <v>0</v>
      </c>
      <c r="E29" s="112">
        <v>50</v>
      </c>
      <c r="F29" s="112">
        <v>50</v>
      </c>
      <c r="G29" s="112">
        <v>50</v>
      </c>
      <c r="H29" s="112">
        <v>50</v>
      </c>
      <c r="I29" s="112">
        <v>100</v>
      </c>
      <c r="J29" s="112">
        <v>100</v>
      </c>
      <c r="K29" s="112" t="s">
        <v>338</v>
      </c>
      <c r="L29" s="112" t="s">
        <v>338</v>
      </c>
      <c r="M29" s="113" t="s">
        <v>339</v>
      </c>
      <c r="N29" s="183"/>
      <c r="O29" s="89"/>
    </row>
    <row r="30" spans="2:15" ht="12">
      <c r="B30" s="1403" t="s">
        <v>305</v>
      </c>
      <c r="C30" s="1404"/>
      <c r="D30" s="1404"/>
      <c r="E30" s="1404"/>
      <c r="F30" s="1404"/>
      <c r="G30" s="1404"/>
      <c r="H30" s="1404"/>
      <c r="I30" s="1404"/>
      <c r="J30" s="1404"/>
      <c r="K30" s="1404"/>
      <c r="L30" s="1404"/>
      <c r="M30" s="1405"/>
      <c r="N30" s="183"/>
      <c r="O30" s="89"/>
    </row>
    <row r="31" spans="2:15" ht="36.6" thickBot="1">
      <c r="B31" s="114" t="s">
        <v>331</v>
      </c>
      <c r="C31" s="115" t="s">
        <v>306</v>
      </c>
      <c r="D31" s="116">
        <v>0</v>
      </c>
      <c r="E31" s="116">
        <v>0</v>
      </c>
      <c r="F31" s="116">
        <v>0</v>
      </c>
      <c r="G31" s="116">
        <v>0</v>
      </c>
      <c r="H31" s="116">
        <v>0</v>
      </c>
      <c r="I31" s="116">
        <v>0</v>
      </c>
      <c r="J31" s="116">
        <v>0</v>
      </c>
      <c r="K31" s="116" t="s">
        <v>307</v>
      </c>
      <c r="L31" s="117" t="s">
        <v>307</v>
      </c>
      <c r="M31" s="118" t="s">
        <v>307</v>
      </c>
      <c r="N31" s="183"/>
      <c r="O31" s="89"/>
    </row>
    <row r="32" spans="2:15" ht="12.6" thickBot="1">
      <c r="B32" s="76"/>
      <c r="C32" s="77"/>
      <c r="D32" s="78"/>
      <c r="E32" s="78"/>
      <c r="F32" s="78"/>
      <c r="G32" s="78"/>
      <c r="H32" s="78"/>
      <c r="I32" s="78"/>
      <c r="J32" s="78"/>
      <c r="K32" s="79"/>
      <c r="L32" s="73"/>
      <c r="M32" s="119"/>
      <c r="N32" s="183"/>
      <c r="O32" s="96"/>
    </row>
    <row r="33" spans="2:15" ht="12">
      <c r="B33" s="120" t="s">
        <v>415</v>
      </c>
      <c r="C33" s="120" t="s">
        <v>415</v>
      </c>
      <c r="D33" s="121" t="s">
        <v>446</v>
      </c>
      <c r="E33" s="123" t="s">
        <v>448</v>
      </c>
      <c r="F33" s="206" t="s">
        <v>134</v>
      </c>
      <c r="G33" s="78"/>
      <c r="H33" s="78"/>
      <c r="I33" s="78"/>
      <c r="J33" s="78"/>
      <c r="K33" s="79"/>
      <c r="L33" s="73"/>
      <c r="M33" s="119"/>
      <c r="N33" s="183"/>
      <c r="O33" s="96"/>
    </row>
    <row r="34" spans="2:15" ht="14.7" customHeight="1">
      <c r="B34" s="124" t="s">
        <v>308</v>
      </c>
      <c r="C34" s="124" t="s">
        <v>308</v>
      </c>
      <c r="D34" s="125">
        <v>1100</v>
      </c>
      <c r="E34" s="208">
        <v>750</v>
      </c>
      <c r="F34" s="1157" t="s">
        <v>709</v>
      </c>
      <c r="G34" s="1158"/>
      <c r="H34" s="1158"/>
      <c r="I34" s="78"/>
      <c r="J34" s="78"/>
      <c r="K34" s="79"/>
      <c r="L34" s="73"/>
      <c r="M34" s="119"/>
      <c r="N34" s="421"/>
      <c r="O34" s="96"/>
    </row>
    <row r="35" spans="2:15" ht="12.6" thickBot="1">
      <c r="B35" s="126" t="s">
        <v>177</v>
      </c>
      <c r="C35" s="126" t="s">
        <v>177</v>
      </c>
      <c r="D35" s="127">
        <v>11000</v>
      </c>
      <c r="E35" s="128">
        <v>7500</v>
      </c>
      <c r="F35" s="207" t="s">
        <v>134</v>
      </c>
      <c r="G35" s="78"/>
      <c r="H35" s="78"/>
      <c r="I35" s="78"/>
      <c r="J35" s="78"/>
      <c r="K35" s="79"/>
      <c r="L35" s="73"/>
      <c r="M35" s="119"/>
      <c r="N35" s="421"/>
      <c r="O35" s="96"/>
    </row>
    <row r="36" spans="2:15" ht="12">
      <c r="B36" s="120" t="s">
        <v>698</v>
      </c>
      <c r="C36" s="120" t="s">
        <v>698</v>
      </c>
      <c r="D36" s="121" t="s">
        <v>447</v>
      </c>
      <c r="E36" s="123" t="s">
        <v>449</v>
      </c>
      <c r="F36" s="207"/>
      <c r="G36" s="78"/>
      <c r="H36" s="78"/>
      <c r="I36" s="78"/>
      <c r="J36" s="78"/>
      <c r="K36" s="79"/>
      <c r="L36" s="73"/>
      <c r="M36" s="119"/>
      <c r="N36" s="421"/>
      <c r="O36" s="96"/>
    </row>
    <row r="37" spans="2:15" ht="15" customHeight="1">
      <c r="B37" s="124" t="s">
        <v>308</v>
      </c>
      <c r="C37" s="124" t="s">
        <v>308</v>
      </c>
      <c r="D37" s="125">
        <v>500</v>
      </c>
      <c r="E37" s="208">
        <v>150</v>
      </c>
      <c r="F37" s="422" t="s">
        <v>707</v>
      </c>
      <c r="G37" s="78"/>
      <c r="H37" s="78"/>
      <c r="I37" s="78"/>
      <c r="J37" s="78"/>
      <c r="K37" s="79"/>
      <c r="L37" s="73"/>
      <c r="M37" s="119"/>
      <c r="N37" s="421"/>
      <c r="O37" s="96"/>
    </row>
    <row r="38" spans="2:15" ht="12.6" thickBot="1">
      <c r="B38" s="126" t="s">
        <v>177</v>
      </c>
      <c r="C38" s="126" t="s">
        <v>177</v>
      </c>
      <c r="D38" s="127">
        <f>D37*10</f>
        <v>5000</v>
      </c>
      <c r="E38" s="128">
        <f>150*10</f>
        <v>1500</v>
      </c>
      <c r="F38" s="422" t="s">
        <v>708</v>
      </c>
      <c r="G38" s="78"/>
      <c r="H38" s="78"/>
      <c r="I38" s="78"/>
      <c r="J38" s="78"/>
      <c r="K38" s="79"/>
      <c r="L38" s="73"/>
      <c r="M38" s="119"/>
      <c r="N38" s="421"/>
      <c r="O38" s="96"/>
    </row>
    <row r="39" spans="2:15" ht="12.6" thickBot="1">
      <c r="B39" s="76"/>
      <c r="C39" s="77"/>
      <c r="D39" s="78"/>
      <c r="E39" s="78"/>
      <c r="F39" s="78"/>
      <c r="G39" s="78"/>
      <c r="H39" s="78"/>
      <c r="I39" s="78"/>
      <c r="J39" s="78"/>
      <c r="K39" s="79"/>
      <c r="L39" s="73"/>
      <c r="M39" s="119"/>
      <c r="N39" s="183"/>
      <c r="O39" s="89"/>
    </row>
    <row r="40" spans="2:15" ht="12">
      <c r="B40" s="129" t="s">
        <v>309</v>
      </c>
      <c r="C40" s="1387" t="s">
        <v>310</v>
      </c>
      <c r="D40" s="1388"/>
      <c r="E40" s="1388"/>
      <c r="F40" s="1388"/>
      <c r="G40" s="1389"/>
      <c r="H40" s="69"/>
      <c r="I40" s="1390" t="s">
        <v>311</v>
      </c>
      <c r="J40" s="1391"/>
      <c r="K40" s="1392"/>
      <c r="L40" s="130"/>
      <c r="M40" s="130"/>
      <c r="N40" s="183"/>
    </row>
    <row r="41" spans="2:15" ht="12">
      <c r="B41" s="131"/>
      <c r="C41" s="132" t="s">
        <v>312</v>
      </c>
      <c r="D41" s="132" t="s">
        <v>313</v>
      </c>
      <c r="E41" s="132" t="s">
        <v>314</v>
      </c>
      <c r="F41" s="132" t="s">
        <v>315</v>
      </c>
      <c r="G41" s="133" t="s">
        <v>316</v>
      </c>
      <c r="H41" s="69"/>
      <c r="I41" s="413" t="s">
        <v>317</v>
      </c>
      <c r="J41" s="132" t="s">
        <v>318</v>
      </c>
      <c r="K41" s="133" t="s">
        <v>319</v>
      </c>
      <c r="L41" s="130"/>
      <c r="M41" s="130"/>
      <c r="N41" s="183"/>
    </row>
    <row r="42" spans="2:15" ht="12">
      <c r="B42" s="134"/>
      <c r="C42" s="135"/>
      <c r="D42" s="135"/>
      <c r="E42" s="135"/>
      <c r="F42" s="135"/>
      <c r="G42" s="136"/>
      <c r="H42" s="69"/>
      <c r="I42" s="414" t="s">
        <v>320</v>
      </c>
      <c r="J42" s="137" t="s">
        <v>321</v>
      </c>
      <c r="K42" s="138" t="s">
        <v>322</v>
      </c>
      <c r="L42" s="130"/>
      <c r="M42" s="130"/>
      <c r="N42" s="183"/>
    </row>
    <row r="43" spans="2:15" ht="12">
      <c r="B43" s="90" t="s">
        <v>454</v>
      </c>
      <c r="C43" s="139">
        <v>65</v>
      </c>
      <c r="D43" s="139">
        <v>120</v>
      </c>
      <c r="E43" s="139">
        <v>175</v>
      </c>
      <c r="F43" s="139">
        <v>215</v>
      </c>
      <c r="G43" s="140">
        <v>255</v>
      </c>
      <c r="H43" s="69"/>
      <c r="I43" s="415" t="s">
        <v>323</v>
      </c>
      <c r="J43" s="141" t="s">
        <v>323</v>
      </c>
      <c r="K43" s="142" t="s">
        <v>324</v>
      </c>
      <c r="L43" s="143"/>
      <c r="M43" s="144"/>
    </row>
    <row r="44" spans="2:15" ht="12.6" thickBot="1">
      <c r="B44" s="145" t="s">
        <v>455</v>
      </c>
      <c r="C44" s="146">
        <v>130</v>
      </c>
      <c r="D44" s="146">
        <v>220</v>
      </c>
      <c r="E44" s="146">
        <v>300</v>
      </c>
      <c r="F44" s="146">
        <v>360</v>
      </c>
      <c r="G44" s="147">
        <v>410</v>
      </c>
      <c r="H44" s="69"/>
      <c r="I44" s="416">
        <v>20</v>
      </c>
      <c r="J44" s="166">
        <v>45</v>
      </c>
      <c r="K44" s="148">
        <v>590</v>
      </c>
      <c r="L44" s="149"/>
      <c r="M44" s="144"/>
    </row>
    <row r="45" spans="2:15" ht="12">
      <c r="B45" s="76"/>
      <c r="C45" s="77"/>
      <c r="D45" s="78"/>
      <c r="E45" s="78"/>
      <c r="F45" s="78"/>
      <c r="G45" s="78"/>
      <c r="H45" s="78"/>
      <c r="I45" s="78"/>
      <c r="J45" s="78"/>
      <c r="K45" s="79"/>
      <c r="L45" s="73"/>
      <c r="M45" s="119"/>
      <c r="N45" s="183"/>
      <c r="O45" s="89"/>
    </row>
    <row r="46" spans="2:15" ht="12" hidden="1">
      <c r="B46" s="150" t="s">
        <v>332</v>
      </c>
      <c r="C46" s="151"/>
      <c r="D46" s="122"/>
      <c r="E46" s="123"/>
      <c r="F46" s="78"/>
      <c r="G46" s="78"/>
      <c r="H46" s="78"/>
      <c r="I46" s="78"/>
      <c r="J46" s="78"/>
      <c r="K46" s="79"/>
      <c r="L46" s="73"/>
      <c r="M46" s="119"/>
      <c r="N46" s="183"/>
      <c r="O46" s="89"/>
    </row>
    <row r="47" spans="2:15" ht="12" hidden="1">
      <c r="B47" s="152"/>
      <c r="C47" s="153">
        <v>3343.44</v>
      </c>
      <c r="D47" s="1393" t="s">
        <v>325</v>
      </c>
      <c r="E47" s="1394"/>
      <c r="F47" s="78"/>
      <c r="G47" s="78"/>
      <c r="H47" s="78"/>
      <c r="I47" s="78"/>
      <c r="J47" s="78"/>
      <c r="K47" s="79"/>
      <c r="L47" s="73"/>
      <c r="M47" s="119"/>
      <c r="N47" s="183"/>
      <c r="O47" s="89"/>
    </row>
    <row r="48" spans="2:15" ht="12.6" hidden="1" thickBot="1">
      <c r="B48" s="154"/>
      <c r="C48" s="155">
        <v>334.34</v>
      </c>
      <c r="D48" s="1395" t="s">
        <v>326</v>
      </c>
      <c r="E48" s="1396"/>
      <c r="F48" s="78"/>
      <c r="G48" s="78"/>
      <c r="H48" s="78"/>
      <c r="I48" s="78"/>
      <c r="J48" s="78"/>
      <c r="K48" s="79"/>
      <c r="L48" s="73"/>
      <c r="M48" s="119"/>
      <c r="N48" s="183"/>
      <c r="O48" s="89"/>
    </row>
    <row r="49" spans="2:15" ht="12">
      <c r="B49" s="76"/>
      <c r="C49" s="77"/>
      <c r="D49" s="78"/>
      <c r="E49" s="78"/>
      <c r="F49" s="78"/>
      <c r="G49" s="78"/>
      <c r="H49" s="78"/>
      <c r="I49" s="78"/>
      <c r="J49" s="78"/>
      <c r="K49" s="79"/>
      <c r="L49" s="73"/>
      <c r="M49" s="119"/>
      <c r="N49" s="183"/>
      <c r="O49" s="89"/>
    </row>
    <row r="50" spans="2:15" ht="12">
      <c r="B50" s="76"/>
      <c r="C50" s="77"/>
      <c r="D50" s="78"/>
      <c r="E50" s="78"/>
      <c r="F50" s="78"/>
      <c r="G50" s="78"/>
      <c r="H50" s="78"/>
      <c r="I50" s="78"/>
      <c r="J50" s="78"/>
      <c r="K50" s="79"/>
      <c r="L50" s="73"/>
      <c r="M50" s="119"/>
      <c r="N50" s="183"/>
      <c r="O50" s="89"/>
    </row>
    <row r="51" spans="2:15" ht="12">
      <c r="B51" s="76"/>
      <c r="C51" s="77"/>
      <c r="D51" s="78"/>
      <c r="E51" s="78"/>
      <c r="F51" s="78"/>
      <c r="G51" s="78"/>
      <c r="H51" s="78"/>
      <c r="I51" s="78"/>
      <c r="J51" s="78"/>
      <c r="K51" s="79"/>
      <c r="L51" s="73"/>
      <c r="M51" s="119"/>
      <c r="N51" s="183"/>
      <c r="O51" s="89"/>
    </row>
    <row r="52" spans="2:15" ht="12">
      <c r="B52" s="76"/>
      <c r="C52" s="77"/>
      <c r="D52" s="78"/>
      <c r="E52" s="78"/>
      <c r="F52" s="78"/>
      <c r="G52" s="78"/>
      <c r="H52" s="78"/>
      <c r="I52" s="78"/>
      <c r="J52" s="78"/>
      <c r="K52" s="79"/>
      <c r="L52" s="73"/>
      <c r="M52" s="119"/>
      <c r="N52" s="183"/>
      <c r="O52" s="89"/>
    </row>
    <row r="53" spans="2:15" ht="12">
      <c r="B53" s="76"/>
      <c r="C53" s="77"/>
      <c r="D53" s="78"/>
      <c r="E53" s="78"/>
      <c r="F53" s="78"/>
      <c r="G53" s="78"/>
      <c r="H53" s="78"/>
      <c r="I53" s="78"/>
      <c r="J53" s="78"/>
      <c r="K53" s="79"/>
      <c r="L53" s="73"/>
      <c r="M53" s="119"/>
      <c r="N53" s="183"/>
      <c r="O53" s="89"/>
    </row>
    <row r="54" spans="2:15" ht="12">
      <c r="B54" s="76"/>
      <c r="C54" s="77"/>
      <c r="D54" s="78"/>
      <c r="E54" s="78"/>
      <c r="F54" s="78"/>
      <c r="G54" s="78"/>
      <c r="H54" s="78"/>
      <c r="I54" s="78"/>
      <c r="J54" s="78"/>
      <c r="K54" s="79"/>
      <c r="L54" s="73"/>
      <c r="M54" s="119"/>
      <c r="N54" s="183"/>
      <c r="O54" s="89"/>
    </row>
    <row r="55" spans="2:15" ht="12">
      <c r="B55" s="76"/>
      <c r="C55" s="77"/>
      <c r="D55" s="78"/>
      <c r="E55" s="78"/>
      <c r="F55" s="78"/>
      <c r="G55" s="78"/>
      <c r="H55" s="78"/>
      <c r="I55" s="78"/>
      <c r="J55" s="78"/>
      <c r="K55" s="79"/>
      <c r="L55" s="73"/>
      <c r="M55" s="119"/>
      <c r="N55" s="183"/>
      <c r="O55" s="89"/>
    </row>
    <row r="56" spans="2:15" ht="12">
      <c r="B56" s="76"/>
      <c r="C56" s="77"/>
      <c r="D56" s="78"/>
      <c r="E56" s="78"/>
      <c r="F56" s="78"/>
      <c r="G56" s="78"/>
      <c r="H56" s="78"/>
      <c r="I56" s="78"/>
      <c r="J56" s="78"/>
      <c r="K56" s="79"/>
      <c r="L56" s="73"/>
      <c r="M56" s="119"/>
      <c r="N56" s="183"/>
      <c r="O56" s="89"/>
    </row>
    <row r="57" spans="2:15" ht="12">
      <c r="B57" s="76"/>
      <c r="C57" s="77"/>
      <c r="D57" s="78"/>
      <c r="E57" s="78"/>
      <c r="F57" s="78"/>
      <c r="G57" s="78"/>
      <c r="H57" s="78"/>
      <c r="I57" s="78"/>
      <c r="J57" s="78"/>
      <c r="K57" s="79"/>
      <c r="L57" s="73"/>
      <c r="M57" s="119"/>
      <c r="N57" s="183"/>
      <c r="O57" s="89"/>
    </row>
    <row r="58" spans="2:15" ht="12">
      <c r="B58" s="76"/>
      <c r="C58" s="77"/>
      <c r="D58" s="78"/>
      <c r="E58" s="78"/>
      <c r="F58" s="78"/>
      <c r="G58" s="78"/>
      <c r="H58" s="78"/>
      <c r="I58" s="78"/>
      <c r="J58" s="78"/>
      <c r="K58" s="79"/>
      <c r="L58" s="73"/>
      <c r="M58" s="119"/>
      <c r="N58" s="183"/>
      <c r="O58" s="89"/>
    </row>
    <row r="59" spans="2:15" ht="12">
      <c r="B59" s="76"/>
      <c r="C59" s="77"/>
      <c r="D59" s="78"/>
      <c r="E59" s="78"/>
      <c r="F59" s="78"/>
      <c r="G59" s="78"/>
      <c r="H59" s="78"/>
      <c r="I59" s="78"/>
      <c r="J59" s="78"/>
      <c r="K59" s="79"/>
      <c r="L59" s="73"/>
      <c r="M59" s="119"/>
      <c r="N59" s="183"/>
      <c r="O59" s="89"/>
    </row>
    <row r="60" spans="2:15" ht="12">
      <c r="B60" s="76"/>
      <c r="C60" s="156"/>
      <c r="D60" s="78"/>
      <c r="E60" s="78"/>
      <c r="F60" s="78"/>
      <c r="G60" s="78"/>
      <c r="H60" s="78"/>
      <c r="I60" s="78"/>
      <c r="J60" s="78"/>
      <c r="K60" s="157"/>
      <c r="L60" s="73"/>
      <c r="M60" s="158"/>
      <c r="N60" s="185"/>
      <c r="O60" s="144"/>
    </row>
    <row r="61" spans="2:15" ht="12">
      <c r="B61" s="159"/>
      <c r="C61" s="160"/>
      <c r="D61" s="158"/>
      <c r="E61" s="158"/>
      <c r="F61" s="158"/>
      <c r="G61" s="158"/>
      <c r="H61" s="158"/>
      <c r="I61" s="158"/>
      <c r="J61" s="158"/>
      <c r="K61" s="158"/>
      <c r="L61" s="158"/>
      <c r="M61" s="158"/>
      <c r="N61" s="185"/>
      <c r="O61" s="144"/>
    </row>
    <row r="63" spans="2:15">
      <c r="J63" s="163"/>
    </row>
  </sheetData>
  <mergeCells count="10">
    <mergeCell ref="C40:G40"/>
    <mergeCell ref="I40:K40"/>
    <mergeCell ref="D47:E47"/>
    <mergeCell ref="D48:E48"/>
    <mergeCell ref="C3:K3"/>
    <mergeCell ref="C4:K4"/>
    <mergeCell ref="C6:K6"/>
    <mergeCell ref="B26:M26"/>
    <mergeCell ref="B27:M27"/>
    <mergeCell ref="B30:M30"/>
  </mergeCells>
  <conditionalFormatting sqref="M43:M44 N45:N61">
    <cfRule type="cellIs" dxfId="7" priority="3" operator="lessThan">
      <formula>0</formula>
    </cfRule>
  </conditionalFormatting>
  <conditionalFormatting sqref="N3:N39 F34 F37:F38">
    <cfRule type="cellIs" dxfId="6" priority="1" operator="lessThan">
      <formula>0</formula>
    </cfRule>
  </conditionalFormatting>
  <conditionalFormatting sqref="O3">
    <cfRule type="cellIs" dxfId="5" priority="2" operator="lessThan">
      <formula>0</formula>
    </cfRule>
  </conditionalFormatting>
  <pageMargins left="0.25" right="0.25" top="0.75" bottom="0.75" header="0.3" footer="0.3"/>
  <pageSetup scale="52" fitToHeight="0" orientation="landscape" r:id="rId1"/>
  <rowBreaks count="1" manualBreakCount="1">
    <brk id="25"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B27E3-DAD8-4D58-9F6F-5C6F6D2A45C3}">
  <sheetPr codeName="Sheet15">
    <pageSetUpPr fitToPage="1"/>
  </sheetPr>
  <dimension ref="B3:O64"/>
  <sheetViews>
    <sheetView topLeftCell="B1" zoomScale="80" zoomScaleNormal="80" workbookViewId="0">
      <pane ySplit="7" topLeftCell="A8" activePane="bottomLeft" state="frozen"/>
      <selection pane="bottomLeft" activeCell="F26" sqref="F26"/>
    </sheetView>
  </sheetViews>
  <sheetFormatPr defaultColWidth="28.6640625" defaultRowHeight="11.4"/>
  <cols>
    <col min="1" max="1" width="3.5546875" style="69" customWidth="1"/>
    <col min="2" max="2" width="30.109375" style="161" customWidth="1"/>
    <col min="3" max="3" width="24" style="161" customWidth="1"/>
    <col min="4" max="4" width="15.44140625" style="162" customWidth="1"/>
    <col min="5" max="5" width="15.6640625" style="162" customWidth="1"/>
    <col min="6" max="7" width="13" style="162" customWidth="1"/>
    <col min="8" max="8" width="12" style="162" customWidth="1"/>
    <col min="9" max="9" width="15.88671875" style="162" customWidth="1"/>
    <col min="10" max="10" width="15.5546875" style="162" customWidth="1"/>
    <col min="11" max="11" width="17.33203125" style="162" customWidth="1"/>
    <col min="12" max="12" width="12.44140625" style="162" customWidth="1"/>
    <col min="13" max="13" width="13" style="162" customWidth="1"/>
    <col min="14" max="14" width="30" style="184" customWidth="1"/>
    <col min="15" max="16384" width="28.6640625" style="69"/>
  </cols>
  <sheetData>
    <row r="3" spans="2:15" ht="12">
      <c r="B3" s="69"/>
      <c r="C3" s="1397" t="s">
        <v>271</v>
      </c>
      <c r="D3" s="1397"/>
      <c r="E3" s="1397"/>
      <c r="F3" s="1397"/>
      <c r="G3" s="1397"/>
      <c r="H3" s="1397"/>
      <c r="I3" s="1397"/>
      <c r="J3" s="1397"/>
      <c r="K3" s="1397"/>
      <c r="L3" s="70"/>
      <c r="M3" s="71"/>
      <c r="N3" s="181"/>
      <c r="O3" s="72"/>
    </row>
    <row r="4" spans="2:15" ht="12">
      <c r="B4" s="69"/>
      <c r="C4" s="1398" t="s">
        <v>514</v>
      </c>
      <c r="D4" s="1398"/>
      <c r="E4" s="1398"/>
      <c r="F4" s="1398"/>
      <c r="G4" s="1398"/>
      <c r="H4" s="1398"/>
      <c r="I4" s="1398"/>
      <c r="J4" s="1398"/>
      <c r="K4" s="1398"/>
      <c r="L4" s="73"/>
      <c r="M4" s="74"/>
      <c r="N4" s="88"/>
      <c r="O4" s="75"/>
    </row>
    <row r="5" spans="2:15" ht="12">
      <c r="B5" s="76"/>
      <c r="L5" s="73"/>
      <c r="M5" s="74"/>
      <c r="N5" s="88"/>
      <c r="O5" s="75"/>
    </row>
    <row r="6" spans="2:15" ht="12.6" thickBot="1">
      <c r="B6" s="76" t="s">
        <v>272</v>
      </c>
      <c r="C6" s="1399"/>
      <c r="D6" s="1399"/>
      <c r="E6" s="1399"/>
      <c r="F6" s="1399"/>
      <c r="G6" s="1399"/>
      <c r="H6" s="1399"/>
      <c r="I6" s="1399"/>
      <c r="J6" s="1399"/>
      <c r="K6" s="1399"/>
      <c r="L6" s="73"/>
      <c r="M6" s="74"/>
      <c r="N6" s="88"/>
      <c r="O6" s="75"/>
    </row>
    <row r="7" spans="2:15" ht="13.8">
      <c r="B7" s="80" t="s">
        <v>273</v>
      </c>
      <c r="C7" s="81" t="s">
        <v>274</v>
      </c>
      <c r="D7" s="82" t="s">
        <v>275</v>
      </c>
      <c r="E7" s="82" t="s">
        <v>157</v>
      </c>
      <c r="F7" s="82">
        <v>1</v>
      </c>
      <c r="G7" s="82">
        <v>2</v>
      </c>
      <c r="H7" s="82">
        <v>3</v>
      </c>
      <c r="I7" s="82">
        <v>4</v>
      </c>
      <c r="J7" s="82">
        <v>5</v>
      </c>
      <c r="K7" s="82" t="s">
        <v>327</v>
      </c>
      <c r="L7" s="82" t="s">
        <v>328</v>
      </c>
      <c r="M7" s="83" t="s">
        <v>329</v>
      </c>
      <c r="N7" s="182" t="s">
        <v>276</v>
      </c>
      <c r="O7" s="75"/>
    </row>
    <row r="8" spans="2:15" ht="37.950000000000003" customHeight="1">
      <c r="B8" s="628" t="s">
        <v>277</v>
      </c>
      <c r="C8" s="629" t="s">
        <v>539</v>
      </c>
      <c r="D8" s="341">
        <v>15</v>
      </c>
      <c r="E8" s="341">
        <v>15</v>
      </c>
      <c r="F8" s="341">
        <v>15</v>
      </c>
      <c r="G8" s="341">
        <v>15</v>
      </c>
      <c r="H8" s="341">
        <v>15</v>
      </c>
      <c r="I8" s="341">
        <v>15</v>
      </c>
      <c r="J8" s="341">
        <v>15</v>
      </c>
      <c r="K8" s="341">
        <v>15</v>
      </c>
      <c r="L8" s="341">
        <v>0</v>
      </c>
      <c r="M8" s="630">
        <v>0</v>
      </c>
      <c r="N8" s="217" t="s">
        <v>540</v>
      </c>
      <c r="O8" s="89"/>
    </row>
    <row r="9" spans="2:15" ht="37.950000000000003" customHeight="1">
      <c r="B9" s="628" t="s">
        <v>515</v>
      </c>
      <c r="C9" s="629" t="s">
        <v>516</v>
      </c>
      <c r="D9" s="341">
        <v>0</v>
      </c>
      <c r="E9" s="341">
        <v>0</v>
      </c>
      <c r="F9" s="341">
        <v>0</v>
      </c>
      <c r="G9" s="341">
        <v>0</v>
      </c>
      <c r="H9" s="341">
        <v>0</v>
      </c>
      <c r="I9" s="341">
        <v>0</v>
      </c>
      <c r="J9" s="341">
        <v>0</v>
      </c>
      <c r="K9" s="341">
        <v>0</v>
      </c>
      <c r="L9" s="341">
        <v>0</v>
      </c>
      <c r="M9" s="630">
        <v>0</v>
      </c>
      <c r="N9" s="217">
        <v>0</v>
      </c>
      <c r="O9" s="89"/>
    </row>
    <row r="10" spans="2:15" ht="34.950000000000003" customHeight="1">
      <c r="B10" s="90" t="s">
        <v>279</v>
      </c>
      <c r="C10" s="91" t="s">
        <v>517</v>
      </c>
      <c r="D10" s="92">
        <v>3</v>
      </c>
      <c r="E10" s="92">
        <v>3</v>
      </c>
      <c r="F10" s="93">
        <v>3</v>
      </c>
      <c r="G10" s="93">
        <v>3</v>
      </c>
      <c r="H10" s="93">
        <v>3</v>
      </c>
      <c r="I10" s="93">
        <v>3</v>
      </c>
      <c r="J10" s="93">
        <v>3</v>
      </c>
      <c r="K10" s="93">
        <v>2</v>
      </c>
      <c r="L10" s="93">
        <v>2</v>
      </c>
      <c r="M10" s="94">
        <v>2</v>
      </c>
      <c r="N10" s="884" t="s">
        <v>541</v>
      </c>
      <c r="O10" s="89"/>
    </row>
    <row r="11" spans="2:15" ht="36">
      <c r="B11" s="628" t="s">
        <v>281</v>
      </c>
      <c r="C11" s="629" t="s">
        <v>627</v>
      </c>
      <c r="D11" s="341">
        <v>20</v>
      </c>
      <c r="E11" s="341">
        <v>20</v>
      </c>
      <c r="F11" s="341">
        <v>10</v>
      </c>
      <c r="G11" s="341">
        <v>10</v>
      </c>
      <c r="H11" s="341">
        <v>10</v>
      </c>
      <c r="I11" s="341">
        <v>10</v>
      </c>
      <c r="J11" s="341">
        <v>10</v>
      </c>
      <c r="K11" s="341">
        <v>25</v>
      </c>
      <c r="L11" s="341">
        <v>25</v>
      </c>
      <c r="M11" s="630">
        <v>25</v>
      </c>
      <c r="N11" s="883" t="s">
        <v>537</v>
      </c>
      <c r="O11" s="89" t="s">
        <v>626</v>
      </c>
    </row>
    <row r="12" spans="2:15" ht="31.95" customHeight="1">
      <c r="B12" s="90" t="s">
        <v>283</v>
      </c>
      <c r="C12" s="91" t="s">
        <v>284</v>
      </c>
      <c r="D12" s="92">
        <v>0</v>
      </c>
      <c r="E12" s="92">
        <v>0</v>
      </c>
      <c r="F12" s="92">
        <v>0</v>
      </c>
      <c r="G12" s="92">
        <v>0</v>
      </c>
      <c r="H12" s="92">
        <v>0</v>
      </c>
      <c r="I12" s="92">
        <v>0</v>
      </c>
      <c r="J12" s="92">
        <v>0</v>
      </c>
      <c r="K12" s="92">
        <v>0</v>
      </c>
      <c r="L12" s="92">
        <v>0</v>
      </c>
      <c r="M12" s="95">
        <v>0</v>
      </c>
      <c r="N12" s="883" t="s">
        <v>625</v>
      </c>
      <c r="O12" s="96"/>
    </row>
    <row r="13" spans="2:15" ht="28.5" customHeight="1">
      <c r="B13" s="90" t="s">
        <v>523</v>
      </c>
      <c r="C13" s="91" t="s">
        <v>450</v>
      </c>
      <c r="D13" s="92">
        <v>1</v>
      </c>
      <c r="E13" s="92">
        <v>2</v>
      </c>
      <c r="F13" s="92">
        <v>3</v>
      </c>
      <c r="G13" s="92">
        <v>3</v>
      </c>
      <c r="H13" s="92">
        <v>3</v>
      </c>
      <c r="I13" s="92">
        <v>4</v>
      </c>
      <c r="J13" s="92">
        <v>4</v>
      </c>
      <c r="K13" s="92">
        <v>0</v>
      </c>
      <c r="L13" s="92">
        <v>0</v>
      </c>
      <c r="M13" s="95">
        <v>0</v>
      </c>
      <c r="N13" s="883" t="s">
        <v>542</v>
      </c>
      <c r="O13" s="96"/>
    </row>
    <row r="14" spans="2:15" ht="30" customHeight="1">
      <c r="B14" s="90" t="s">
        <v>451</v>
      </c>
      <c r="C14" s="91" t="s">
        <v>286</v>
      </c>
      <c r="D14" s="92">
        <v>0</v>
      </c>
      <c r="E14" s="92">
        <v>5.25</v>
      </c>
      <c r="F14" s="92">
        <v>5.25</v>
      </c>
      <c r="G14" s="92">
        <v>5.25</v>
      </c>
      <c r="H14" s="92">
        <v>5.25</v>
      </c>
      <c r="I14" s="92">
        <v>5.25</v>
      </c>
      <c r="J14" s="92">
        <v>5.25</v>
      </c>
      <c r="K14" s="92">
        <v>3</v>
      </c>
      <c r="L14" s="92">
        <v>3</v>
      </c>
      <c r="M14" s="95">
        <v>3</v>
      </c>
      <c r="N14" s="883" t="s">
        <v>452</v>
      </c>
      <c r="O14" s="89"/>
    </row>
    <row r="15" spans="2:15" ht="28.2" customHeight="1">
      <c r="B15" s="628" t="s">
        <v>521</v>
      </c>
      <c r="C15" s="629" t="s">
        <v>522</v>
      </c>
      <c r="D15" s="341">
        <v>0</v>
      </c>
      <c r="E15" s="341">
        <v>0</v>
      </c>
      <c r="F15" s="341">
        <v>0</v>
      </c>
      <c r="G15" s="341">
        <v>0</v>
      </c>
      <c r="H15" s="341">
        <v>0</v>
      </c>
      <c r="I15" s="341">
        <v>0</v>
      </c>
      <c r="J15" s="341">
        <v>0</v>
      </c>
      <c r="K15" s="341">
        <v>0</v>
      </c>
      <c r="L15" s="341">
        <v>0</v>
      </c>
      <c r="M15" s="630">
        <v>0</v>
      </c>
      <c r="N15" s="217" t="s">
        <v>625</v>
      </c>
      <c r="O15" s="89"/>
    </row>
    <row r="16" spans="2:15" ht="28.5" customHeight="1">
      <c r="B16" s="90" t="s">
        <v>288</v>
      </c>
      <c r="C16" s="91" t="s">
        <v>289</v>
      </c>
      <c r="D16" s="92">
        <v>0</v>
      </c>
      <c r="E16" s="92">
        <v>0</v>
      </c>
      <c r="F16" s="92">
        <v>0</v>
      </c>
      <c r="G16" s="92">
        <v>0</v>
      </c>
      <c r="H16" s="92">
        <v>0</v>
      </c>
      <c r="I16" s="92">
        <v>0</v>
      </c>
      <c r="J16" s="92">
        <v>0</v>
      </c>
      <c r="K16" s="97" t="s">
        <v>292</v>
      </c>
      <c r="L16" s="97" t="s">
        <v>292</v>
      </c>
      <c r="M16" s="98" t="s">
        <v>292</v>
      </c>
      <c r="N16" s="883" t="s">
        <v>543</v>
      </c>
      <c r="O16" s="89"/>
    </row>
    <row r="17" spans="2:15" ht="40.200000000000003" customHeight="1">
      <c r="B17" s="90" t="s">
        <v>290</v>
      </c>
      <c r="C17" s="91" t="s">
        <v>291</v>
      </c>
      <c r="D17" s="92">
        <v>0</v>
      </c>
      <c r="E17" s="92">
        <v>0</v>
      </c>
      <c r="F17" s="92">
        <v>0</v>
      </c>
      <c r="G17" s="92">
        <v>0</v>
      </c>
      <c r="H17" s="92">
        <v>0</v>
      </c>
      <c r="I17" s="92">
        <v>0</v>
      </c>
      <c r="J17" s="92">
        <v>0</v>
      </c>
      <c r="K17" s="97" t="s">
        <v>292</v>
      </c>
      <c r="L17" s="97" t="s">
        <v>292</v>
      </c>
      <c r="M17" s="98" t="s">
        <v>292</v>
      </c>
      <c r="N17" s="883" t="s">
        <v>544</v>
      </c>
      <c r="O17" s="96"/>
    </row>
    <row r="18" spans="2:15" ht="37.950000000000003" customHeight="1">
      <c r="B18" s="90" t="s">
        <v>293</v>
      </c>
      <c r="C18" s="91" t="s">
        <v>294</v>
      </c>
      <c r="D18" s="92">
        <v>0</v>
      </c>
      <c r="E18" s="92">
        <v>0</v>
      </c>
      <c r="F18" s="92">
        <v>0</v>
      </c>
      <c r="G18" s="92">
        <v>0</v>
      </c>
      <c r="H18" s="92">
        <v>0</v>
      </c>
      <c r="I18" s="92">
        <v>0</v>
      </c>
      <c r="J18" s="92">
        <v>0</v>
      </c>
      <c r="K18" s="97" t="s">
        <v>292</v>
      </c>
      <c r="L18" s="97" t="s">
        <v>292</v>
      </c>
      <c r="M18" s="98" t="s">
        <v>292</v>
      </c>
      <c r="N18" s="883" t="s">
        <v>544</v>
      </c>
      <c r="O18" s="89"/>
    </row>
    <row r="19" spans="2:15" ht="40.950000000000003" customHeight="1">
      <c r="B19" s="90" t="s">
        <v>295</v>
      </c>
      <c r="C19" s="91" t="s">
        <v>353</v>
      </c>
      <c r="D19" s="92">
        <v>0</v>
      </c>
      <c r="E19" s="93">
        <v>0</v>
      </c>
      <c r="F19" s="92">
        <v>0</v>
      </c>
      <c r="G19" s="92">
        <v>0</v>
      </c>
      <c r="H19" s="92">
        <v>0</v>
      </c>
      <c r="I19" s="92">
        <v>0</v>
      </c>
      <c r="J19" s="92">
        <v>0</v>
      </c>
      <c r="K19" s="97" t="s">
        <v>292</v>
      </c>
      <c r="L19" s="97" t="s">
        <v>292</v>
      </c>
      <c r="M19" s="98" t="s">
        <v>292</v>
      </c>
      <c r="N19" s="883" t="s">
        <v>544</v>
      </c>
      <c r="O19" s="96"/>
    </row>
    <row r="20" spans="2:15" ht="34.200000000000003" customHeight="1">
      <c r="B20" s="90" t="s">
        <v>296</v>
      </c>
      <c r="C20" s="91" t="s">
        <v>297</v>
      </c>
      <c r="D20" s="92">
        <v>0</v>
      </c>
      <c r="E20" s="92">
        <v>0</v>
      </c>
      <c r="F20" s="92">
        <v>0</v>
      </c>
      <c r="G20" s="92">
        <v>0</v>
      </c>
      <c r="H20" s="92">
        <v>0</v>
      </c>
      <c r="I20" s="92">
        <v>0</v>
      </c>
      <c r="J20" s="92">
        <v>0</v>
      </c>
      <c r="K20" s="92">
        <v>0</v>
      </c>
      <c r="L20" s="92">
        <v>0</v>
      </c>
      <c r="M20" s="95">
        <v>0</v>
      </c>
      <c r="N20" s="883" t="s">
        <v>545</v>
      </c>
      <c r="O20" s="89"/>
    </row>
    <row r="21" spans="2:15" ht="37.200000000000003" customHeight="1">
      <c r="B21" s="90" t="s">
        <v>298</v>
      </c>
      <c r="C21" s="91" t="s">
        <v>299</v>
      </c>
      <c r="D21" s="92">
        <v>2.5</v>
      </c>
      <c r="E21" s="92">
        <v>2.5</v>
      </c>
      <c r="F21" s="92">
        <v>4</v>
      </c>
      <c r="G21" s="92">
        <v>4</v>
      </c>
      <c r="H21" s="92">
        <v>4</v>
      </c>
      <c r="I21" s="92">
        <v>5</v>
      </c>
      <c r="J21" s="92">
        <v>5</v>
      </c>
      <c r="K21" s="92">
        <v>20</v>
      </c>
      <c r="L21" s="92">
        <v>20</v>
      </c>
      <c r="M21" s="95">
        <v>20</v>
      </c>
      <c r="N21" s="883" t="s">
        <v>546</v>
      </c>
      <c r="O21" s="96"/>
    </row>
    <row r="22" spans="2:15" ht="33" customHeight="1">
      <c r="B22" s="595" t="s">
        <v>300</v>
      </c>
      <c r="C22" s="111" t="s">
        <v>301</v>
      </c>
      <c r="D22" s="596">
        <v>0</v>
      </c>
      <c r="E22" s="596">
        <v>0</v>
      </c>
      <c r="F22" s="596">
        <v>0</v>
      </c>
      <c r="G22" s="596">
        <v>0</v>
      </c>
      <c r="H22" s="596">
        <v>0</v>
      </c>
      <c r="I22" s="596">
        <v>0</v>
      </c>
      <c r="J22" s="596">
        <v>0</v>
      </c>
      <c r="K22" s="879">
        <v>10</v>
      </c>
      <c r="L22" s="879">
        <v>10</v>
      </c>
      <c r="M22" s="880">
        <v>10</v>
      </c>
      <c r="N22" s="217" t="s">
        <v>628</v>
      </c>
      <c r="O22" s="89"/>
    </row>
    <row r="23" spans="2:15" ht="31.95" customHeight="1">
      <c r="B23" s="881" t="s">
        <v>457</v>
      </c>
      <c r="C23" s="882" t="s">
        <v>623</v>
      </c>
      <c r="D23" s="879">
        <v>40</v>
      </c>
      <c r="E23" s="879">
        <v>40</v>
      </c>
      <c r="F23" s="879">
        <v>40</v>
      </c>
      <c r="G23" s="879">
        <v>40</v>
      </c>
      <c r="H23" s="879">
        <v>4</v>
      </c>
      <c r="I23" s="879">
        <v>40</v>
      </c>
      <c r="J23" s="879">
        <v>40</v>
      </c>
      <c r="K23" s="879">
        <v>40</v>
      </c>
      <c r="L23" s="879">
        <v>40</v>
      </c>
      <c r="M23" s="880">
        <v>40</v>
      </c>
      <c r="N23" s="217" t="s">
        <v>624</v>
      </c>
      <c r="O23" s="89"/>
    </row>
    <row r="24" spans="2:15" ht="32.700000000000003" customHeight="1" thickBot="1">
      <c r="B24" s="145" t="s">
        <v>458</v>
      </c>
      <c r="C24" s="115" t="s">
        <v>459</v>
      </c>
      <c r="D24" s="116">
        <v>40</v>
      </c>
      <c r="E24" s="116">
        <v>40</v>
      </c>
      <c r="F24" s="116">
        <v>40</v>
      </c>
      <c r="G24" s="116">
        <v>40</v>
      </c>
      <c r="H24" s="116">
        <v>40</v>
      </c>
      <c r="I24" s="116">
        <v>40</v>
      </c>
      <c r="J24" s="116">
        <v>40</v>
      </c>
      <c r="K24" s="116">
        <v>40</v>
      </c>
      <c r="L24" s="116">
        <v>40</v>
      </c>
      <c r="M24" s="597">
        <v>40</v>
      </c>
      <c r="N24" s="883" t="s">
        <v>527</v>
      </c>
      <c r="O24" s="89"/>
    </row>
    <row r="25" spans="2:15" ht="27.75" customHeight="1" thickBot="1">
      <c r="B25" s="598" t="s">
        <v>302</v>
      </c>
      <c r="C25" s="599"/>
      <c r="D25" s="600">
        <f>SUM(D8:D22)</f>
        <v>41.5</v>
      </c>
      <c r="E25" s="600">
        <f t="shared" ref="E25:M25" si="0">SUM(E8:E22)</f>
        <v>47.75</v>
      </c>
      <c r="F25" s="600">
        <f>SUM(F8:F22)</f>
        <v>40.25</v>
      </c>
      <c r="G25" s="600">
        <f t="shared" si="0"/>
        <v>40.25</v>
      </c>
      <c r="H25" s="600">
        <f t="shared" si="0"/>
        <v>40.25</v>
      </c>
      <c r="I25" s="600">
        <f>SUM(I8:I22)</f>
        <v>42.25</v>
      </c>
      <c r="J25" s="600">
        <f t="shared" si="0"/>
        <v>42.25</v>
      </c>
      <c r="K25" s="600">
        <f t="shared" si="0"/>
        <v>75</v>
      </c>
      <c r="L25" s="600">
        <f t="shared" si="0"/>
        <v>60</v>
      </c>
      <c r="M25" s="600">
        <f t="shared" si="0"/>
        <v>60</v>
      </c>
      <c r="N25" s="883" t="s">
        <v>547</v>
      </c>
      <c r="O25" s="89"/>
    </row>
    <row r="26" spans="2:15" ht="27.75" customHeight="1" thickTop="1">
      <c r="B26" s="190"/>
      <c r="C26" s="624" t="s">
        <v>520</v>
      </c>
      <c r="D26" s="625">
        <v>50.5</v>
      </c>
      <c r="E26" s="626">
        <v>123.5</v>
      </c>
      <c r="F26" s="626">
        <v>152.5</v>
      </c>
      <c r="G26" s="626">
        <v>152.5</v>
      </c>
      <c r="H26" s="626">
        <v>147.5</v>
      </c>
      <c r="I26" s="626">
        <v>154.5</v>
      </c>
      <c r="J26" s="626">
        <v>154.5</v>
      </c>
      <c r="K26" s="626">
        <v>143.5</v>
      </c>
      <c r="L26" s="626">
        <v>143.5</v>
      </c>
      <c r="M26" s="627">
        <v>143.5</v>
      </c>
      <c r="N26" s="183"/>
      <c r="O26" s="89"/>
    </row>
    <row r="27" spans="2:15" ht="33" customHeight="1" thickBot="1">
      <c r="B27" s="1400"/>
      <c r="C27" s="1401"/>
      <c r="D27" s="1401"/>
      <c r="E27" s="1401"/>
      <c r="F27" s="1401"/>
      <c r="G27" s="1401"/>
      <c r="H27" s="1401"/>
      <c r="I27" s="1401"/>
      <c r="J27" s="1401"/>
      <c r="K27" s="1401"/>
      <c r="L27" s="1401"/>
      <c r="M27" s="1402"/>
      <c r="N27" s="183"/>
      <c r="O27" s="89"/>
    </row>
    <row r="28" spans="2:15" ht="12">
      <c r="B28" s="1403" t="s">
        <v>303</v>
      </c>
      <c r="C28" s="1404"/>
      <c r="D28" s="1404"/>
      <c r="E28" s="1404"/>
      <c r="F28" s="1404"/>
      <c r="G28" s="1404"/>
      <c r="H28" s="1404"/>
      <c r="I28" s="1404"/>
      <c r="J28" s="1404"/>
      <c r="K28" s="1404"/>
      <c r="L28" s="1404"/>
      <c r="M28" s="1405"/>
      <c r="N28" s="183"/>
      <c r="O28" s="89"/>
    </row>
    <row r="29" spans="2:15" ht="12">
      <c r="B29" s="108" t="s">
        <v>340</v>
      </c>
      <c r="C29" s="109" t="s">
        <v>453</v>
      </c>
      <c r="D29" s="93">
        <v>0</v>
      </c>
      <c r="E29" s="93">
        <v>0</v>
      </c>
      <c r="F29" s="93">
        <v>0</v>
      </c>
      <c r="G29" s="93">
        <v>0</v>
      </c>
      <c r="H29" s="93">
        <v>0</v>
      </c>
      <c r="I29" s="93">
        <v>0</v>
      </c>
      <c r="J29" s="93">
        <v>0</v>
      </c>
      <c r="K29" s="454">
        <v>300</v>
      </c>
      <c r="L29" s="93">
        <v>0</v>
      </c>
      <c r="M29" s="94">
        <v>0</v>
      </c>
      <c r="N29" s="183"/>
      <c r="O29" s="89"/>
    </row>
    <row r="30" spans="2:15" ht="48.6" thickBot="1">
      <c r="B30" s="110" t="s">
        <v>330</v>
      </c>
      <c r="C30" s="111" t="s">
        <v>304</v>
      </c>
      <c r="D30" s="112">
        <v>0</v>
      </c>
      <c r="E30" s="112">
        <v>50</v>
      </c>
      <c r="F30" s="112">
        <v>50</v>
      </c>
      <c r="G30" s="112">
        <v>50</v>
      </c>
      <c r="H30" s="112">
        <v>50</v>
      </c>
      <c r="I30" s="112">
        <v>100</v>
      </c>
      <c r="J30" s="112">
        <v>100</v>
      </c>
      <c r="K30" s="112" t="s">
        <v>338</v>
      </c>
      <c r="L30" s="112" t="s">
        <v>338</v>
      </c>
      <c r="M30" s="113" t="s">
        <v>339</v>
      </c>
      <c r="N30" s="183"/>
      <c r="O30" s="89"/>
    </row>
    <row r="31" spans="2:15" ht="12">
      <c r="B31" s="1403" t="s">
        <v>305</v>
      </c>
      <c r="C31" s="1404"/>
      <c r="D31" s="1404"/>
      <c r="E31" s="1404"/>
      <c r="F31" s="1404"/>
      <c r="G31" s="1404"/>
      <c r="H31" s="1404"/>
      <c r="I31" s="1404"/>
      <c r="J31" s="1404"/>
      <c r="K31" s="1404"/>
      <c r="L31" s="1404"/>
      <c r="M31" s="1405"/>
      <c r="N31" s="183"/>
      <c r="O31" s="89"/>
    </row>
    <row r="32" spans="2:15" ht="36.6" thickBot="1">
      <c r="B32" s="114" t="s">
        <v>331</v>
      </c>
      <c r="C32" s="115" t="s">
        <v>306</v>
      </c>
      <c r="D32" s="116">
        <v>0</v>
      </c>
      <c r="E32" s="116">
        <v>0</v>
      </c>
      <c r="F32" s="116">
        <v>0</v>
      </c>
      <c r="G32" s="116">
        <v>0</v>
      </c>
      <c r="H32" s="116">
        <v>0</v>
      </c>
      <c r="I32" s="116">
        <v>0</v>
      </c>
      <c r="J32" s="116">
        <v>0</v>
      </c>
      <c r="K32" s="116" t="s">
        <v>307</v>
      </c>
      <c r="L32" s="117" t="s">
        <v>307</v>
      </c>
      <c r="M32" s="118" t="s">
        <v>307</v>
      </c>
      <c r="N32" s="183"/>
      <c r="O32" s="89"/>
    </row>
    <row r="33" spans="2:15" ht="12.6" thickBot="1">
      <c r="B33" s="76"/>
      <c r="C33" s="77"/>
      <c r="D33" s="78"/>
      <c r="E33" s="78"/>
      <c r="F33" s="78"/>
      <c r="G33" s="78"/>
      <c r="H33" s="78"/>
      <c r="I33" s="78"/>
      <c r="J33" s="78"/>
      <c r="K33" s="79"/>
      <c r="L33" s="73"/>
      <c r="M33" s="119"/>
      <c r="N33" s="183"/>
      <c r="O33" s="96"/>
    </row>
    <row r="34" spans="2:15" ht="12">
      <c r="B34" s="120" t="s">
        <v>415</v>
      </c>
      <c r="C34" s="120" t="s">
        <v>415</v>
      </c>
      <c r="D34" s="121" t="s">
        <v>446</v>
      </c>
      <c r="E34" s="123" t="s">
        <v>448</v>
      </c>
      <c r="F34" s="206" t="s">
        <v>134</v>
      </c>
      <c r="G34" s="78"/>
      <c r="H34" s="78"/>
      <c r="I34" s="78"/>
      <c r="J34" s="78"/>
      <c r="K34" s="79"/>
      <c r="L34" s="73"/>
      <c r="M34" s="119"/>
      <c r="N34" s="183"/>
      <c r="O34" s="96"/>
    </row>
    <row r="35" spans="2:15" ht="14.7" customHeight="1">
      <c r="B35" s="124" t="s">
        <v>308</v>
      </c>
      <c r="C35" s="124" t="s">
        <v>308</v>
      </c>
      <c r="D35" s="125">
        <f>+D36/10</f>
        <v>1030</v>
      </c>
      <c r="E35" s="208">
        <f>+E36/10</f>
        <v>720</v>
      </c>
      <c r="F35" s="422" t="s">
        <v>443</v>
      </c>
      <c r="G35" s="78"/>
      <c r="H35" s="78"/>
      <c r="I35" s="78"/>
      <c r="J35" s="78"/>
      <c r="K35" s="79"/>
      <c r="L35" s="73"/>
      <c r="M35" s="119"/>
      <c r="N35" s="421"/>
      <c r="O35" s="96"/>
    </row>
    <row r="36" spans="2:15" ht="12.6" thickBot="1">
      <c r="B36" s="126" t="s">
        <v>177</v>
      </c>
      <c r="C36" s="126" t="s">
        <v>177</v>
      </c>
      <c r="D36" s="127">
        <v>10300</v>
      </c>
      <c r="E36" s="128">
        <v>7200</v>
      </c>
      <c r="F36" s="207" t="s">
        <v>134</v>
      </c>
      <c r="G36" s="78"/>
      <c r="H36" s="78"/>
      <c r="I36" s="78"/>
      <c r="J36" s="78"/>
      <c r="K36" s="79"/>
      <c r="L36" s="73"/>
      <c r="M36" s="119"/>
      <c r="N36" s="421"/>
      <c r="O36" s="96"/>
    </row>
    <row r="37" spans="2:15" ht="12">
      <c r="B37" s="120" t="s">
        <v>416</v>
      </c>
      <c r="C37" s="120" t="s">
        <v>416</v>
      </c>
      <c r="D37" s="121" t="s">
        <v>447</v>
      </c>
      <c r="E37" s="123" t="s">
        <v>449</v>
      </c>
      <c r="F37" s="207"/>
      <c r="G37" s="78"/>
      <c r="H37" s="78"/>
      <c r="I37" s="78"/>
      <c r="J37" s="78"/>
      <c r="K37" s="79"/>
      <c r="L37" s="73"/>
      <c r="M37" s="119"/>
      <c r="N37" s="421"/>
      <c r="O37" s="96"/>
    </row>
    <row r="38" spans="2:15" ht="15" customHeight="1">
      <c r="B38" s="124" t="s">
        <v>308</v>
      </c>
      <c r="C38" s="124" t="s">
        <v>308</v>
      </c>
      <c r="D38" s="125">
        <v>475</v>
      </c>
      <c r="E38" s="208">
        <f>'Tuition Proposed Rate Increases'!G8</f>
        <v>150</v>
      </c>
      <c r="F38" s="422" t="s">
        <v>444</v>
      </c>
      <c r="G38" s="78"/>
      <c r="H38" s="78"/>
      <c r="I38" s="78"/>
      <c r="J38" s="78"/>
      <c r="K38" s="79"/>
      <c r="L38" s="73"/>
      <c r="M38" s="119"/>
      <c r="N38" s="421"/>
      <c r="O38" s="96"/>
    </row>
    <row r="39" spans="2:15" ht="12.6" thickBot="1">
      <c r="B39" s="126" t="s">
        <v>177</v>
      </c>
      <c r="C39" s="126" t="s">
        <v>177</v>
      </c>
      <c r="D39" s="127">
        <f>D38*10</f>
        <v>4750</v>
      </c>
      <c r="E39" s="128">
        <f>150*10</f>
        <v>1500</v>
      </c>
      <c r="F39" s="422" t="s">
        <v>445</v>
      </c>
      <c r="G39" s="78"/>
      <c r="H39" s="78"/>
      <c r="I39" s="78"/>
      <c r="J39" s="78"/>
      <c r="K39" s="79"/>
      <c r="L39" s="73"/>
      <c r="M39" s="119"/>
      <c r="N39" s="421"/>
      <c r="O39" s="96"/>
    </row>
    <row r="40" spans="2:15" ht="12.6" thickBot="1">
      <c r="B40" s="76"/>
      <c r="C40" s="77"/>
      <c r="D40" s="78"/>
      <c r="E40" s="78"/>
      <c r="F40" s="78"/>
      <c r="G40" s="78"/>
      <c r="H40" s="78"/>
      <c r="I40" s="78"/>
      <c r="J40" s="78"/>
      <c r="K40" s="79"/>
      <c r="L40" s="73"/>
      <c r="M40" s="119"/>
      <c r="N40" s="183"/>
      <c r="O40" s="89"/>
    </row>
    <row r="41" spans="2:15" ht="12">
      <c r="B41" s="129" t="s">
        <v>309</v>
      </c>
      <c r="C41" s="1387" t="s">
        <v>310</v>
      </c>
      <c r="D41" s="1388"/>
      <c r="E41" s="1388"/>
      <c r="F41" s="1388"/>
      <c r="G41" s="1389"/>
      <c r="H41" s="69"/>
      <c r="I41" s="1390" t="s">
        <v>311</v>
      </c>
      <c r="J41" s="1391"/>
      <c r="K41" s="1392"/>
      <c r="L41" s="130"/>
      <c r="M41" s="130"/>
      <c r="N41" s="183"/>
    </row>
    <row r="42" spans="2:15" ht="12">
      <c r="B42" s="131"/>
      <c r="C42" s="132" t="s">
        <v>312</v>
      </c>
      <c r="D42" s="132" t="s">
        <v>313</v>
      </c>
      <c r="E42" s="132" t="s">
        <v>314</v>
      </c>
      <c r="F42" s="132" t="s">
        <v>315</v>
      </c>
      <c r="G42" s="133" t="s">
        <v>316</v>
      </c>
      <c r="H42" s="69"/>
      <c r="I42" s="413" t="s">
        <v>317</v>
      </c>
      <c r="J42" s="132" t="s">
        <v>318</v>
      </c>
      <c r="K42" s="133" t="s">
        <v>319</v>
      </c>
      <c r="L42" s="130"/>
      <c r="M42" s="130"/>
      <c r="N42" s="183"/>
    </row>
    <row r="43" spans="2:15" ht="12">
      <c r="B43" s="134"/>
      <c r="C43" s="135"/>
      <c r="D43" s="135"/>
      <c r="E43" s="135"/>
      <c r="F43" s="135"/>
      <c r="G43" s="136"/>
      <c r="H43" s="69"/>
      <c r="I43" s="414" t="s">
        <v>320</v>
      </c>
      <c r="J43" s="137" t="s">
        <v>321</v>
      </c>
      <c r="K43" s="138" t="s">
        <v>322</v>
      </c>
      <c r="L43" s="130"/>
      <c r="M43" s="130"/>
      <c r="N43" s="183"/>
    </row>
    <row r="44" spans="2:15" ht="12">
      <c r="B44" s="90" t="s">
        <v>454</v>
      </c>
      <c r="C44" s="139">
        <v>65</v>
      </c>
      <c r="D44" s="139">
        <v>120</v>
      </c>
      <c r="E44" s="139">
        <v>170</v>
      </c>
      <c r="F44" s="139">
        <v>210</v>
      </c>
      <c r="G44" s="140">
        <v>250</v>
      </c>
      <c r="H44" s="69"/>
      <c r="I44" s="415" t="s">
        <v>323</v>
      </c>
      <c r="J44" s="141" t="s">
        <v>323</v>
      </c>
      <c r="K44" s="142" t="s">
        <v>324</v>
      </c>
      <c r="L44" s="143"/>
      <c r="M44" s="144"/>
    </row>
    <row r="45" spans="2:15" ht="12.6" thickBot="1">
      <c r="B45" s="145" t="s">
        <v>455</v>
      </c>
      <c r="C45" s="146">
        <v>125</v>
      </c>
      <c r="D45" s="146">
        <v>220</v>
      </c>
      <c r="E45" s="146">
        <v>285</v>
      </c>
      <c r="F45" s="146">
        <v>350</v>
      </c>
      <c r="G45" s="147">
        <v>400</v>
      </c>
      <c r="H45" s="69"/>
      <c r="I45" s="416">
        <v>20</v>
      </c>
      <c r="J45" s="166">
        <v>45</v>
      </c>
      <c r="K45" s="148">
        <v>580</v>
      </c>
      <c r="L45" s="149"/>
      <c r="M45" s="144"/>
    </row>
    <row r="46" spans="2:15" ht="12.6" thickBot="1">
      <c r="B46" s="76"/>
      <c r="C46" s="77"/>
      <c r="D46" s="78"/>
      <c r="E46" s="78"/>
      <c r="F46" s="78"/>
      <c r="G46" s="78"/>
      <c r="H46" s="78"/>
      <c r="I46" s="78"/>
      <c r="J46" s="78"/>
      <c r="K46" s="79"/>
      <c r="L46" s="73"/>
      <c r="M46" s="119"/>
      <c r="N46" s="183"/>
      <c r="O46" s="89"/>
    </row>
    <row r="47" spans="2:15" ht="12">
      <c r="B47" s="150" t="s">
        <v>332</v>
      </c>
      <c r="C47" s="151"/>
      <c r="D47" s="122"/>
      <c r="E47" s="123"/>
      <c r="F47" s="78"/>
      <c r="G47" s="78"/>
      <c r="H47" s="78"/>
      <c r="I47" s="78"/>
      <c r="J47" s="78"/>
      <c r="K47" s="79"/>
      <c r="L47" s="73"/>
      <c r="M47" s="119"/>
      <c r="N47" s="183"/>
      <c r="O47" s="89"/>
    </row>
    <row r="48" spans="2:15" ht="12">
      <c r="B48" s="152"/>
      <c r="C48" s="153">
        <v>3343.44</v>
      </c>
      <c r="D48" s="1393" t="s">
        <v>325</v>
      </c>
      <c r="E48" s="1394"/>
      <c r="F48" s="78"/>
      <c r="G48" s="78"/>
      <c r="H48" s="78"/>
      <c r="I48" s="78"/>
      <c r="J48" s="78"/>
      <c r="K48" s="79"/>
      <c r="L48" s="73"/>
      <c r="M48" s="119"/>
      <c r="N48" s="183"/>
      <c r="O48" s="89"/>
    </row>
    <row r="49" spans="2:15" ht="12.6" thickBot="1">
      <c r="B49" s="154"/>
      <c r="C49" s="155">
        <v>334.34</v>
      </c>
      <c r="D49" s="1395" t="s">
        <v>326</v>
      </c>
      <c r="E49" s="1396"/>
      <c r="F49" s="78"/>
      <c r="G49" s="78"/>
      <c r="H49" s="78"/>
      <c r="I49" s="78"/>
      <c r="J49" s="78"/>
      <c r="K49" s="79"/>
      <c r="L49" s="73"/>
      <c r="M49" s="119"/>
      <c r="N49" s="183"/>
      <c r="O49" s="89"/>
    </row>
    <row r="50" spans="2:15" ht="12">
      <c r="B50" s="76"/>
      <c r="C50" s="77"/>
      <c r="D50" s="78"/>
      <c r="E50" s="78"/>
      <c r="F50" s="78"/>
      <c r="G50" s="78"/>
      <c r="H50" s="78"/>
      <c r="I50" s="78"/>
      <c r="J50" s="78"/>
      <c r="K50" s="79"/>
      <c r="L50" s="73"/>
      <c r="M50" s="119"/>
      <c r="N50" s="183"/>
      <c r="O50" s="89"/>
    </row>
    <row r="51" spans="2:15" ht="12">
      <c r="B51" s="76"/>
      <c r="C51" s="77"/>
      <c r="D51" s="78"/>
      <c r="E51" s="78"/>
      <c r="F51" s="78"/>
      <c r="G51" s="78"/>
      <c r="H51" s="78"/>
      <c r="I51" s="78"/>
      <c r="J51" s="78"/>
      <c r="K51" s="79"/>
      <c r="L51" s="73"/>
      <c r="M51" s="119"/>
      <c r="N51" s="183"/>
      <c r="O51" s="89"/>
    </row>
    <row r="52" spans="2:15" ht="12">
      <c r="B52" s="76"/>
      <c r="C52" s="77"/>
      <c r="D52" s="78"/>
      <c r="E52" s="78"/>
      <c r="F52" s="78"/>
      <c r="G52" s="78"/>
      <c r="H52" s="78"/>
      <c r="I52" s="78"/>
      <c r="J52" s="78"/>
      <c r="K52" s="79"/>
      <c r="L52" s="73"/>
      <c r="M52" s="119"/>
      <c r="N52" s="183"/>
      <c r="O52" s="89"/>
    </row>
    <row r="53" spans="2:15" ht="12">
      <c r="B53" s="76"/>
      <c r="C53" s="77"/>
      <c r="D53" s="78"/>
      <c r="E53" s="78"/>
      <c r="F53" s="78"/>
      <c r="G53" s="78"/>
      <c r="H53" s="78"/>
      <c r="I53" s="78"/>
      <c r="J53" s="78"/>
      <c r="K53" s="79"/>
      <c r="L53" s="73"/>
      <c r="M53" s="119"/>
      <c r="N53" s="183"/>
      <c r="O53" s="89"/>
    </row>
    <row r="54" spans="2:15" ht="12">
      <c r="B54" s="76"/>
      <c r="C54" s="77"/>
      <c r="D54" s="78"/>
      <c r="E54" s="78"/>
      <c r="F54" s="78"/>
      <c r="G54" s="78"/>
      <c r="H54" s="78"/>
      <c r="I54" s="78"/>
      <c r="J54" s="78"/>
      <c r="K54" s="79"/>
      <c r="L54" s="73"/>
      <c r="M54" s="119"/>
      <c r="N54" s="183"/>
      <c r="O54" s="89"/>
    </row>
    <row r="55" spans="2:15" ht="12">
      <c r="B55" s="76"/>
      <c r="C55" s="77"/>
      <c r="D55" s="78"/>
      <c r="E55" s="78"/>
      <c r="F55" s="78"/>
      <c r="G55" s="78"/>
      <c r="H55" s="78"/>
      <c r="I55" s="78"/>
      <c r="J55" s="78"/>
      <c r="K55" s="79"/>
      <c r="L55" s="73"/>
      <c r="M55" s="119"/>
      <c r="N55" s="183"/>
      <c r="O55" s="89"/>
    </row>
    <row r="56" spans="2:15" ht="12">
      <c r="B56" s="76"/>
      <c r="C56" s="77"/>
      <c r="D56" s="78"/>
      <c r="E56" s="78"/>
      <c r="F56" s="78"/>
      <c r="G56" s="78"/>
      <c r="H56" s="78"/>
      <c r="I56" s="78"/>
      <c r="J56" s="78"/>
      <c r="K56" s="79"/>
      <c r="L56" s="73"/>
      <c r="M56" s="119"/>
      <c r="N56" s="183"/>
      <c r="O56" s="89"/>
    </row>
    <row r="57" spans="2:15" ht="12">
      <c r="B57" s="76"/>
      <c r="C57" s="77"/>
      <c r="D57" s="78"/>
      <c r="E57" s="78"/>
      <c r="F57" s="78"/>
      <c r="G57" s="78"/>
      <c r="H57" s="78"/>
      <c r="I57" s="78"/>
      <c r="J57" s="78"/>
      <c r="K57" s="79"/>
      <c r="L57" s="73"/>
      <c r="M57" s="119"/>
      <c r="N57" s="183"/>
      <c r="O57" s="89"/>
    </row>
    <row r="58" spans="2:15" ht="12">
      <c r="B58" s="76"/>
      <c r="C58" s="77"/>
      <c r="D58" s="78"/>
      <c r="E58" s="78"/>
      <c r="F58" s="78"/>
      <c r="G58" s="78"/>
      <c r="H58" s="78"/>
      <c r="I58" s="78"/>
      <c r="J58" s="78"/>
      <c r="K58" s="79"/>
      <c r="L58" s="73"/>
      <c r="M58" s="119"/>
      <c r="N58" s="183"/>
      <c r="O58" s="89"/>
    </row>
    <row r="59" spans="2:15" ht="12">
      <c r="B59" s="76"/>
      <c r="C59" s="77"/>
      <c r="D59" s="78"/>
      <c r="E59" s="78"/>
      <c r="F59" s="78"/>
      <c r="G59" s="78"/>
      <c r="H59" s="78"/>
      <c r="I59" s="78"/>
      <c r="J59" s="78"/>
      <c r="K59" s="79"/>
      <c r="L59" s="73"/>
      <c r="M59" s="119"/>
      <c r="N59" s="183"/>
      <c r="O59" s="89"/>
    </row>
    <row r="60" spans="2:15" ht="12">
      <c r="B60" s="76"/>
      <c r="C60" s="77"/>
      <c r="D60" s="78"/>
      <c r="E60" s="78"/>
      <c r="F60" s="78"/>
      <c r="G60" s="78"/>
      <c r="H60" s="78"/>
      <c r="I60" s="78"/>
      <c r="J60" s="78"/>
      <c r="K60" s="79"/>
      <c r="L60" s="73"/>
      <c r="M60" s="119"/>
      <c r="N60" s="183"/>
      <c r="O60" s="89"/>
    </row>
    <row r="61" spans="2:15" ht="12">
      <c r="B61" s="76"/>
      <c r="C61" s="156"/>
      <c r="D61" s="78"/>
      <c r="E61" s="78"/>
      <c r="F61" s="78"/>
      <c r="G61" s="78"/>
      <c r="H61" s="78"/>
      <c r="I61" s="78"/>
      <c r="J61" s="78"/>
      <c r="K61" s="157"/>
      <c r="L61" s="73"/>
      <c r="M61" s="158"/>
      <c r="N61" s="185"/>
      <c r="O61" s="144"/>
    </row>
    <row r="62" spans="2:15" ht="12">
      <c r="B62" s="159"/>
      <c r="C62" s="160"/>
      <c r="D62" s="158"/>
      <c r="E62" s="158"/>
      <c r="F62" s="158"/>
      <c r="G62" s="158"/>
      <c r="H62" s="158"/>
      <c r="I62" s="158"/>
      <c r="J62" s="158"/>
      <c r="K62" s="158"/>
      <c r="L62" s="158"/>
      <c r="M62" s="158"/>
      <c r="N62" s="185"/>
      <c r="O62" s="144"/>
    </row>
    <row r="64" spans="2:15">
      <c r="J64" s="163"/>
    </row>
  </sheetData>
  <mergeCells count="10">
    <mergeCell ref="C41:G41"/>
    <mergeCell ref="I41:K41"/>
    <mergeCell ref="D48:E48"/>
    <mergeCell ref="D49:E49"/>
    <mergeCell ref="C3:K3"/>
    <mergeCell ref="C4:K4"/>
    <mergeCell ref="C6:K6"/>
    <mergeCell ref="B27:M27"/>
    <mergeCell ref="B28:M28"/>
    <mergeCell ref="B31:M31"/>
  </mergeCells>
  <conditionalFormatting sqref="F35 F38:F39">
    <cfRule type="cellIs" dxfId="4" priority="1" operator="lessThan">
      <formula>0</formula>
    </cfRule>
  </conditionalFormatting>
  <conditionalFormatting sqref="N3:N40 M44:M45 N46:N62">
    <cfRule type="cellIs" dxfId="3" priority="3" operator="lessThan">
      <formula>0</formula>
    </cfRule>
  </conditionalFormatting>
  <conditionalFormatting sqref="O3">
    <cfRule type="cellIs" dxfId="2" priority="2" operator="lessThan">
      <formula>0</formula>
    </cfRule>
  </conditionalFormatting>
  <pageMargins left="0.25" right="0.25" top="0.75" bottom="0.75" header="0.3" footer="0.3"/>
  <pageSetup scale="46" fitToHeight="0" orientation="landscape" r:id="rId1"/>
  <rowBreaks count="1" manualBreakCount="1">
    <brk id="26"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AC83"/>
  <sheetViews>
    <sheetView zoomScale="90" zoomScaleNormal="90" workbookViewId="0">
      <pane ySplit="3" topLeftCell="A4" activePane="bottomLeft" state="frozen"/>
      <selection pane="bottomLeft" activeCell="C30" sqref="C30"/>
    </sheetView>
  </sheetViews>
  <sheetFormatPr defaultRowHeight="14.4" outlineLevelCol="1"/>
  <cols>
    <col min="1" max="1" width="7.109375" customWidth="1"/>
    <col min="2" max="2" width="7.88671875" bestFit="1" customWidth="1" outlineLevel="1"/>
    <col min="3" max="3" width="11.44140625" bestFit="1" customWidth="1" outlineLevel="1"/>
    <col min="4" max="4" width="10.6640625" style="33" bestFit="1" customWidth="1" outlineLevel="1"/>
    <col min="5" max="5" width="7.109375" bestFit="1" customWidth="1" outlineLevel="1"/>
    <col min="6" max="6" width="10.33203125" bestFit="1" customWidth="1" outlineLevel="1"/>
    <col min="7" max="7" width="7.5546875" style="35" bestFit="1" customWidth="1" outlineLevel="1"/>
    <col min="8" max="8" width="4" customWidth="1" outlineLevel="1"/>
    <col min="9" max="9" width="10.44140625" bestFit="1" customWidth="1" outlineLevel="1"/>
    <col min="10" max="10" width="7.88671875" bestFit="1" customWidth="1" outlineLevel="1"/>
    <col min="11" max="11" width="9.44140625" style="40" customWidth="1" outlineLevel="1"/>
    <col min="12" max="12" width="7.88671875" style="33" customWidth="1" outlineLevel="1"/>
    <col min="13" max="13" width="7.109375" style="33" bestFit="1" customWidth="1" outlineLevel="1"/>
    <col min="14" max="14" width="10.33203125" style="41" bestFit="1" customWidth="1" outlineLevel="1"/>
    <col min="15" max="15" width="7.5546875" style="35" bestFit="1" customWidth="1" outlineLevel="1"/>
    <col min="16" max="16" width="3.6640625" customWidth="1"/>
    <col min="17" max="17" width="16.33203125" customWidth="1"/>
    <col min="20" max="20" width="11" customWidth="1"/>
    <col min="21" max="21" width="9.88671875" customWidth="1"/>
    <col min="22" max="22" width="9.6640625" customWidth="1"/>
    <col min="23" max="23" width="16.44140625" customWidth="1"/>
    <col min="24" max="24" width="5.6640625" customWidth="1"/>
    <col min="25" max="25" width="6.6640625" customWidth="1"/>
    <col min="26" max="26" width="6.44140625" customWidth="1"/>
    <col min="27" max="27" width="7.6640625" customWidth="1"/>
    <col min="29" max="29" width="10.44140625" customWidth="1"/>
  </cols>
  <sheetData>
    <row r="1" spans="1:29" ht="18" customHeight="1" thickBot="1">
      <c r="A1" s="32" t="s">
        <v>593</v>
      </c>
      <c r="E1" s="33"/>
    </row>
    <row r="2" spans="1:29" ht="16.2" thickBot="1">
      <c r="A2" s="42" t="s">
        <v>165</v>
      </c>
      <c r="B2" s="43"/>
      <c r="C2" s="43"/>
      <c r="D2" s="44"/>
      <c r="E2" s="44"/>
      <c r="F2" s="43"/>
      <c r="G2" s="45"/>
      <c r="I2" s="46" t="s">
        <v>166</v>
      </c>
      <c r="J2" s="43"/>
      <c r="K2" s="47"/>
      <c r="L2" s="44"/>
      <c r="M2" s="44"/>
      <c r="N2" s="48"/>
      <c r="O2" s="45"/>
      <c r="Q2" s="729" t="s">
        <v>684</v>
      </c>
    </row>
    <row r="3" spans="1:29" ht="43.8" thickBot="1">
      <c r="A3" s="49"/>
      <c r="B3" s="722" t="s">
        <v>136</v>
      </c>
      <c r="C3" s="722" t="s">
        <v>82</v>
      </c>
      <c r="D3" s="723" t="s">
        <v>167</v>
      </c>
      <c r="E3" s="723" t="s">
        <v>138</v>
      </c>
      <c r="F3" s="724" t="s">
        <v>139</v>
      </c>
      <c r="G3" s="50" t="s">
        <v>140</v>
      </c>
      <c r="I3" s="49"/>
      <c r="J3" s="722" t="s">
        <v>136</v>
      </c>
      <c r="K3" s="722" t="s">
        <v>82</v>
      </c>
      <c r="L3" s="723" t="s">
        <v>168</v>
      </c>
      <c r="M3" s="723" t="s">
        <v>138</v>
      </c>
      <c r="N3" s="727" t="s">
        <v>139</v>
      </c>
      <c r="O3" s="50" t="s">
        <v>140</v>
      </c>
      <c r="Q3" s="266" t="s">
        <v>594</v>
      </c>
      <c r="R3" s="267" t="s">
        <v>179</v>
      </c>
      <c r="S3" s="267" t="s">
        <v>176</v>
      </c>
      <c r="T3" s="267" t="s">
        <v>180</v>
      </c>
      <c r="U3" s="267" t="s">
        <v>178</v>
      </c>
      <c r="V3" s="544" t="s">
        <v>460</v>
      </c>
      <c r="W3" s="612" t="s">
        <v>122</v>
      </c>
      <c r="X3" s="40"/>
      <c r="Y3" s="40"/>
      <c r="Z3" s="40"/>
      <c r="AA3" s="40"/>
      <c r="AC3" s="40"/>
    </row>
    <row r="4" spans="1:29" s="40" customFormat="1">
      <c r="A4" s="409"/>
      <c r="B4" s="47" t="s">
        <v>141</v>
      </c>
      <c r="C4" s="47" t="s">
        <v>595</v>
      </c>
      <c r="D4" s="61" t="s">
        <v>151</v>
      </c>
      <c r="E4" s="61">
        <v>0</v>
      </c>
      <c r="F4" s="47"/>
      <c r="G4" s="63">
        <f>(F9+F10+F11+F12)/4</f>
        <v>2.2006802721088434E-2</v>
      </c>
      <c r="I4" s="409"/>
      <c r="J4" s="47" t="s">
        <v>141</v>
      </c>
      <c r="K4" s="47" t="s">
        <v>169</v>
      </c>
      <c r="L4" s="61" t="s">
        <v>151</v>
      </c>
      <c r="M4" s="61"/>
      <c r="N4" s="62"/>
      <c r="O4" s="63">
        <f>(N6+N7+N8+N9+N10+N11+N12)/7</f>
        <v>1.6864531526896466E-2</v>
      </c>
      <c r="Q4" s="34" t="str">
        <f>C4</f>
        <v>BC 1 day/wk</v>
      </c>
      <c r="R4" s="33">
        <v>65</v>
      </c>
      <c r="S4" s="41">
        <v>0</v>
      </c>
      <c r="T4" s="33">
        <f>(R4*S4)+R4</f>
        <v>65</v>
      </c>
      <c r="U4" s="716">
        <f>T4-R4</f>
        <v>0</v>
      </c>
      <c r="V4" s="718">
        <f>T4/4</f>
        <v>16.25</v>
      </c>
      <c r="W4" s="1038"/>
      <c r="X4" s="601"/>
      <c r="Y4" s="601"/>
      <c r="Z4" s="601"/>
    </row>
    <row r="5" spans="1:29" s="40" customFormat="1" ht="14.4" customHeight="1">
      <c r="A5" s="51"/>
      <c r="B5" s="40" t="s">
        <v>142</v>
      </c>
      <c r="D5" s="52" t="s">
        <v>151</v>
      </c>
      <c r="E5" s="52">
        <v>0</v>
      </c>
      <c r="F5" s="725"/>
      <c r="G5" s="54"/>
      <c r="I5" s="55"/>
      <c r="J5" s="40" t="s">
        <v>142</v>
      </c>
      <c r="L5" s="52">
        <v>95</v>
      </c>
      <c r="M5" s="52"/>
      <c r="N5" s="408"/>
      <c r="O5" s="54"/>
      <c r="Q5" s="34" t="str">
        <f>C17</f>
        <v>BC 2 days/wk</v>
      </c>
      <c r="R5" s="33">
        <v>120</v>
      </c>
      <c r="S5" s="41">
        <v>0</v>
      </c>
      <c r="T5" s="33">
        <f>(R5*S5)+R5</f>
        <v>120</v>
      </c>
      <c r="U5" s="716">
        <f>T5-R5</f>
        <v>0</v>
      </c>
      <c r="V5" s="718">
        <f>T5/8</f>
        <v>15</v>
      </c>
      <c r="W5" s="1035"/>
      <c r="X5" s="601"/>
      <c r="Y5" s="601"/>
      <c r="Z5" s="601"/>
    </row>
    <row r="6" spans="1:29" s="40" customFormat="1">
      <c r="A6" s="51"/>
      <c r="B6" s="40" t="s">
        <v>143</v>
      </c>
      <c r="D6" s="52" t="s">
        <v>151</v>
      </c>
      <c r="E6" s="52">
        <v>0</v>
      </c>
      <c r="F6" s="725"/>
      <c r="G6" s="54"/>
      <c r="I6" s="51"/>
      <c r="J6" s="40" t="s">
        <v>143</v>
      </c>
      <c r="L6" s="52">
        <v>96</v>
      </c>
      <c r="M6" s="52">
        <f>L6-L5</f>
        <v>1</v>
      </c>
      <c r="N6" s="408">
        <f>M6/L6</f>
        <v>1.0416666666666666E-2</v>
      </c>
      <c r="O6" s="54"/>
      <c r="Q6" s="34" t="str">
        <f>C30</f>
        <v>BC 3 days/wk</v>
      </c>
      <c r="R6" s="33">
        <v>170</v>
      </c>
      <c r="S6" s="41">
        <v>2.9399999999999999E-2</v>
      </c>
      <c r="T6" s="33">
        <f>(R6*S6)+R6</f>
        <v>174.99799999999999</v>
      </c>
      <c r="U6" s="716">
        <f>T6-R6</f>
        <v>4.9979999999999905</v>
      </c>
      <c r="V6" s="718">
        <f>T6/12</f>
        <v>14.583166666666665</v>
      </c>
      <c r="W6" s="1035"/>
    </row>
    <row r="7" spans="1:29" s="40" customFormat="1">
      <c r="A7" s="51"/>
      <c r="B7" s="40" t="s">
        <v>144</v>
      </c>
      <c r="D7" s="52">
        <v>48</v>
      </c>
      <c r="E7" s="52">
        <v>48</v>
      </c>
      <c r="F7" s="725" t="s">
        <v>134</v>
      </c>
      <c r="G7" s="54"/>
      <c r="I7" s="51"/>
      <c r="J7" s="40" t="s">
        <v>144</v>
      </c>
      <c r="L7" s="52">
        <v>98</v>
      </c>
      <c r="M7" s="52">
        <f t="shared" ref="M7:M12" si="0">L7-L6</f>
        <v>2</v>
      </c>
      <c r="N7" s="408">
        <f t="shared" ref="N7:N15" si="1">M7/L7</f>
        <v>2.0408163265306121E-2</v>
      </c>
      <c r="O7" s="54"/>
      <c r="Q7" s="34" t="str">
        <f>C43</f>
        <v>BC 4 days/wk</v>
      </c>
      <c r="R7" s="33">
        <v>210</v>
      </c>
      <c r="S7" s="41">
        <v>2.3800000000000002E-2</v>
      </c>
      <c r="T7" s="33">
        <f>(R7*S7)+R7</f>
        <v>214.99799999999999</v>
      </c>
      <c r="U7" s="716">
        <f>T7-R7</f>
        <v>4.9979999999999905</v>
      </c>
      <c r="V7" s="718">
        <f>T7/16</f>
        <v>13.437374999999999</v>
      </c>
      <c r="W7" s="1035"/>
      <c r="AA7" s="423"/>
    </row>
    <row r="8" spans="1:29" s="40" customFormat="1" ht="15" thickBot="1">
      <c r="A8" s="51"/>
      <c r="B8" s="40" t="s">
        <v>145</v>
      </c>
      <c r="D8" s="52">
        <v>48</v>
      </c>
      <c r="E8" s="52">
        <f>D8-D7</f>
        <v>0</v>
      </c>
      <c r="F8" s="725">
        <f t="shared" ref="F8:F14" si="2">E8/D8</f>
        <v>0</v>
      </c>
      <c r="G8" s="54"/>
      <c r="I8" s="51"/>
      <c r="J8" s="40" t="s">
        <v>145</v>
      </c>
      <c r="L8" s="52">
        <v>98</v>
      </c>
      <c r="M8" s="52">
        <f t="shared" si="0"/>
        <v>0</v>
      </c>
      <c r="N8" s="408">
        <f t="shared" si="1"/>
        <v>0</v>
      </c>
      <c r="O8" s="54"/>
      <c r="Q8" s="36" t="str">
        <f>C56</f>
        <v>BC 5 days/wk</v>
      </c>
      <c r="R8" s="38">
        <v>250</v>
      </c>
      <c r="S8" s="411">
        <v>0.02</v>
      </c>
      <c r="T8" s="38">
        <f>(R8*S8)+R8</f>
        <v>255</v>
      </c>
      <c r="U8" s="717">
        <f>T8-R8</f>
        <v>5</v>
      </c>
      <c r="V8" s="719">
        <f>T8/20</f>
        <v>12.75</v>
      </c>
      <c r="W8" s="1039"/>
    </row>
    <row r="9" spans="1:29" s="40" customFormat="1" ht="15" thickBot="1">
      <c r="A9" s="51"/>
      <c r="B9" s="40" t="s">
        <v>146</v>
      </c>
      <c r="D9" s="52">
        <v>49</v>
      </c>
      <c r="E9" s="52">
        <f>D9-D8</f>
        <v>1</v>
      </c>
      <c r="F9" s="725">
        <f t="shared" si="2"/>
        <v>2.0408163265306121E-2</v>
      </c>
      <c r="G9" s="54"/>
      <c r="I9" s="51"/>
      <c r="J9" s="40" t="s">
        <v>146</v>
      </c>
      <c r="L9" s="52">
        <v>100</v>
      </c>
      <c r="M9" s="52">
        <f t="shared" si="0"/>
        <v>2</v>
      </c>
      <c r="N9" s="408">
        <f t="shared" si="1"/>
        <v>0.02</v>
      </c>
      <c r="O9" s="54"/>
      <c r="S9" s="408"/>
      <c r="U9" s="197"/>
      <c r="V9"/>
      <c r="AC9" s="214"/>
    </row>
    <row r="10" spans="1:29" s="40" customFormat="1" ht="43.8" thickBot="1">
      <c r="A10" s="51"/>
      <c r="B10" s="40" t="s">
        <v>147</v>
      </c>
      <c r="D10" s="52">
        <v>50</v>
      </c>
      <c r="E10" s="52">
        <f>D10-D9</f>
        <v>1</v>
      </c>
      <c r="F10" s="725">
        <f t="shared" si="2"/>
        <v>0.02</v>
      </c>
      <c r="G10" s="54"/>
      <c r="I10" s="51"/>
      <c r="J10" s="40" t="s">
        <v>147</v>
      </c>
      <c r="L10" s="52">
        <v>102</v>
      </c>
      <c r="M10" s="52">
        <f t="shared" si="0"/>
        <v>2</v>
      </c>
      <c r="N10" s="408">
        <f t="shared" si="1"/>
        <v>1.9607843137254902E-2</v>
      </c>
      <c r="O10" s="54"/>
      <c r="Q10" s="266" t="s">
        <v>181</v>
      </c>
      <c r="R10" s="267" t="s">
        <v>179</v>
      </c>
      <c r="S10" s="545" t="s">
        <v>176</v>
      </c>
      <c r="T10" s="267" t="s">
        <v>180</v>
      </c>
      <c r="U10" s="267" t="s">
        <v>178</v>
      </c>
      <c r="V10" s="1033" t="s">
        <v>460</v>
      </c>
      <c r="W10" s="1034" t="s">
        <v>122</v>
      </c>
    </row>
    <row r="11" spans="1:29" s="40" customFormat="1">
      <c r="A11" s="51"/>
      <c r="B11" s="40" t="s">
        <v>148</v>
      </c>
      <c r="D11" s="52">
        <v>50</v>
      </c>
      <c r="E11" s="52">
        <f>D11-D10</f>
        <v>0</v>
      </c>
      <c r="F11" s="725">
        <f t="shared" si="2"/>
        <v>0</v>
      </c>
      <c r="G11" s="54"/>
      <c r="I11" s="51"/>
      <c r="J11" s="40" t="s">
        <v>148</v>
      </c>
      <c r="L11" s="52">
        <v>102</v>
      </c>
      <c r="M11" s="52">
        <f t="shared" si="0"/>
        <v>0</v>
      </c>
      <c r="N11" s="408">
        <f t="shared" si="1"/>
        <v>0</v>
      </c>
      <c r="O11" s="54"/>
      <c r="Q11" s="34" t="str">
        <f>K4</f>
        <v>AC 1 day/wk</v>
      </c>
      <c r="R11" s="33">
        <v>125</v>
      </c>
      <c r="S11" s="41">
        <v>0.04</v>
      </c>
      <c r="T11" s="33">
        <f>(R11*S11)+R11</f>
        <v>130</v>
      </c>
      <c r="U11" s="716">
        <f>T11-R11</f>
        <v>5</v>
      </c>
      <c r="V11" s="1030">
        <f>T11/4</f>
        <v>32.5</v>
      </c>
      <c r="W11" s="1035"/>
    </row>
    <row r="12" spans="1:29" s="40" customFormat="1" ht="15" thickBot="1">
      <c r="A12" s="51"/>
      <c r="B12" s="40" t="s">
        <v>149</v>
      </c>
      <c r="D12" s="52">
        <v>52.5</v>
      </c>
      <c r="E12" s="52">
        <f>D12-D11</f>
        <v>2.5</v>
      </c>
      <c r="F12" s="725">
        <f t="shared" si="2"/>
        <v>4.7619047619047616E-2</v>
      </c>
      <c r="G12" s="56"/>
      <c r="I12" s="51"/>
      <c r="J12" s="40" t="s">
        <v>149</v>
      </c>
      <c r="L12" s="52">
        <v>107.1</v>
      </c>
      <c r="M12" s="52">
        <f t="shared" si="0"/>
        <v>5.0999999999999943</v>
      </c>
      <c r="N12" s="408">
        <f t="shared" si="1"/>
        <v>4.7619047619047568E-2</v>
      </c>
      <c r="O12" s="56"/>
      <c r="Q12" s="34" t="str">
        <f>K17</f>
        <v>AC 2 days/wk</v>
      </c>
      <c r="R12" s="33">
        <v>220</v>
      </c>
      <c r="S12" s="41">
        <v>0</v>
      </c>
      <c r="T12" s="33">
        <f>(R12*S12)+R12</f>
        <v>220</v>
      </c>
      <c r="U12" s="716">
        <f>T12-R12</f>
        <v>0</v>
      </c>
      <c r="V12" s="1030">
        <f>T12/8</f>
        <v>27.5</v>
      </c>
      <c r="W12" s="1035"/>
      <c r="X12" s="423">
        <f>V12/V11</f>
        <v>0.84615384615384615</v>
      </c>
      <c r="Y12" s="52">
        <f>V11-V12</f>
        <v>5</v>
      </c>
      <c r="AA12" s="52">
        <f>T12-T11</f>
        <v>90</v>
      </c>
    </row>
    <row r="13" spans="1:29" s="40" customFormat="1">
      <c r="A13" s="51"/>
      <c r="B13" s="40" t="s">
        <v>368</v>
      </c>
      <c r="D13" s="52">
        <v>57.75</v>
      </c>
      <c r="E13" s="52">
        <f>D14-D13</f>
        <v>2.25</v>
      </c>
      <c r="F13" s="725">
        <f t="shared" si="2"/>
        <v>3.896103896103896E-2</v>
      </c>
      <c r="G13" s="56"/>
      <c r="I13" s="51"/>
      <c r="J13" s="40" t="s">
        <v>368</v>
      </c>
      <c r="L13" s="52">
        <v>117.81</v>
      </c>
      <c r="M13" s="52">
        <f>L14-L13</f>
        <v>7.1899999999999977</v>
      </c>
      <c r="N13" s="408">
        <f t="shared" si="1"/>
        <v>6.1030472795178654E-2</v>
      </c>
      <c r="O13" s="56"/>
      <c r="Q13" s="46" t="str">
        <f>K30</f>
        <v>AC 3 days/wk</v>
      </c>
      <c r="R13" s="44">
        <v>285</v>
      </c>
      <c r="S13" s="48">
        <v>5.2630000000000003E-2</v>
      </c>
      <c r="T13" s="44">
        <f>(R13*S13)+R13</f>
        <v>299.99955</v>
      </c>
      <c r="U13" s="720">
        <f>T13-R13</f>
        <v>14.999549999999999</v>
      </c>
      <c r="V13" s="1031">
        <f>T13/12</f>
        <v>24.999962499999999</v>
      </c>
      <c r="W13" s="1041"/>
      <c r="X13" s="423">
        <f>V13/V12</f>
        <v>0.90908954545454546</v>
      </c>
      <c r="Y13" s="52">
        <f>V12-V13</f>
        <v>2.5000375000000012</v>
      </c>
      <c r="AA13" s="52">
        <f>T13-T12</f>
        <v>79.999549999999999</v>
      </c>
    </row>
    <row r="14" spans="1:29" s="40" customFormat="1" ht="14.4" customHeight="1">
      <c r="A14" s="51"/>
      <c r="B14" s="40" t="s">
        <v>409</v>
      </c>
      <c r="D14" s="52">
        <v>60</v>
      </c>
      <c r="E14" s="52">
        <f>D15-D14</f>
        <v>5</v>
      </c>
      <c r="F14" s="725">
        <f t="shared" si="2"/>
        <v>8.3333333333333329E-2</v>
      </c>
      <c r="G14" s="56"/>
      <c r="I14" s="51"/>
      <c r="J14" s="40" t="s">
        <v>409</v>
      </c>
      <c r="L14" s="52">
        <v>125</v>
      </c>
      <c r="M14" s="52">
        <f>L15-L14</f>
        <v>0</v>
      </c>
      <c r="N14" s="408">
        <f t="shared" si="1"/>
        <v>0</v>
      </c>
      <c r="O14" s="56"/>
      <c r="Q14" s="34" t="str">
        <f>K43</f>
        <v>AC 4 days/wk</v>
      </c>
      <c r="R14" s="33">
        <v>350</v>
      </c>
      <c r="S14" s="41">
        <v>2.8570000000000002E-2</v>
      </c>
      <c r="T14" s="33">
        <f>(R14*S14)+R14</f>
        <v>359.99950000000001</v>
      </c>
      <c r="U14" s="716">
        <f>T14-R14</f>
        <v>9.9995000000000118</v>
      </c>
      <c r="V14" s="1030">
        <f>T14/16</f>
        <v>22.499968750000001</v>
      </c>
      <c r="W14" s="1036"/>
      <c r="X14" s="423">
        <f>V14/V13</f>
        <v>0.90000010000015007</v>
      </c>
      <c r="Y14" s="52">
        <f>V13-V14</f>
        <v>2.499993749999998</v>
      </c>
      <c r="AA14" s="52">
        <f>T14-T13</f>
        <v>59.999950000000013</v>
      </c>
    </row>
    <row r="15" spans="1:29" s="40" customFormat="1" ht="15" thickBot="1">
      <c r="A15" s="51"/>
      <c r="B15" s="40" t="s">
        <v>505</v>
      </c>
      <c r="D15" s="52">
        <v>65</v>
      </c>
      <c r="E15" s="52">
        <f>D16-D15</f>
        <v>0</v>
      </c>
      <c r="F15" s="725">
        <f t="shared" ref="F15" si="3">E15/D15</f>
        <v>0</v>
      </c>
      <c r="G15" s="56"/>
      <c r="I15" s="51"/>
      <c r="J15" s="40" t="s">
        <v>505</v>
      </c>
      <c r="L15" s="52">
        <v>125</v>
      </c>
      <c r="M15" s="52">
        <f>L16-L15</f>
        <v>5</v>
      </c>
      <c r="N15" s="408">
        <f t="shared" si="1"/>
        <v>0.04</v>
      </c>
      <c r="O15" s="56"/>
      <c r="Q15" s="36" t="str">
        <f>K56</f>
        <v>AC 5 days/wk</v>
      </c>
      <c r="R15" s="38">
        <v>400</v>
      </c>
      <c r="S15" s="411">
        <v>2.5000000000000001E-2</v>
      </c>
      <c r="T15" s="38">
        <f>(R15*S15)+R15</f>
        <v>410</v>
      </c>
      <c r="U15" s="717">
        <f>T15-R15</f>
        <v>10</v>
      </c>
      <c r="V15" s="1032">
        <f>T15/20</f>
        <v>20.5</v>
      </c>
      <c r="W15" s="1037"/>
      <c r="X15" s="423">
        <f>V15/V14</f>
        <v>0.91111237654496735</v>
      </c>
      <c r="Y15" s="52">
        <f>V14-V15</f>
        <v>1.9999687500000007</v>
      </c>
      <c r="AA15" s="52">
        <f>T15-T14</f>
        <v>50.000499999999988</v>
      </c>
    </row>
    <row r="16" spans="1:29" s="40" customFormat="1" ht="15" thickBot="1">
      <c r="A16" s="58"/>
      <c r="B16" s="59" t="s">
        <v>592</v>
      </c>
      <c r="C16" s="59"/>
      <c r="D16" s="60">
        <f>T4</f>
        <v>65</v>
      </c>
      <c r="E16" s="60"/>
      <c r="F16" s="59"/>
      <c r="G16" s="726"/>
      <c r="I16" s="58"/>
      <c r="J16" s="59" t="s">
        <v>592</v>
      </c>
      <c r="K16" s="59"/>
      <c r="L16" s="60">
        <f>T11</f>
        <v>130</v>
      </c>
      <c r="M16" s="60"/>
      <c r="N16" s="728"/>
      <c r="O16" s="726"/>
      <c r="U16" s="197"/>
      <c r="V16"/>
    </row>
    <row r="17" spans="1:26" s="40" customFormat="1" ht="43.8" thickBot="1">
      <c r="A17" s="602"/>
      <c r="B17" s="603" t="s">
        <v>141</v>
      </c>
      <c r="C17" s="603" t="s">
        <v>596</v>
      </c>
      <c r="D17" s="604">
        <v>88</v>
      </c>
      <c r="E17" s="604"/>
      <c r="F17" s="603"/>
      <c r="G17" s="605">
        <f>(F18+F19+F20+F21+F22+F23+F24+F25)/8</f>
        <v>2.1715932271447001E-2</v>
      </c>
      <c r="I17" s="731"/>
      <c r="J17" s="603" t="s">
        <v>141</v>
      </c>
      <c r="K17" s="603" t="s">
        <v>170</v>
      </c>
      <c r="L17" s="604">
        <v>156</v>
      </c>
      <c r="M17" s="604"/>
      <c r="N17" s="730"/>
      <c r="O17" s="605">
        <f>(N18+N19+N20+N21+N22+N23+N24+N25)/8</f>
        <v>2.2199696236468329E-2</v>
      </c>
      <c r="Q17" s="266" t="s">
        <v>182</v>
      </c>
      <c r="R17" s="267" t="s">
        <v>179</v>
      </c>
      <c r="S17" s="267" t="s">
        <v>176</v>
      </c>
      <c r="T17" s="267" t="s">
        <v>180</v>
      </c>
      <c r="U17" s="267" t="s">
        <v>178</v>
      </c>
      <c r="V17" s="544" t="s">
        <v>460</v>
      </c>
      <c r="W17" s="715" t="s">
        <v>122</v>
      </c>
    </row>
    <row r="18" spans="1:26" s="40" customFormat="1" ht="15" thickBot="1">
      <c r="A18" s="51"/>
      <c r="B18" s="40" t="s">
        <v>142</v>
      </c>
      <c r="D18" s="52">
        <v>92</v>
      </c>
      <c r="E18" s="52">
        <f>D18-D17</f>
        <v>4</v>
      </c>
      <c r="F18" s="725">
        <f>E18/D18</f>
        <v>4.3478260869565216E-2</v>
      </c>
      <c r="G18" s="54"/>
      <c r="I18" s="51"/>
      <c r="J18" s="40" t="s">
        <v>142</v>
      </c>
      <c r="L18" s="52">
        <v>164</v>
      </c>
      <c r="M18" s="52">
        <f>L18-L17</f>
        <v>8</v>
      </c>
      <c r="N18" s="408">
        <f>M18/L18</f>
        <v>4.878048780487805E-2</v>
      </c>
      <c r="O18" s="56"/>
      <c r="Q18" s="36" t="str">
        <f>C70</f>
        <v>B&amp;AC 5 days/wk</v>
      </c>
      <c r="R18" s="38">
        <v>580</v>
      </c>
      <c r="S18" s="721">
        <v>1.7239999999999998E-2</v>
      </c>
      <c r="T18" s="38">
        <f>(R18*S18)+R18</f>
        <v>589.99919999999997</v>
      </c>
      <c r="U18" s="38">
        <f>T18-R18</f>
        <v>9.9991999999999734</v>
      </c>
      <c r="V18" s="719">
        <f>T18/20</f>
        <v>29.499959999999998</v>
      </c>
      <c r="W18" s="1040"/>
      <c r="Y18" s="52">
        <f>V8+V15</f>
        <v>33.25</v>
      </c>
      <c r="Z18" s="52">
        <f>Y18-V18</f>
        <v>3.750040000000002</v>
      </c>
    </row>
    <row r="19" spans="1:26" s="40" customFormat="1" ht="13.8">
      <c r="A19" s="51"/>
      <c r="B19" s="40" t="s">
        <v>143</v>
      </c>
      <c r="D19" s="52">
        <v>93</v>
      </c>
      <c r="E19" s="52">
        <f t="shared" ref="E19:E25" si="4">D19-D18</f>
        <v>1</v>
      </c>
      <c r="F19" s="725">
        <f t="shared" ref="F19:F27" si="5">E19/D19</f>
        <v>1.0752688172043012E-2</v>
      </c>
      <c r="G19" s="54"/>
      <c r="I19" s="51"/>
      <c r="J19" s="40" t="s">
        <v>143</v>
      </c>
      <c r="L19" s="52">
        <v>165.75</v>
      </c>
      <c r="M19" s="52">
        <f t="shared" ref="M19:M25" si="6">L19-L18</f>
        <v>1.75</v>
      </c>
      <c r="N19" s="408">
        <f t="shared" ref="N19:N27" si="7">M19/L19</f>
        <v>1.0558069381598794E-2</v>
      </c>
      <c r="O19" s="54"/>
      <c r="Q19" s="1028" t="s">
        <v>528</v>
      </c>
      <c r="R19" s="1028"/>
      <c r="S19" s="1029">
        <f>(S4+S5+S6+S7+S8+S11+S12+S13+S14+S15+S18)/11</f>
        <v>2.1512727272727274E-2</v>
      </c>
    </row>
    <row r="20" spans="1:26" s="40" customFormat="1" ht="14.4" customHeight="1">
      <c r="A20" s="51"/>
      <c r="B20" s="40" t="s">
        <v>144</v>
      </c>
      <c r="D20" s="52">
        <v>95</v>
      </c>
      <c r="E20" s="52">
        <f t="shared" si="4"/>
        <v>2</v>
      </c>
      <c r="F20" s="725">
        <f t="shared" si="5"/>
        <v>2.1052631578947368E-2</v>
      </c>
      <c r="G20" s="54"/>
      <c r="I20" s="51"/>
      <c r="J20" s="40" t="s">
        <v>144</v>
      </c>
      <c r="L20" s="52">
        <v>169</v>
      </c>
      <c r="M20" s="52">
        <f t="shared" si="6"/>
        <v>3.25</v>
      </c>
      <c r="N20" s="408">
        <f t="shared" si="7"/>
        <v>1.9230769230769232E-2</v>
      </c>
      <c r="O20" s="54"/>
    </row>
    <row r="21" spans="1:26" s="40" customFormat="1" ht="10.199999999999999">
      <c r="A21" s="51"/>
      <c r="B21" s="40" t="s">
        <v>145</v>
      </c>
      <c r="D21" s="52">
        <v>96</v>
      </c>
      <c r="E21" s="52">
        <f t="shared" si="4"/>
        <v>1</v>
      </c>
      <c r="F21" s="725">
        <f t="shared" si="5"/>
        <v>1.0416666666666666E-2</v>
      </c>
      <c r="G21" s="54"/>
      <c r="I21" s="51"/>
      <c r="J21" s="40" t="s">
        <v>145</v>
      </c>
      <c r="L21" s="52">
        <v>171</v>
      </c>
      <c r="M21" s="52">
        <f t="shared" si="6"/>
        <v>2</v>
      </c>
      <c r="N21" s="408">
        <f t="shared" si="7"/>
        <v>1.1695906432748537E-2</v>
      </c>
      <c r="O21" s="54"/>
    </row>
    <row r="22" spans="1:26" s="40" customFormat="1">
      <c r="A22" s="51"/>
      <c r="B22" s="40" t="s">
        <v>146</v>
      </c>
      <c r="D22" s="52">
        <v>98</v>
      </c>
      <c r="E22" s="52">
        <f t="shared" si="4"/>
        <v>2</v>
      </c>
      <c r="F22" s="725">
        <f t="shared" si="5"/>
        <v>2.0408163265306121E-2</v>
      </c>
      <c r="G22" s="54"/>
      <c r="I22" s="51"/>
      <c r="J22" s="40" t="s">
        <v>146</v>
      </c>
      <c r="L22" s="52">
        <v>174</v>
      </c>
      <c r="M22" s="52">
        <f t="shared" si="6"/>
        <v>3</v>
      </c>
      <c r="N22" s="408">
        <f t="shared" si="7"/>
        <v>1.7241379310344827E-2</v>
      </c>
      <c r="O22" s="54"/>
      <c r="Q22"/>
      <c r="R22"/>
      <c r="S22"/>
      <c r="T22"/>
      <c r="U22"/>
    </row>
    <row r="23" spans="1:26" s="40" customFormat="1" ht="10.199999999999999">
      <c r="A23" s="51"/>
      <c r="B23" s="40" t="s">
        <v>147</v>
      </c>
      <c r="D23" s="52">
        <v>100</v>
      </c>
      <c r="E23" s="52">
        <f t="shared" si="4"/>
        <v>2</v>
      </c>
      <c r="F23" s="725">
        <f t="shared" si="5"/>
        <v>0.02</v>
      </c>
      <c r="G23" s="54"/>
      <c r="I23" s="51"/>
      <c r="J23" s="40" t="s">
        <v>147</v>
      </c>
      <c r="L23" s="52">
        <v>178</v>
      </c>
      <c r="M23" s="52">
        <f t="shared" si="6"/>
        <v>4</v>
      </c>
      <c r="N23" s="408">
        <f t="shared" si="7"/>
        <v>2.247191011235955E-2</v>
      </c>
      <c r="O23" s="54"/>
    </row>
    <row r="24" spans="1:26" s="40" customFormat="1" ht="10.199999999999999">
      <c r="A24" s="51"/>
      <c r="B24" s="40" t="s">
        <v>148</v>
      </c>
      <c r="D24" s="52">
        <v>100</v>
      </c>
      <c r="E24" s="52">
        <f t="shared" si="4"/>
        <v>0</v>
      </c>
      <c r="F24" s="725">
        <f t="shared" si="5"/>
        <v>0</v>
      </c>
      <c r="G24" s="54"/>
      <c r="I24" s="51"/>
      <c r="J24" s="40" t="s">
        <v>148</v>
      </c>
      <c r="L24" s="52">
        <v>178</v>
      </c>
      <c r="M24" s="52">
        <f t="shared" si="6"/>
        <v>0</v>
      </c>
      <c r="N24" s="408">
        <f t="shared" si="7"/>
        <v>0</v>
      </c>
      <c r="O24" s="54"/>
    </row>
    <row r="25" spans="1:26" s="40" customFormat="1" ht="10.199999999999999">
      <c r="A25" s="51"/>
      <c r="B25" s="40" t="s">
        <v>149</v>
      </c>
      <c r="C25" s="40" t="s">
        <v>134</v>
      </c>
      <c r="D25" s="733">
        <v>105</v>
      </c>
      <c r="E25" s="733">
        <f t="shared" si="4"/>
        <v>5</v>
      </c>
      <c r="F25" s="725">
        <f t="shared" si="5"/>
        <v>4.7619047619047616E-2</v>
      </c>
      <c r="G25" s="56"/>
      <c r="I25" s="51"/>
      <c r="J25" s="40" t="s">
        <v>149</v>
      </c>
      <c r="L25" s="52">
        <v>186.9</v>
      </c>
      <c r="M25" s="52">
        <f t="shared" si="6"/>
        <v>8.9000000000000057</v>
      </c>
      <c r="N25" s="408">
        <f t="shared" si="7"/>
        <v>4.7619047619047651E-2</v>
      </c>
      <c r="O25" s="56"/>
    </row>
    <row r="26" spans="1:26" s="40" customFormat="1" ht="10.199999999999999">
      <c r="A26" s="51"/>
      <c r="B26" s="40" t="s">
        <v>368</v>
      </c>
      <c r="D26" s="733">
        <v>115.5</v>
      </c>
      <c r="E26" s="733">
        <f>D27-D26</f>
        <v>4.5</v>
      </c>
      <c r="F26" s="725">
        <f t="shared" si="5"/>
        <v>3.896103896103896E-2</v>
      </c>
      <c r="G26" s="56"/>
      <c r="I26" s="51"/>
      <c r="J26" s="40" t="s">
        <v>368</v>
      </c>
      <c r="L26" s="52">
        <v>205.59</v>
      </c>
      <c r="M26" s="52">
        <f>L27-L26</f>
        <v>9.4099999999999966</v>
      </c>
      <c r="N26" s="408">
        <f t="shared" si="7"/>
        <v>4.5770708692056988E-2</v>
      </c>
      <c r="O26" s="56"/>
    </row>
    <row r="27" spans="1:26" s="40" customFormat="1" ht="10.199999999999999">
      <c r="A27" s="51"/>
      <c r="B27" s="40" t="s">
        <v>409</v>
      </c>
      <c r="D27" s="733">
        <v>120</v>
      </c>
      <c r="E27" s="733">
        <f>D28-D27</f>
        <v>0</v>
      </c>
      <c r="F27" s="725">
        <f t="shared" si="5"/>
        <v>0</v>
      </c>
      <c r="G27" s="56"/>
      <c r="I27" s="55"/>
      <c r="J27" s="40" t="s">
        <v>409</v>
      </c>
      <c r="L27" s="52">
        <v>215</v>
      </c>
      <c r="M27" s="52">
        <f>L28-L27</f>
        <v>5</v>
      </c>
      <c r="N27" s="408">
        <f t="shared" si="7"/>
        <v>2.3255813953488372E-2</v>
      </c>
      <c r="O27" s="56"/>
    </row>
    <row r="28" spans="1:26" s="40" customFormat="1" ht="10.199999999999999">
      <c r="A28" s="51"/>
      <c r="B28" s="40" t="s">
        <v>505</v>
      </c>
      <c r="D28" s="733">
        <v>120</v>
      </c>
      <c r="E28" s="733">
        <f>D29-D28</f>
        <v>0</v>
      </c>
      <c r="F28" s="725">
        <f t="shared" ref="F28" si="8">E28/D28</f>
        <v>0</v>
      </c>
      <c r="G28" s="56"/>
      <c r="I28" s="55"/>
      <c r="J28" s="40" t="s">
        <v>505</v>
      </c>
      <c r="L28" s="52">
        <v>220</v>
      </c>
      <c r="M28" s="52">
        <f>L29-L28</f>
        <v>0</v>
      </c>
      <c r="N28" s="408">
        <f t="shared" ref="N28" si="9">M28/L28</f>
        <v>0</v>
      </c>
      <c r="O28" s="56"/>
    </row>
    <row r="29" spans="1:26" s="40" customFormat="1" ht="10.8" thickBot="1">
      <c r="A29" s="51"/>
      <c r="B29" s="40" t="s">
        <v>592</v>
      </c>
      <c r="C29" s="40" t="s">
        <v>134</v>
      </c>
      <c r="D29" s="52">
        <f>T5</f>
        <v>120</v>
      </c>
      <c r="E29" s="52"/>
      <c r="F29" s="57"/>
      <c r="G29" s="54"/>
      <c r="I29" s="51"/>
      <c r="J29" s="40" t="s">
        <v>592</v>
      </c>
      <c r="L29" s="52">
        <f>T12</f>
        <v>220</v>
      </c>
      <c r="M29" s="52"/>
      <c r="N29" s="408"/>
      <c r="O29" s="54"/>
    </row>
    <row r="30" spans="1:26" s="40" customFormat="1" ht="10.199999999999999">
      <c r="A30" s="409"/>
      <c r="B30" s="47" t="s">
        <v>141</v>
      </c>
      <c r="C30" s="47" t="s">
        <v>597</v>
      </c>
      <c r="D30" s="61">
        <v>124</v>
      </c>
      <c r="E30" s="61"/>
      <c r="F30" s="734"/>
      <c r="G30" s="63">
        <f>(F31+F32+F33+F34+F35+F36+F37+F38)/8</f>
        <v>2.0906417935538636E-2</v>
      </c>
      <c r="I30" s="409"/>
      <c r="J30" s="47" t="s">
        <v>141</v>
      </c>
      <c r="K30" s="47" t="s">
        <v>171</v>
      </c>
      <c r="L30" s="61">
        <v>188</v>
      </c>
      <c r="M30" s="61"/>
      <c r="N30" s="62"/>
      <c r="O30" s="63">
        <f>(N31+N32+N33+N34+N35+N36+N37+N38)/8</f>
        <v>2.1341650978190602E-2</v>
      </c>
    </row>
    <row r="31" spans="1:26" s="40" customFormat="1" ht="10.199999999999999">
      <c r="A31" s="51"/>
      <c r="B31" s="40" t="s">
        <v>142</v>
      </c>
      <c r="D31" s="52">
        <v>130</v>
      </c>
      <c r="E31" s="52">
        <f>D31-D30</f>
        <v>6</v>
      </c>
      <c r="F31" s="725">
        <f>E31/D31</f>
        <v>4.6153846153846156E-2</v>
      </c>
      <c r="G31" s="54"/>
      <c r="I31" s="51"/>
      <c r="J31" s="40" t="s">
        <v>142</v>
      </c>
      <c r="L31" s="52">
        <v>197</v>
      </c>
      <c r="M31" s="52">
        <f>L31-L30</f>
        <v>9</v>
      </c>
      <c r="N31" s="408">
        <f>M31/L31</f>
        <v>4.5685279187817257E-2</v>
      </c>
      <c r="O31" s="54"/>
    </row>
    <row r="32" spans="1:26" s="40" customFormat="1" ht="10.199999999999999">
      <c r="A32" s="51"/>
      <c r="B32" s="40" t="s">
        <v>143</v>
      </c>
      <c r="D32" s="52">
        <v>131.25</v>
      </c>
      <c r="E32" s="52">
        <f t="shared" ref="E32:E38" si="10">D32-D31</f>
        <v>1.25</v>
      </c>
      <c r="F32" s="725">
        <f t="shared" ref="F32:F38" si="11">E32/D32</f>
        <v>9.5238095238095247E-3</v>
      </c>
      <c r="G32" s="54"/>
      <c r="I32" s="51"/>
      <c r="J32" s="40" t="s">
        <v>143</v>
      </c>
      <c r="L32" s="52">
        <v>199</v>
      </c>
      <c r="M32" s="52">
        <f t="shared" ref="M32:M38" si="12">L32-L31</f>
        <v>2</v>
      </c>
      <c r="N32" s="408">
        <f t="shared" ref="N32:N41" si="13">M32/L32</f>
        <v>1.0050251256281407E-2</v>
      </c>
      <c r="O32" s="54"/>
    </row>
    <row r="33" spans="1:15" s="40" customFormat="1" ht="10.199999999999999">
      <c r="A33" s="51"/>
      <c r="B33" s="40" t="s">
        <v>144</v>
      </c>
      <c r="D33" s="52">
        <v>134</v>
      </c>
      <c r="E33" s="52">
        <f t="shared" si="10"/>
        <v>2.75</v>
      </c>
      <c r="F33" s="725">
        <f t="shared" si="11"/>
        <v>2.0522388059701493E-2</v>
      </c>
      <c r="G33" s="54"/>
      <c r="I33" s="51"/>
      <c r="J33" s="40" t="s">
        <v>144</v>
      </c>
      <c r="L33" s="52">
        <v>203</v>
      </c>
      <c r="M33" s="52">
        <f t="shared" si="12"/>
        <v>4</v>
      </c>
      <c r="N33" s="408">
        <f t="shared" si="13"/>
        <v>1.9704433497536946E-2</v>
      </c>
      <c r="O33" s="54"/>
    </row>
    <row r="34" spans="1:15" s="40" customFormat="1" ht="10.199999999999999">
      <c r="A34" s="51"/>
      <c r="B34" s="40" t="s">
        <v>145</v>
      </c>
      <c r="D34" s="52">
        <v>135</v>
      </c>
      <c r="E34" s="52">
        <f t="shared" si="10"/>
        <v>1</v>
      </c>
      <c r="F34" s="725">
        <f t="shared" si="11"/>
        <v>7.4074074074074077E-3</v>
      </c>
      <c r="G34" s="54"/>
      <c r="I34" s="51"/>
      <c r="J34" s="40" t="s">
        <v>145</v>
      </c>
      <c r="L34" s="52">
        <v>205</v>
      </c>
      <c r="M34" s="52">
        <f t="shared" si="12"/>
        <v>2</v>
      </c>
      <c r="N34" s="408">
        <f t="shared" si="13"/>
        <v>9.7560975609756097E-3</v>
      </c>
      <c r="O34" s="54"/>
    </row>
    <row r="35" spans="1:15" s="40" customFormat="1" ht="10.199999999999999">
      <c r="A35" s="51"/>
      <c r="B35" s="40" t="s">
        <v>146</v>
      </c>
      <c r="D35" s="52">
        <v>138</v>
      </c>
      <c r="E35" s="52">
        <f t="shared" si="10"/>
        <v>3</v>
      </c>
      <c r="F35" s="725">
        <f t="shared" si="11"/>
        <v>2.1739130434782608E-2</v>
      </c>
      <c r="G35" s="54"/>
      <c r="I35" s="51"/>
      <c r="J35" s="40" t="s">
        <v>146</v>
      </c>
      <c r="L35" s="52">
        <v>209</v>
      </c>
      <c r="M35" s="52">
        <f t="shared" si="12"/>
        <v>4</v>
      </c>
      <c r="N35" s="408">
        <f t="shared" si="13"/>
        <v>1.9138755980861243E-2</v>
      </c>
      <c r="O35" s="54"/>
    </row>
    <row r="36" spans="1:15" s="40" customFormat="1" ht="10.199999999999999">
      <c r="A36" s="51"/>
      <c r="B36" s="40" t="s">
        <v>147</v>
      </c>
      <c r="D36" s="52">
        <v>140</v>
      </c>
      <c r="E36" s="52">
        <f t="shared" si="10"/>
        <v>2</v>
      </c>
      <c r="F36" s="725">
        <f t="shared" si="11"/>
        <v>1.4285714285714285E-2</v>
      </c>
      <c r="G36" s="54"/>
      <c r="I36" s="51"/>
      <c r="J36" s="40" t="s">
        <v>147</v>
      </c>
      <c r="L36" s="52">
        <v>213</v>
      </c>
      <c r="M36" s="52">
        <f t="shared" si="12"/>
        <v>4</v>
      </c>
      <c r="N36" s="408">
        <f t="shared" si="13"/>
        <v>1.8779342723004695E-2</v>
      </c>
      <c r="O36" s="54"/>
    </row>
    <row r="37" spans="1:15" s="40" customFormat="1" ht="10.199999999999999">
      <c r="A37" s="51"/>
      <c r="B37" s="40" t="s">
        <v>148</v>
      </c>
      <c r="D37" s="52">
        <v>140</v>
      </c>
      <c r="E37" s="52">
        <f t="shared" si="10"/>
        <v>0</v>
      </c>
      <c r="F37" s="725">
        <f t="shared" si="11"/>
        <v>0</v>
      </c>
      <c r="G37" s="54"/>
      <c r="I37" s="51"/>
      <c r="J37" s="40" t="s">
        <v>148</v>
      </c>
      <c r="L37" s="52">
        <v>213</v>
      </c>
      <c r="M37" s="52">
        <f t="shared" si="12"/>
        <v>0</v>
      </c>
      <c r="N37" s="408">
        <f t="shared" si="13"/>
        <v>0</v>
      </c>
      <c r="O37" s="54"/>
    </row>
    <row r="38" spans="1:15" s="40" customFormat="1" ht="10.199999999999999">
      <c r="A38" s="51"/>
      <c r="B38" s="40" t="s">
        <v>149</v>
      </c>
      <c r="D38" s="52">
        <v>147</v>
      </c>
      <c r="E38" s="52">
        <f t="shared" si="10"/>
        <v>7</v>
      </c>
      <c r="F38" s="725">
        <f t="shared" si="11"/>
        <v>4.7619047619047616E-2</v>
      </c>
      <c r="G38" s="56"/>
      <c r="I38" s="51"/>
      <c r="J38" s="40" t="s">
        <v>149</v>
      </c>
      <c r="L38" s="52">
        <v>223.65</v>
      </c>
      <c r="M38" s="52">
        <f t="shared" si="12"/>
        <v>10.650000000000006</v>
      </c>
      <c r="N38" s="408">
        <f t="shared" si="13"/>
        <v>4.7619047619047644E-2</v>
      </c>
      <c r="O38" s="56"/>
    </row>
    <row r="39" spans="1:15" s="40" customFormat="1" ht="10.199999999999999">
      <c r="A39" s="51"/>
      <c r="B39" s="40" t="s">
        <v>368</v>
      </c>
      <c r="D39" s="52">
        <v>161.69999999999999</v>
      </c>
      <c r="E39" s="52">
        <f>D40-D39</f>
        <v>3.3000000000000114</v>
      </c>
      <c r="F39" s="725">
        <f>E39/D39</f>
        <v>2.0408163265306194E-2</v>
      </c>
      <c r="G39" s="56"/>
      <c r="I39" s="51"/>
      <c r="J39" s="40" t="s">
        <v>368</v>
      </c>
      <c r="L39" s="52">
        <v>246.02</v>
      </c>
      <c r="M39" s="52">
        <f>L40-L39</f>
        <v>8.9799999999999898</v>
      </c>
      <c r="N39" s="408">
        <f t="shared" si="13"/>
        <v>3.6501097471750218E-2</v>
      </c>
      <c r="O39" s="56"/>
    </row>
    <row r="40" spans="1:15" s="40" customFormat="1" ht="10.199999999999999">
      <c r="A40" s="51"/>
      <c r="B40" s="40" t="s">
        <v>409</v>
      </c>
      <c r="D40" s="52">
        <v>165</v>
      </c>
      <c r="E40" s="52">
        <f>D41-D40</f>
        <v>5</v>
      </c>
      <c r="F40" s="725">
        <f>E40/D40</f>
        <v>3.0303030303030304E-2</v>
      </c>
      <c r="G40" s="56"/>
      <c r="I40" s="51"/>
      <c r="J40" s="40" t="s">
        <v>409</v>
      </c>
      <c r="L40" s="52">
        <v>255</v>
      </c>
      <c r="M40" s="52">
        <f>L41-L40</f>
        <v>30</v>
      </c>
      <c r="N40" s="408">
        <f t="shared" si="13"/>
        <v>0.11764705882352941</v>
      </c>
      <c r="O40" s="56"/>
    </row>
    <row r="41" spans="1:15" s="40" customFormat="1" ht="10.199999999999999">
      <c r="A41" s="51"/>
      <c r="B41" s="40" t="s">
        <v>505</v>
      </c>
      <c r="D41" s="52">
        <v>170</v>
      </c>
      <c r="E41" s="52">
        <f>D42-D41</f>
        <v>4.9979999999999905</v>
      </c>
      <c r="F41" s="725">
        <f>E41/D41</f>
        <v>2.9399999999999944E-2</v>
      </c>
      <c r="G41" s="56"/>
      <c r="I41" s="51"/>
      <c r="J41" s="40" t="s">
        <v>505</v>
      </c>
      <c r="L41" s="52">
        <v>285</v>
      </c>
      <c r="M41" s="52">
        <f>L42-L41</f>
        <v>10.003499999999974</v>
      </c>
      <c r="N41" s="408">
        <f t="shared" si="13"/>
        <v>3.5099999999999909E-2</v>
      </c>
      <c r="O41" s="56"/>
    </row>
    <row r="42" spans="1:15" s="40" customFormat="1" ht="10.8" thickBot="1">
      <c r="A42" s="58"/>
      <c r="B42" s="59" t="s">
        <v>592</v>
      </c>
      <c r="C42" s="59"/>
      <c r="D42" s="60">
        <f>T6</f>
        <v>174.99799999999999</v>
      </c>
      <c r="E42" s="59"/>
      <c r="F42" s="59"/>
      <c r="G42" s="735"/>
      <c r="I42" s="58"/>
      <c r="J42" s="59" t="s">
        <v>592</v>
      </c>
      <c r="K42" s="59"/>
      <c r="L42" s="60">
        <v>295.00349999999997</v>
      </c>
      <c r="M42" s="59"/>
      <c r="N42" s="59"/>
      <c r="O42" s="735"/>
    </row>
    <row r="43" spans="1:15" s="40" customFormat="1" ht="10.199999999999999">
      <c r="A43" s="51"/>
      <c r="B43" s="40" t="s">
        <v>141</v>
      </c>
      <c r="C43" s="40" t="s">
        <v>598</v>
      </c>
      <c r="D43" s="52">
        <v>155</v>
      </c>
      <c r="G43" s="53">
        <f>(F44+F45+F46+F47+F48+F49+F50+F51)/8</f>
        <v>2.2296351437095022E-2</v>
      </c>
      <c r="I43" s="51"/>
      <c r="J43" s="40" t="s">
        <v>141</v>
      </c>
      <c r="K43" s="40" t="s">
        <v>172</v>
      </c>
      <c r="L43" s="52">
        <v>241</v>
      </c>
      <c r="M43" s="52"/>
      <c r="N43" s="408"/>
      <c r="O43" s="53">
        <f>(N44+N45+N46+N47+N48+N49+N50+N51)/8</f>
        <v>2.1758312472512923E-2</v>
      </c>
    </row>
    <row r="44" spans="1:15" s="40" customFormat="1" ht="10.199999999999999">
      <c r="A44" s="51"/>
      <c r="B44" s="40" t="s">
        <v>142</v>
      </c>
      <c r="D44" s="52">
        <v>163</v>
      </c>
      <c r="E44" s="52">
        <f>D44-D43</f>
        <v>8</v>
      </c>
      <c r="F44" s="725">
        <f>E44/D44</f>
        <v>4.9079754601226995E-2</v>
      </c>
      <c r="G44" s="54"/>
      <c r="I44" s="51"/>
      <c r="J44" s="40" t="s">
        <v>142</v>
      </c>
      <c r="L44" s="52">
        <v>253</v>
      </c>
      <c r="M44" s="52">
        <f>L44-L43</f>
        <v>12</v>
      </c>
      <c r="N44" s="408">
        <f>M44/L44</f>
        <v>4.7430830039525688E-2</v>
      </c>
      <c r="O44" s="54"/>
    </row>
    <row r="45" spans="1:15" s="40" customFormat="1" ht="10.199999999999999">
      <c r="A45" s="51"/>
      <c r="B45" s="40" t="s">
        <v>143</v>
      </c>
      <c r="D45" s="52">
        <v>164.75</v>
      </c>
      <c r="E45" s="52">
        <f t="shared" ref="E45:E51" si="14">D45-D44</f>
        <v>1.75</v>
      </c>
      <c r="F45" s="725">
        <f t="shared" ref="F45:F52" si="15">E45/D45</f>
        <v>1.0622154779969651E-2</v>
      </c>
      <c r="G45" s="54"/>
      <c r="I45" s="51"/>
      <c r="J45" s="40" t="s">
        <v>143</v>
      </c>
      <c r="L45" s="52">
        <v>255.5</v>
      </c>
      <c r="M45" s="52">
        <f t="shared" ref="M45:M51" si="16">L45-L44</f>
        <v>2.5</v>
      </c>
      <c r="N45" s="408">
        <f t="shared" ref="N45:N54" si="17">M45/L45</f>
        <v>9.7847358121330719E-3</v>
      </c>
      <c r="O45" s="54"/>
    </row>
    <row r="46" spans="1:15" s="40" customFormat="1" ht="10.199999999999999">
      <c r="A46" s="51"/>
      <c r="B46" s="40" t="s">
        <v>144</v>
      </c>
      <c r="D46" s="52">
        <v>168</v>
      </c>
      <c r="E46" s="52">
        <f t="shared" si="14"/>
        <v>3.25</v>
      </c>
      <c r="F46" s="725">
        <f t="shared" si="15"/>
        <v>1.9345238095238096E-2</v>
      </c>
      <c r="G46" s="54"/>
      <c r="I46" s="51"/>
      <c r="J46" s="40" t="s">
        <v>144</v>
      </c>
      <c r="L46" s="52">
        <v>261</v>
      </c>
      <c r="M46" s="52">
        <f t="shared" si="16"/>
        <v>5.5</v>
      </c>
      <c r="N46" s="408">
        <f t="shared" si="17"/>
        <v>2.1072796934865901E-2</v>
      </c>
      <c r="O46" s="54"/>
    </row>
    <row r="47" spans="1:15" s="40" customFormat="1" ht="10.199999999999999">
      <c r="A47" s="51"/>
      <c r="B47" s="40" t="s">
        <v>145</v>
      </c>
      <c r="D47" s="52">
        <v>170</v>
      </c>
      <c r="E47" s="52">
        <f t="shared" si="14"/>
        <v>2</v>
      </c>
      <c r="F47" s="725">
        <f t="shared" si="15"/>
        <v>1.1764705882352941E-2</v>
      </c>
      <c r="G47" s="54"/>
      <c r="I47" s="51"/>
      <c r="J47" s="40" t="s">
        <v>145</v>
      </c>
      <c r="L47" s="52">
        <v>263</v>
      </c>
      <c r="M47" s="52">
        <f t="shared" si="16"/>
        <v>2</v>
      </c>
      <c r="N47" s="408">
        <f t="shared" si="17"/>
        <v>7.6045627376425855E-3</v>
      </c>
      <c r="O47" s="54"/>
    </row>
    <row r="48" spans="1:15" s="40" customFormat="1" ht="10.199999999999999">
      <c r="A48" s="51"/>
      <c r="B48" s="40" t="s">
        <v>146</v>
      </c>
      <c r="D48" s="52">
        <v>173</v>
      </c>
      <c r="E48" s="52">
        <f t="shared" si="14"/>
        <v>3</v>
      </c>
      <c r="F48" s="725">
        <f t="shared" si="15"/>
        <v>1.7341040462427744E-2</v>
      </c>
      <c r="G48" s="54"/>
      <c r="I48" s="51"/>
      <c r="J48" s="40" t="s">
        <v>146</v>
      </c>
      <c r="L48" s="52">
        <v>268</v>
      </c>
      <c r="M48" s="52">
        <f t="shared" si="16"/>
        <v>5</v>
      </c>
      <c r="N48" s="408">
        <f t="shared" si="17"/>
        <v>1.8656716417910446E-2</v>
      </c>
      <c r="O48" s="54"/>
    </row>
    <row r="49" spans="1:21" s="40" customFormat="1" ht="10.199999999999999">
      <c r="A49" s="51"/>
      <c r="B49" s="40" t="s">
        <v>147</v>
      </c>
      <c r="D49" s="52">
        <v>177</v>
      </c>
      <c r="E49" s="52">
        <f t="shared" si="14"/>
        <v>4</v>
      </c>
      <c r="F49" s="725">
        <f t="shared" si="15"/>
        <v>2.2598870056497175E-2</v>
      </c>
      <c r="G49" s="54"/>
      <c r="I49" s="51"/>
      <c r="J49" s="40" t="s">
        <v>147</v>
      </c>
      <c r="L49" s="52">
        <v>274</v>
      </c>
      <c r="M49" s="52">
        <f t="shared" si="16"/>
        <v>6</v>
      </c>
      <c r="N49" s="408">
        <f t="shared" si="17"/>
        <v>2.1897810218978103E-2</v>
      </c>
      <c r="O49" s="54"/>
    </row>
    <row r="50" spans="1:21" s="40" customFormat="1" ht="10.199999999999999">
      <c r="A50" s="51"/>
      <c r="B50" s="40" t="s">
        <v>148</v>
      </c>
      <c r="D50" s="52">
        <v>177</v>
      </c>
      <c r="E50" s="52">
        <f t="shared" si="14"/>
        <v>0</v>
      </c>
      <c r="F50" s="725">
        <f t="shared" si="15"/>
        <v>0</v>
      </c>
      <c r="G50" s="54"/>
      <c r="I50" s="51"/>
      <c r="J50" s="40" t="s">
        <v>148</v>
      </c>
      <c r="L50" s="52">
        <v>274</v>
      </c>
      <c r="M50" s="52">
        <f t="shared" si="16"/>
        <v>0</v>
      </c>
      <c r="N50" s="408">
        <f t="shared" si="17"/>
        <v>0</v>
      </c>
      <c r="O50" s="54"/>
    </row>
    <row r="51" spans="1:21" s="40" customFormat="1" ht="10.199999999999999">
      <c r="A51" s="51"/>
      <c r="B51" s="40" t="s">
        <v>149</v>
      </c>
      <c r="D51" s="52">
        <v>185.85</v>
      </c>
      <c r="E51" s="52">
        <f t="shared" si="14"/>
        <v>8.8499999999999943</v>
      </c>
      <c r="F51" s="725">
        <f t="shared" si="15"/>
        <v>4.7619047619047589E-2</v>
      </c>
      <c r="G51" s="56"/>
      <c r="I51" s="51"/>
      <c r="J51" s="40" t="s">
        <v>149</v>
      </c>
      <c r="L51" s="52">
        <v>287.7</v>
      </c>
      <c r="M51" s="52">
        <f t="shared" si="16"/>
        <v>13.699999999999989</v>
      </c>
      <c r="N51" s="408">
        <f t="shared" si="17"/>
        <v>4.7619047619047582E-2</v>
      </c>
      <c r="O51" s="56"/>
    </row>
    <row r="52" spans="1:21" s="40" customFormat="1" ht="10.199999999999999">
      <c r="A52" s="51"/>
      <c r="B52" s="40" t="s">
        <v>368</v>
      </c>
      <c r="D52" s="52">
        <v>204.44</v>
      </c>
      <c r="E52" s="52">
        <f>D53-D52</f>
        <v>5.5600000000000023</v>
      </c>
      <c r="F52" s="725">
        <f t="shared" si="15"/>
        <v>2.7196243396595588E-2</v>
      </c>
      <c r="G52" s="56"/>
      <c r="I52" s="51"/>
      <c r="J52" s="40" t="s">
        <v>368</v>
      </c>
      <c r="L52" s="52">
        <v>316.47000000000003</v>
      </c>
      <c r="M52" s="52">
        <f>L53-L52</f>
        <v>8.5299999999999727</v>
      </c>
      <c r="N52" s="408">
        <f t="shared" si="17"/>
        <v>2.6953581698107156E-2</v>
      </c>
      <c r="O52" s="56"/>
    </row>
    <row r="53" spans="1:21" s="40" customFormat="1">
      <c r="A53" s="51"/>
      <c r="B53" s="40" t="s">
        <v>409</v>
      </c>
      <c r="D53" s="52">
        <v>210</v>
      </c>
      <c r="E53" s="52">
        <f>D54-D53</f>
        <v>0</v>
      </c>
      <c r="F53" s="725">
        <f>E53/D53</f>
        <v>0</v>
      </c>
      <c r="G53" s="56"/>
      <c r="I53" s="51"/>
      <c r="J53" s="40" t="s">
        <v>409</v>
      </c>
      <c r="L53" s="52">
        <v>325</v>
      </c>
      <c r="M53" s="52">
        <f>L54-L53</f>
        <v>25</v>
      </c>
      <c r="N53" s="408">
        <f t="shared" si="17"/>
        <v>7.6923076923076927E-2</v>
      </c>
      <c r="O53" s="56"/>
      <c r="Q53"/>
      <c r="R53"/>
      <c r="S53"/>
      <c r="T53"/>
      <c r="U53"/>
    </row>
    <row r="54" spans="1:21">
      <c r="A54" s="51"/>
      <c r="B54" s="40" t="s">
        <v>505</v>
      </c>
      <c r="C54" s="40"/>
      <c r="D54" s="52">
        <v>210</v>
      </c>
      <c r="E54" s="52">
        <f>D55-D54</f>
        <v>4.9979999999999905</v>
      </c>
      <c r="F54" s="725">
        <f>E54/D54</f>
        <v>2.3799999999999953E-2</v>
      </c>
      <c r="G54" s="56"/>
      <c r="H54" s="40"/>
      <c r="I54" s="51"/>
      <c r="J54" s="40" t="s">
        <v>505</v>
      </c>
      <c r="L54" s="52">
        <v>350</v>
      </c>
      <c r="M54" s="52">
        <f>L55-L54</f>
        <v>9.9995000000000118</v>
      </c>
      <c r="N54" s="408">
        <f t="shared" si="17"/>
        <v>2.8570000000000033E-2</v>
      </c>
      <c r="O54" s="56"/>
    </row>
    <row r="55" spans="1:21" ht="15" thickBot="1">
      <c r="A55" s="51"/>
      <c r="B55" s="40" t="s">
        <v>592</v>
      </c>
      <c r="C55" s="40"/>
      <c r="D55" s="52">
        <f>T7</f>
        <v>214.99799999999999</v>
      </c>
      <c r="E55" s="40"/>
      <c r="F55" s="40"/>
      <c r="G55" s="54"/>
      <c r="I55" s="51"/>
      <c r="J55" s="40" t="s">
        <v>592</v>
      </c>
      <c r="L55" s="52">
        <f>T14</f>
        <v>359.99950000000001</v>
      </c>
      <c r="M55" s="52"/>
      <c r="N55" s="408"/>
      <c r="O55" s="54"/>
    </row>
    <row r="56" spans="1:21">
      <c r="A56" s="409"/>
      <c r="B56" s="47" t="s">
        <v>141</v>
      </c>
      <c r="C56" s="47" t="s">
        <v>599</v>
      </c>
      <c r="D56" s="61">
        <v>177</v>
      </c>
      <c r="E56" s="47"/>
      <c r="F56" s="47"/>
      <c r="G56" s="63">
        <f>(F57+F58+F59+F60+F61+F62+F63+F64)/8</f>
        <v>2.2223881793683797E-2</v>
      </c>
      <c r="I56" s="409"/>
      <c r="J56" s="47" t="s">
        <v>141</v>
      </c>
      <c r="K56" s="47" t="s">
        <v>173</v>
      </c>
      <c r="L56" s="61">
        <v>292</v>
      </c>
      <c r="M56" s="61"/>
      <c r="N56" s="62"/>
      <c r="O56" s="63">
        <f>(N57+N58+N59+N60+N61+N62+N63+N64)/8</f>
        <v>2.1756736130272056E-2</v>
      </c>
    </row>
    <row r="57" spans="1:21">
      <c r="A57" s="51"/>
      <c r="B57" s="40" t="s">
        <v>142</v>
      </c>
      <c r="C57" s="40"/>
      <c r="D57" s="52">
        <v>186</v>
      </c>
      <c r="E57" s="52">
        <f>D57-D56</f>
        <v>9</v>
      </c>
      <c r="F57" s="408">
        <f>E57/D57</f>
        <v>4.8387096774193547E-2</v>
      </c>
      <c r="G57" s="56"/>
      <c r="I57" s="51"/>
      <c r="J57" s="40" t="s">
        <v>142</v>
      </c>
      <c r="L57" s="52">
        <v>307</v>
      </c>
      <c r="M57" s="52">
        <f>L57-L56</f>
        <v>15</v>
      </c>
      <c r="N57" s="408">
        <f>M57/L57</f>
        <v>4.8859934853420196E-2</v>
      </c>
      <c r="O57" s="54"/>
    </row>
    <row r="58" spans="1:21">
      <c r="A58" s="51"/>
      <c r="B58" s="40" t="s">
        <v>143</v>
      </c>
      <c r="C58" s="40"/>
      <c r="D58" s="52">
        <v>188</v>
      </c>
      <c r="E58" s="52">
        <f t="shared" ref="E58:E63" si="18">D58-D57</f>
        <v>2</v>
      </c>
      <c r="F58" s="408">
        <f t="shared" ref="F58:F63" si="19">E58/D58</f>
        <v>1.0638297872340425E-2</v>
      </c>
      <c r="G58" s="54"/>
      <c r="I58" s="51"/>
      <c r="J58" s="40" t="s">
        <v>143</v>
      </c>
      <c r="L58" s="52">
        <v>310</v>
      </c>
      <c r="M58" s="52">
        <f t="shared" ref="M58:M64" si="20">L58-L57</f>
        <v>3</v>
      </c>
      <c r="N58" s="408">
        <f t="shared" ref="N58:N66" si="21">M58/L58</f>
        <v>9.6774193548387101E-3</v>
      </c>
      <c r="O58" s="54"/>
    </row>
    <row r="59" spans="1:21">
      <c r="A59" s="34" t="s">
        <v>174</v>
      </c>
      <c r="B59" s="40" t="s">
        <v>144</v>
      </c>
      <c r="C59" s="40"/>
      <c r="D59" s="52">
        <v>192</v>
      </c>
      <c r="E59" s="52">
        <f t="shared" si="18"/>
        <v>4</v>
      </c>
      <c r="F59" s="408">
        <f t="shared" si="19"/>
        <v>2.0833333333333332E-2</v>
      </c>
      <c r="G59" s="54"/>
      <c r="I59" s="51"/>
      <c r="J59" s="40" t="s">
        <v>144</v>
      </c>
      <c r="L59" s="52">
        <v>317</v>
      </c>
      <c r="M59" s="52">
        <f t="shared" si="20"/>
        <v>7</v>
      </c>
      <c r="N59" s="408">
        <f t="shared" si="21"/>
        <v>2.2082018927444796E-2</v>
      </c>
      <c r="O59" s="54"/>
    </row>
    <row r="60" spans="1:21">
      <c r="A60" s="34"/>
      <c r="B60" s="40" t="s">
        <v>145</v>
      </c>
      <c r="C60" s="40"/>
      <c r="D60" s="52">
        <v>194</v>
      </c>
      <c r="E60" s="52">
        <f t="shared" si="18"/>
        <v>2</v>
      </c>
      <c r="F60" s="408">
        <f t="shared" si="19"/>
        <v>1.0309278350515464E-2</v>
      </c>
      <c r="G60" s="54"/>
      <c r="I60" s="51"/>
      <c r="J60" s="40" t="s">
        <v>145</v>
      </c>
      <c r="L60" s="52">
        <v>319</v>
      </c>
      <c r="M60" s="52">
        <f t="shared" si="20"/>
        <v>2</v>
      </c>
      <c r="N60" s="408">
        <f t="shared" si="21"/>
        <v>6.269592476489028E-3</v>
      </c>
      <c r="O60" s="54"/>
    </row>
    <row r="61" spans="1:21">
      <c r="A61" s="34"/>
      <c r="B61" s="40" t="s">
        <v>146</v>
      </c>
      <c r="C61" s="40"/>
      <c r="D61" s="52">
        <v>198</v>
      </c>
      <c r="E61" s="52">
        <f t="shared" si="18"/>
        <v>4</v>
      </c>
      <c r="F61" s="408">
        <f t="shared" si="19"/>
        <v>2.0202020202020204E-2</v>
      </c>
      <c r="G61" s="54"/>
      <c r="I61" s="51"/>
      <c r="J61" s="40" t="s">
        <v>146</v>
      </c>
      <c r="L61" s="52">
        <v>325</v>
      </c>
      <c r="M61" s="52">
        <f t="shared" si="20"/>
        <v>6</v>
      </c>
      <c r="N61" s="408">
        <f t="shared" si="21"/>
        <v>1.8461538461538463E-2</v>
      </c>
      <c r="O61" s="54"/>
    </row>
    <row r="62" spans="1:21">
      <c r="A62" s="34"/>
      <c r="B62" s="40" t="s">
        <v>147</v>
      </c>
      <c r="C62" s="40"/>
      <c r="D62" s="52">
        <v>202</v>
      </c>
      <c r="E62" s="52">
        <f t="shared" si="18"/>
        <v>4</v>
      </c>
      <c r="F62" s="408">
        <f t="shared" si="19"/>
        <v>1.9801980198019802E-2</v>
      </c>
      <c r="G62" s="54"/>
      <c r="I62" s="51"/>
      <c r="J62" s="40" t="s">
        <v>147</v>
      </c>
      <c r="L62" s="52">
        <v>332</v>
      </c>
      <c r="M62" s="52">
        <f t="shared" si="20"/>
        <v>7</v>
      </c>
      <c r="N62" s="408">
        <f t="shared" si="21"/>
        <v>2.1084337349397589E-2</v>
      </c>
      <c r="O62" s="54"/>
    </row>
    <row r="63" spans="1:21">
      <c r="A63" s="34"/>
      <c r="B63" s="40" t="s">
        <v>148</v>
      </c>
      <c r="C63" s="40"/>
      <c r="D63" s="52">
        <v>202</v>
      </c>
      <c r="E63" s="52">
        <f t="shared" si="18"/>
        <v>0</v>
      </c>
      <c r="F63" s="408">
        <f t="shared" si="19"/>
        <v>0</v>
      </c>
      <c r="G63" s="54"/>
      <c r="I63" s="51"/>
      <c r="J63" s="40" t="s">
        <v>148</v>
      </c>
      <c r="L63" s="52">
        <v>332</v>
      </c>
      <c r="M63" s="52">
        <f t="shared" si="20"/>
        <v>0</v>
      </c>
      <c r="N63" s="408">
        <f t="shared" si="21"/>
        <v>0</v>
      </c>
      <c r="O63" s="54"/>
    </row>
    <row r="64" spans="1:21">
      <c r="A64" s="34"/>
      <c r="B64" s="40" t="s">
        <v>149</v>
      </c>
      <c r="C64" s="40"/>
      <c r="D64" s="52">
        <v>212.1</v>
      </c>
      <c r="E64" s="52">
        <f>D64-D63</f>
        <v>10.099999999999994</v>
      </c>
      <c r="F64" s="408">
        <f>E64/D64</f>
        <v>4.7619047619047596E-2</v>
      </c>
      <c r="G64" s="56"/>
      <c r="I64" s="51"/>
      <c r="J64" s="40" t="s">
        <v>149</v>
      </c>
      <c r="L64" s="52">
        <v>348.6</v>
      </c>
      <c r="M64" s="52">
        <f t="shared" si="20"/>
        <v>16.600000000000023</v>
      </c>
      <c r="N64" s="408">
        <f t="shared" si="21"/>
        <v>4.7619047619047679E-2</v>
      </c>
      <c r="O64" s="56"/>
    </row>
    <row r="65" spans="1:15">
      <c r="A65" s="34"/>
      <c r="B65" s="40" t="s">
        <v>368</v>
      </c>
      <c r="D65" s="52">
        <v>233.31</v>
      </c>
      <c r="E65" s="52">
        <f>D66-D65</f>
        <v>6.6899999999999977</v>
      </c>
      <c r="F65" s="408">
        <f>E65/D65</f>
        <v>2.8674296001028665E-2</v>
      </c>
      <c r="G65" s="410"/>
      <c r="I65" s="51"/>
      <c r="J65" s="40" t="s">
        <v>368</v>
      </c>
      <c r="L65" s="52">
        <v>383.46</v>
      </c>
      <c r="M65" s="52">
        <f>L66-L65</f>
        <v>6.5400000000000205</v>
      </c>
      <c r="N65" s="408">
        <f t="shared" si="21"/>
        <v>1.7055233922703857E-2</v>
      </c>
      <c r="O65" s="56"/>
    </row>
    <row r="66" spans="1:15">
      <c r="A66" s="34"/>
      <c r="B66" s="40" t="s">
        <v>409</v>
      </c>
      <c r="C66" s="40"/>
      <c r="D66" s="52">
        <v>240</v>
      </c>
      <c r="E66" s="52">
        <f>D67-D66</f>
        <v>10</v>
      </c>
      <c r="F66" s="408">
        <f>E66/D66</f>
        <v>4.1666666666666664E-2</v>
      </c>
      <c r="G66" s="56"/>
      <c r="I66" s="51"/>
      <c r="J66" s="40" t="s">
        <v>409</v>
      </c>
      <c r="L66" s="52">
        <v>390</v>
      </c>
      <c r="M66" s="52">
        <f>L67-L66</f>
        <v>10</v>
      </c>
      <c r="N66" s="408">
        <f t="shared" si="21"/>
        <v>2.564102564102564E-2</v>
      </c>
      <c r="O66" s="54"/>
    </row>
    <row r="67" spans="1:15">
      <c r="A67" s="34"/>
      <c r="B67" s="40" t="s">
        <v>505</v>
      </c>
      <c r="C67" s="40"/>
      <c r="D67" s="52">
        <v>250</v>
      </c>
      <c r="E67" s="52">
        <f>D68-D67</f>
        <v>5</v>
      </c>
      <c r="F67" s="408">
        <f>E67/D67</f>
        <v>0.02</v>
      </c>
      <c r="G67" s="56"/>
      <c r="I67" s="51"/>
      <c r="J67" s="40" t="s">
        <v>505</v>
      </c>
      <c r="L67" s="52">
        <v>400</v>
      </c>
      <c r="M67" s="52">
        <f>L68-L67</f>
        <v>10</v>
      </c>
      <c r="N67" s="408">
        <f t="shared" ref="N67" si="22">M67/L67</f>
        <v>2.5000000000000001E-2</v>
      </c>
      <c r="O67" s="54"/>
    </row>
    <row r="68" spans="1:15">
      <c r="A68" s="34"/>
      <c r="B68" s="40" t="s">
        <v>592</v>
      </c>
      <c r="D68" s="52">
        <f>T8</f>
        <v>255</v>
      </c>
      <c r="G68" s="410"/>
      <c r="I68" s="34"/>
      <c r="J68" s="40" t="s">
        <v>592</v>
      </c>
      <c r="L68" s="52">
        <f>T15</f>
        <v>410</v>
      </c>
      <c r="O68" s="410"/>
    </row>
    <row r="69" spans="1:15" ht="15" thickBot="1">
      <c r="A69" s="36"/>
      <c r="B69" s="37"/>
      <c r="C69" s="37"/>
      <c r="D69" s="38"/>
      <c r="E69" s="37"/>
      <c r="F69" s="37"/>
      <c r="G69" s="412"/>
      <c r="I69" s="36"/>
      <c r="J69" s="37"/>
      <c r="K69" s="59"/>
      <c r="L69" s="38"/>
      <c r="M69" s="38"/>
      <c r="N69" s="411"/>
      <c r="O69" s="412"/>
    </row>
    <row r="70" spans="1:15" ht="15" thickBot="1">
      <c r="A70" s="36"/>
      <c r="B70" s="409" t="s">
        <v>141</v>
      </c>
      <c r="C70" s="47" t="s">
        <v>600</v>
      </c>
      <c r="D70" s="61">
        <v>440</v>
      </c>
      <c r="E70" s="47"/>
      <c r="F70" s="62"/>
      <c r="G70" s="63">
        <f>(F71+F72+F73+F74+F75+F76+F77+F78)/8</f>
        <v>2.0561674913960597E-2</v>
      </c>
    </row>
    <row r="71" spans="1:15">
      <c r="B71" s="51" t="s">
        <v>142</v>
      </c>
      <c r="D71" s="52">
        <v>462</v>
      </c>
      <c r="E71" s="52">
        <f>D71-D70</f>
        <v>22</v>
      </c>
      <c r="F71" s="408">
        <f>E71/D71</f>
        <v>4.7619047619047616E-2</v>
      </c>
      <c r="G71" s="54"/>
    </row>
    <row r="72" spans="1:15">
      <c r="B72" s="51" t="s">
        <v>143</v>
      </c>
      <c r="D72" s="52">
        <v>467</v>
      </c>
      <c r="E72" s="52">
        <f t="shared" ref="E72:E78" si="23">D72-D71</f>
        <v>5</v>
      </c>
      <c r="F72" s="408">
        <f t="shared" ref="F72:F78" si="24">E72/D72</f>
        <v>1.0706638115631691E-2</v>
      </c>
      <c r="G72" s="54"/>
    </row>
    <row r="73" spans="1:15">
      <c r="B73" s="51" t="s">
        <v>144</v>
      </c>
      <c r="D73" s="52">
        <v>476</v>
      </c>
      <c r="E73" s="52">
        <f t="shared" si="23"/>
        <v>9</v>
      </c>
      <c r="F73" s="408">
        <f t="shared" si="24"/>
        <v>1.8907563025210083E-2</v>
      </c>
      <c r="G73" s="54"/>
    </row>
    <row r="74" spans="1:15">
      <c r="B74" s="51" t="s">
        <v>145</v>
      </c>
      <c r="D74" s="52">
        <v>481</v>
      </c>
      <c r="E74" s="52">
        <f t="shared" si="23"/>
        <v>5</v>
      </c>
      <c r="F74" s="408">
        <f t="shared" si="24"/>
        <v>1.0395010395010396E-2</v>
      </c>
      <c r="G74" s="54"/>
    </row>
    <row r="75" spans="1:15">
      <c r="B75" s="51" t="s">
        <v>146</v>
      </c>
      <c r="D75" s="52">
        <v>491</v>
      </c>
      <c r="E75" s="52">
        <f t="shared" si="23"/>
        <v>10</v>
      </c>
      <c r="F75" s="408">
        <f t="shared" si="24"/>
        <v>2.0366598778004074E-2</v>
      </c>
      <c r="G75" s="54"/>
    </row>
    <row r="76" spans="1:15">
      <c r="B76" s="51" t="s">
        <v>147</v>
      </c>
      <c r="D76" s="52">
        <v>501</v>
      </c>
      <c r="E76" s="52">
        <f t="shared" si="23"/>
        <v>10</v>
      </c>
      <c r="F76" s="408">
        <f t="shared" si="24"/>
        <v>1.9960079840319361E-2</v>
      </c>
      <c r="G76" s="54"/>
    </row>
    <row r="77" spans="1:15">
      <c r="B77" s="51" t="s">
        <v>148</v>
      </c>
      <c r="D77" s="52">
        <v>501</v>
      </c>
      <c r="E77" s="52">
        <f t="shared" si="23"/>
        <v>0</v>
      </c>
      <c r="F77" s="408">
        <f t="shared" si="24"/>
        <v>0</v>
      </c>
      <c r="G77" s="54"/>
    </row>
    <row r="78" spans="1:15">
      <c r="B78" s="51" t="s">
        <v>149</v>
      </c>
      <c r="D78" s="52">
        <v>520</v>
      </c>
      <c r="E78" s="52">
        <f t="shared" si="23"/>
        <v>19</v>
      </c>
      <c r="F78" s="408">
        <f t="shared" si="24"/>
        <v>3.653846153846154E-2</v>
      </c>
      <c r="G78" s="54"/>
    </row>
    <row r="79" spans="1:15">
      <c r="B79" s="51" t="s">
        <v>368</v>
      </c>
      <c r="D79" s="52">
        <v>572</v>
      </c>
      <c r="E79" s="52">
        <f>D80-D79</f>
        <v>8</v>
      </c>
      <c r="F79" s="408">
        <f>E79/D79</f>
        <v>1.3986013986013986E-2</v>
      </c>
      <c r="G79" s="410"/>
    </row>
    <row r="80" spans="1:15">
      <c r="B80" s="51" t="s">
        <v>409</v>
      </c>
      <c r="D80" s="52">
        <v>580</v>
      </c>
      <c r="E80" s="52">
        <f>D81-D80</f>
        <v>0</v>
      </c>
      <c r="F80" s="408">
        <f>E80/D80</f>
        <v>0</v>
      </c>
      <c r="G80" s="410"/>
    </row>
    <row r="81" spans="2:7">
      <c r="B81" s="51" t="s">
        <v>505</v>
      </c>
      <c r="D81" s="52">
        <v>580</v>
      </c>
      <c r="E81" s="52">
        <f>D82-D81</f>
        <v>9.9991999999999734</v>
      </c>
      <c r="F81" s="732">
        <f>E81/D81</f>
        <v>1.7239999999999953E-2</v>
      </c>
      <c r="G81" s="410"/>
    </row>
    <row r="82" spans="2:7">
      <c r="B82" s="51" t="s">
        <v>592</v>
      </c>
      <c r="D82" s="52">
        <f>T18</f>
        <v>589.99919999999997</v>
      </c>
      <c r="G82" s="410"/>
    </row>
    <row r="83" spans="2:7" ht="15" thickBot="1">
      <c r="B83" s="36"/>
      <c r="C83" s="37"/>
      <c r="D83" s="38"/>
      <c r="E83" s="37"/>
      <c r="F83" s="37"/>
      <c r="G83" s="412"/>
    </row>
  </sheetData>
  <pageMargins left="0.7" right="0.7" top="0.75" bottom="0.75" header="0.3" footer="0.3"/>
  <pageSetup scale="42"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32"/>
  <sheetViews>
    <sheetView workbookViewId="0">
      <pane ySplit="4" topLeftCell="A5" activePane="bottomLeft" state="frozen"/>
      <selection pane="bottomLeft" activeCell="G7" sqref="G7"/>
    </sheetView>
  </sheetViews>
  <sheetFormatPr defaultColWidth="9.33203125" defaultRowHeight="13.8"/>
  <cols>
    <col min="1" max="1" width="12.6640625" style="7" customWidth="1"/>
    <col min="2" max="2" width="33.33203125" style="7" customWidth="1"/>
    <col min="3" max="3" width="14.33203125" style="7" customWidth="1"/>
    <col min="4" max="4" width="7.44140625" style="7" customWidth="1"/>
    <col min="5" max="5" width="11.6640625" style="7" customWidth="1"/>
    <col min="6" max="6" width="32.6640625" style="7" customWidth="1"/>
    <col min="7" max="7" width="16.44140625" style="7" customWidth="1"/>
    <col min="8" max="16384" width="9.33203125" style="7"/>
  </cols>
  <sheetData>
    <row r="1" spans="1:7">
      <c r="A1" s="1042" t="s">
        <v>587</v>
      </c>
      <c r="B1" s="1043"/>
      <c r="C1" s="1043"/>
      <c r="E1" s="1044" t="s">
        <v>687</v>
      </c>
      <c r="F1" s="1045"/>
      <c r="G1" s="1045"/>
    </row>
    <row r="2" spans="1:7">
      <c r="A2" s="1042" t="s">
        <v>689</v>
      </c>
      <c r="B2" s="1043"/>
      <c r="C2" s="1043"/>
      <c r="E2" s="1044" t="s">
        <v>689</v>
      </c>
      <c r="F2" s="1045"/>
      <c r="G2" s="1045"/>
    </row>
    <row r="3" spans="1:7">
      <c r="A3" s="1042" t="s">
        <v>679</v>
      </c>
      <c r="B3" s="1043"/>
      <c r="C3" s="1043"/>
      <c r="E3" s="1044" t="s">
        <v>822</v>
      </c>
      <c r="F3" s="1045"/>
      <c r="G3" s="1045"/>
    </row>
    <row r="4" spans="1:7">
      <c r="A4" s="4" t="s">
        <v>0</v>
      </c>
      <c r="B4" s="4" t="s">
        <v>1</v>
      </c>
      <c r="C4" s="5" t="s">
        <v>133</v>
      </c>
      <c r="E4" s="4" t="s">
        <v>0</v>
      </c>
      <c r="F4" s="4" t="s">
        <v>1</v>
      </c>
      <c r="G4" s="5" t="s">
        <v>133</v>
      </c>
    </row>
    <row r="5" spans="1:7">
      <c r="A5" s="10">
        <v>451000</v>
      </c>
      <c r="B5" s="19" t="s">
        <v>73</v>
      </c>
      <c r="C5" s="308">
        <f>300826*1.0215</f>
        <v>307293.75900000002</v>
      </c>
      <c r="D5" s="192"/>
      <c r="E5" s="10">
        <v>451000</v>
      </c>
      <c r="F5" s="19" t="s">
        <v>73</v>
      </c>
      <c r="G5" s="308">
        <f>(300826*0.9)*1.0215</f>
        <v>276564.38310000004</v>
      </c>
    </row>
    <row r="6" spans="1:7" hidden="1">
      <c r="A6" s="10">
        <v>451500</v>
      </c>
      <c r="B6" s="19" t="s">
        <v>5</v>
      </c>
      <c r="C6" s="11" t="s">
        <v>134</v>
      </c>
      <c r="E6" s="10">
        <v>451500</v>
      </c>
      <c r="F6" s="19" t="s">
        <v>5</v>
      </c>
      <c r="G6" s="11" t="s">
        <v>134</v>
      </c>
    </row>
    <row r="7" spans="1:7">
      <c r="A7" s="17"/>
      <c r="B7" s="22" t="s">
        <v>7</v>
      </c>
      <c r="C7" s="611">
        <f>C5</f>
        <v>307293.75900000002</v>
      </c>
      <c r="E7" s="17"/>
      <c r="F7" s="22" t="s">
        <v>7</v>
      </c>
      <c r="G7" s="611">
        <f>G5</f>
        <v>276564.38310000004</v>
      </c>
    </row>
    <row r="8" spans="1:7">
      <c r="A8" s="12"/>
      <c r="B8" s="23"/>
      <c r="C8" s="13"/>
      <c r="E8" s="12"/>
      <c r="F8" s="23"/>
      <c r="G8" s="13"/>
    </row>
    <row r="9" spans="1:7">
      <c r="A9" s="14"/>
      <c r="B9" s="210" t="s">
        <v>74</v>
      </c>
      <c r="C9" s="305">
        <v>198000</v>
      </c>
      <c r="D9" s="66" t="s">
        <v>134</v>
      </c>
      <c r="E9" s="14"/>
      <c r="F9" s="210" t="s">
        <v>74</v>
      </c>
      <c r="G9" s="305">
        <v>154000</v>
      </c>
    </row>
    <row r="10" spans="1:7">
      <c r="A10" s="10">
        <v>699000</v>
      </c>
      <c r="B10" s="19" t="s">
        <v>11</v>
      </c>
      <c r="C10" s="306">
        <f>C9*35%</f>
        <v>69300</v>
      </c>
      <c r="E10" s="10">
        <v>699000</v>
      </c>
      <c r="F10" s="19" t="s">
        <v>11</v>
      </c>
      <c r="G10" s="306">
        <f>G9*31.5%</f>
        <v>48510</v>
      </c>
    </row>
    <row r="11" spans="1:7">
      <c r="A11" s="14"/>
      <c r="B11" s="24" t="s">
        <v>354</v>
      </c>
      <c r="C11" s="305">
        <f>SUM(C9:C10)</f>
        <v>267300</v>
      </c>
      <c r="E11" s="14"/>
      <c r="F11" s="24" t="s">
        <v>354</v>
      </c>
      <c r="G11" s="305">
        <f>SUM(G9:G10)</f>
        <v>202510</v>
      </c>
    </row>
    <row r="12" spans="1:7">
      <c r="A12" s="12"/>
      <c r="B12" s="23"/>
      <c r="C12" s="307"/>
      <c r="E12" s="12"/>
      <c r="F12" s="23"/>
      <c r="G12" s="307"/>
    </row>
    <row r="13" spans="1:7">
      <c r="A13" s="1048">
        <v>708000</v>
      </c>
      <c r="B13" s="23" t="s">
        <v>692</v>
      </c>
      <c r="C13" s="307">
        <v>1000</v>
      </c>
      <c r="E13" s="1048">
        <v>708000</v>
      </c>
      <c r="F13" s="23" t="s">
        <v>692</v>
      </c>
      <c r="G13" s="307">
        <v>1000</v>
      </c>
    </row>
    <row r="14" spans="1:7">
      <c r="A14" s="10">
        <v>710000</v>
      </c>
      <c r="B14" s="19" t="s">
        <v>20</v>
      </c>
      <c r="C14" s="308">
        <v>15000</v>
      </c>
      <c r="E14" s="10">
        <v>710000</v>
      </c>
      <c r="F14" s="19" t="s">
        <v>20</v>
      </c>
      <c r="G14" s="308">
        <v>15000</v>
      </c>
    </row>
    <row r="15" spans="1:7">
      <c r="A15" s="9">
        <v>768000</v>
      </c>
      <c r="B15" s="21" t="s">
        <v>43</v>
      </c>
      <c r="C15" s="308"/>
      <c r="E15" s="9">
        <v>768000</v>
      </c>
      <c r="F15" s="21" t="s">
        <v>43</v>
      </c>
      <c r="G15" s="308"/>
    </row>
    <row r="16" spans="1:7">
      <c r="A16" s="9">
        <v>713000</v>
      </c>
      <c r="B16" s="21" t="s">
        <v>22</v>
      </c>
      <c r="C16" s="308"/>
      <c r="E16" s="9">
        <v>713000</v>
      </c>
      <c r="F16" s="21" t="s">
        <v>22</v>
      </c>
      <c r="G16" s="308"/>
    </row>
    <row r="17" spans="1:7">
      <c r="A17" s="9">
        <v>715000</v>
      </c>
      <c r="B17" s="21" t="s">
        <v>75</v>
      </c>
      <c r="C17" s="308"/>
      <c r="E17" s="9">
        <v>715000</v>
      </c>
      <c r="F17" s="21" t="s">
        <v>75</v>
      </c>
      <c r="G17" s="308"/>
    </row>
    <row r="18" spans="1:7">
      <c r="A18" s="9">
        <v>769000</v>
      </c>
      <c r="B18" s="21" t="s">
        <v>45</v>
      </c>
      <c r="C18" s="308">
        <v>5000</v>
      </c>
      <c r="E18" s="9">
        <v>769000</v>
      </c>
      <c r="F18" s="21" t="s">
        <v>45</v>
      </c>
      <c r="G18" s="308">
        <v>5000</v>
      </c>
    </row>
    <row r="19" spans="1:7">
      <c r="A19" s="10">
        <v>742000</v>
      </c>
      <c r="B19" s="21" t="s">
        <v>686</v>
      </c>
      <c r="C19" s="308"/>
      <c r="E19" s="10">
        <v>742000</v>
      </c>
      <c r="F19" s="21" t="s">
        <v>686</v>
      </c>
      <c r="G19" s="308"/>
    </row>
    <row r="20" spans="1:7">
      <c r="A20" s="15"/>
      <c r="B20" s="24" t="s">
        <v>76</v>
      </c>
      <c r="C20" s="305">
        <f>SUM(C13:C19)</f>
        <v>21000</v>
      </c>
      <c r="E20" s="15"/>
      <c r="F20" s="24" t="s">
        <v>76</v>
      </c>
      <c r="G20" s="305">
        <f>SUM(G13:G19)</f>
        <v>21000</v>
      </c>
    </row>
    <row r="21" spans="1:7">
      <c r="A21" s="13"/>
      <c r="B21" s="23"/>
      <c r="C21" s="307"/>
      <c r="E21" s="13"/>
      <c r="F21" s="23"/>
      <c r="G21" s="307"/>
    </row>
    <row r="22" spans="1:7">
      <c r="A22" s="19" t="s">
        <v>53</v>
      </c>
      <c r="B22" s="19" t="s">
        <v>54</v>
      </c>
      <c r="C22" s="308">
        <v>5000</v>
      </c>
      <c r="D22" s="192"/>
      <c r="E22" s="19" t="s">
        <v>53</v>
      </c>
      <c r="F22" s="19" t="s">
        <v>54</v>
      </c>
      <c r="G22" s="308">
        <v>5000</v>
      </c>
    </row>
    <row r="23" spans="1:7">
      <c r="A23" s="15"/>
      <c r="B23" s="24" t="s">
        <v>77</v>
      </c>
      <c r="C23" s="305">
        <f>C22</f>
        <v>5000</v>
      </c>
      <c r="E23" s="15"/>
      <c r="F23" s="24" t="s">
        <v>77</v>
      </c>
      <c r="G23" s="305">
        <f>G22</f>
        <v>5000</v>
      </c>
    </row>
    <row r="24" spans="1:7">
      <c r="A24" s="13"/>
      <c r="B24" s="23"/>
      <c r="C24" s="307"/>
      <c r="E24" s="13"/>
      <c r="F24" s="23"/>
      <c r="G24" s="307"/>
    </row>
    <row r="25" spans="1:7">
      <c r="A25" s="15"/>
      <c r="B25" s="24" t="s">
        <v>78</v>
      </c>
      <c r="C25" s="305">
        <f>C11+C20+C23</f>
        <v>293300</v>
      </c>
      <c r="E25" s="15"/>
      <c r="F25" s="24" t="s">
        <v>78</v>
      </c>
      <c r="G25" s="305">
        <f>G11+G20+G23</f>
        <v>228510</v>
      </c>
    </row>
    <row r="26" spans="1:7">
      <c r="A26" s="13"/>
      <c r="B26" s="23"/>
      <c r="C26" s="307"/>
      <c r="E26" s="13"/>
      <c r="F26" s="23"/>
      <c r="G26" s="307"/>
    </row>
    <row r="27" spans="1:7">
      <c r="A27" s="13"/>
      <c r="B27" s="25" t="s">
        <v>79</v>
      </c>
      <c r="C27" s="309">
        <v>0</v>
      </c>
      <c r="E27" s="13"/>
      <c r="F27" s="25" t="s">
        <v>79</v>
      </c>
      <c r="G27" s="309">
        <v>0</v>
      </c>
    </row>
    <row r="28" spans="1:7">
      <c r="A28" s="13"/>
      <c r="B28" s="25"/>
      <c r="C28" s="309"/>
      <c r="E28" s="13"/>
      <c r="F28" s="25"/>
      <c r="G28" s="309"/>
    </row>
    <row r="29" spans="1:7">
      <c r="A29" s="18"/>
      <c r="B29" s="26" t="s">
        <v>71</v>
      </c>
      <c r="C29" s="1047">
        <f>C25+C27</f>
        <v>293300</v>
      </c>
      <c r="E29" s="18"/>
      <c r="F29" s="26" t="s">
        <v>71</v>
      </c>
      <c r="G29" s="1047">
        <f>G25+G27</f>
        <v>228510</v>
      </c>
    </row>
    <row r="30" spans="1:7">
      <c r="A30" s="13"/>
      <c r="B30" s="25"/>
      <c r="C30" s="309"/>
      <c r="E30" s="13"/>
      <c r="F30" s="25"/>
      <c r="G30" s="309"/>
    </row>
    <row r="31" spans="1:7" ht="14.4" thickBot="1">
      <c r="A31" s="16"/>
      <c r="B31" s="27" t="s">
        <v>688</v>
      </c>
      <c r="C31" s="1046">
        <f>C7-C29</f>
        <v>13993.75900000002</v>
      </c>
      <c r="E31" s="16"/>
      <c r="F31" s="27" t="s">
        <v>688</v>
      </c>
      <c r="G31" s="1046">
        <f>G7-G29</f>
        <v>48054.383100000035</v>
      </c>
    </row>
    <row r="32" spans="1:7" ht="14.4" thickTop="1">
      <c r="A32" s="13"/>
      <c r="B32" s="13"/>
      <c r="C32" s="13"/>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59421-C3D2-4176-9CCA-C33A0F36B49C}">
  <sheetPr codeName="Sheet16"/>
  <dimension ref="A1:H36"/>
  <sheetViews>
    <sheetView zoomScale="110" zoomScaleNormal="110" workbookViewId="0">
      <selection activeCell="B14" sqref="B14"/>
    </sheetView>
  </sheetViews>
  <sheetFormatPr defaultRowHeight="14.4"/>
  <cols>
    <col min="1" max="1" width="29.44140625" customWidth="1"/>
    <col min="2" max="2" width="24.109375" style="958" customWidth="1"/>
    <col min="3" max="3" width="23.33203125" style="35" customWidth="1"/>
    <col min="4" max="4" width="7.6640625" style="35" customWidth="1"/>
    <col min="5" max="5" width="18.6640625" style="805" customWidth="1"/>
    <col min="6" max="6" width="18.5546875" customWidth="1"/>
    <col min="7" max="7" width="18.44140625" customWidth="1"/>
    <col min="8" max="8" width="23.109375" customWidth="1"/>
  </cols>
  <sheetData>
    <row r="1" spans="1:8">
      <c r="D1" s="968"/>
      <c r="E1" s="1009"/>
    </row>
    <row r="2" spans="1:8">
      <c r="A2" s="972" t="s">
        <v>670</v>
      </c>
      <c r="B2" s="973"/>
      <c r="E2" s="1008" t="s">
        <v>667</v>
      </c>
      <c r="F2" s="1007" t="s">
        <v>634</v>
      </c>
      <c r="G2" s="1006" t="s">
        <v>378</v>
      </c>
      <c r="H2" s="805"/>
    </row>
    <row r="3" spans="1:8">
      <c r="A3" s="979" t="s">
        <v>672</v>
      </c>
      <c r="B3" s="980" t="s">
        <v>697</v>
      </c>
      <c r="E3" s="1003">
        <v>290</v>
      </c>
      <c r="F3" s="994">
        <v>290</v>
      </c>
      <c r="G3" s="1004">
        <f>F3-E3</f>
        <v>0</v>
      </c>
      <c r="H3" t="s">
        <v>674</v>
      </c>
    </row>
    <row r="4" spans="1:8">
      <c r="A4" s="981" t="s">
        <v>590</v>
      </c>
      <c r="B4" s="982">
        <f>383</f>
        <v>383</v>
      </c>
      <c r="D4" s="805"/>
      <c r="E4" s="1005">
        <v>93</v>
      </c>
      <c r="F4" s="995">
        <v>80</v>
      </c>
      <c r="G4" s="971">
        <f t="shared" ref="G4:G10" si="0">F4-E4</f>
        <v>-13</v>
      </c>
      <c r="H4" t="s">
        <v>675</v>
      </c>
    </row>
    <row r="5" spans="1:8">
      <c r="A5" s="293" t="s">
        <v>586</v>
      </c>
      <c r="B5" s="978">
        <v>3688000</v>
      </c>
      <c r="C5" s="805"/>
      <c r="D5" s="805"/>
      <c r="E5" s="1016">
        <f>B5</f>
        <v>3688000</v>
      </c>
      <c r="F5" s="964">
        <v>4437125.3525588438</v>
      </c>
      <c r="G5" s="959">
        <f t="shared" si="0"/>
        <v>749125.35255884379</v>
      </c>
      <c r="H5" s="33" t="s">
        <v>375</v>
      </c>
    </row>
    <row r="6" spans="1:8">
      <c r="A6" s="211" t="s">
        <v>585</v>
      </c>
      <c r="B6" s="962">
        <v>3658200</v>
      </c>
      <c r="C6" s="805"/>
      <c r="D6" s="805"/>
      <c r="E6" s="997">
        <f>B6</f>
        <v>3658200</v>
      </c>
      <c r="F6" s="965">
        <v>4404928.4000000004</v>
      </c>
      <c r="G6" s="960">
        <f t="shared" si="0"/>
        <v>746728.40000000037</v>
      </c>
      <c r="H6" t="s">
        <v>676</v>
      </c>
    </row>
    <row r="7" spans="1:8">
      <c r="A7" s="211" t="s">
        <v>584</v>
      </c>
      <c r="B7" s="962">
        <v>9387.0967741935492</v>
      </c>
      <c r="C7" s="805"/>
      <c r="D7" s="805"/>
      <c r="E7" s="997">
        <f>B7</f>
        <v>9387.0967741935492</v>
      </c>
      <c r="F7" s="965">
        <f>B18</f>
        <v>8888.5500862300232</v>
      </c>
      <c r="G7" s="960">
        <f t="shared" si="0"/>
        <v>-498.54668796352598</v>
      </c>
      <c r="H7" t="s">
        <v>238</v>
      </c>
    </row>
    <row r="8" spans="1:8">
      <c r="A8" s="268" t="s">
        <v>583</v>
      </c>
      <c r="B8" s="963">
        <f>11030*0.88</f>
        <v>9706.4</v>
      </c>
      <c r="C8" s="805"/>
      <c r="D8" s="805"/>
      <c r="E8" s="998">
        <v>11385</v>
      </c>
      <c r="F8" s="966">
        <v>11385</v>
      </c>
      <c r="G8" s="961">
        <f t="shared" si="0"/>
        <v>0</v>
      </c>
      <c r="H8" t="s">
        <v>616</v>
      </c>
    </row>
    <row r="9" spans="1:8">
      <c r="A9" s="969" t="s">
        <v>671</v>
      </c>
      <c r="B9" s="969" t="s">
        <v>582</v>
      </c>
      <c r="C9" s="974" t="s">
        <v>378</v>
      </c>
      <c r="E9" s="1010">
        <f>A10</f>
        <v>9629.2428198433427</v>
      </c>
      <c r="F9" s="1011">
        <f>A21</f>
        <v>13033.158995147376</v>
      </c>
      <c r="G9" s="1012">
        <f t="shared" si="0"/>
        <v>3403.9161753040335</v>
      </c>
      <c r="H9" t="s">
        <v>677</v>
      </c>
    </row>
    <row r="10" spans="1:8">
      <c r="A10" s="970">
        <f>B5/B4</f>
        <v>9629.2428198433427</v>
      </c>
      <c r="B10" s="967">
        <f>B6/B4</f>
        <v>9551.4360313315919</v>
      </c>
      <c r="C10" s="970">
        <f>A10-B10</f>
        <v>77.80678851175071</v>
      </c>
      <c r="E10" s="1013">
        <f>B10</f>
        <v>9551.4360313315919</v>
      </c>
      <c r="F10" s="1014">
        <f>B21</f>
        <v>13304.996756756756</v>
      </c>
      <c r="G10" s="1015">
        <f t="shared" si="0"/>
        <v>3753.5607254251645</v>
      </c>
      <c r="H10" t="s">
        <v>678</v>
      </c>
    </row>
    <row r="11" spans="1:8">
      <c r="E11"/>
      <c r="F11" s="958"/>
      <c r="G11" s="35"/>
    </row>
    <row r="12" spans="1:8">
      <c r="E12" s="1007" t="s">
        <v>634</v>
      </c>
      <c r="F12" s="989" t="s">
        <v>673</v>
      </c>
      <c r="G12" s="999" t="s">
        <v>378</v>
      </c>
    </row>
    <row r="13" spans="1:8">
      <c r="A13" s="976" t="s">
        <v>669</v>
      </c>
      <c r="B13" s="977"/>
      <c r="E13" s="991">
        <v>290</v>
      </c>
      <c r="F13" s="1000">
        <v>275</v>
      </c>
      <c r="G13" s="992">
        <f>F13-E13</f>
        <v>-15</v>
      </c>
      <c r="H13" t="s">
        <v>674</v>
      </c>
    </row>
    <row r="14" spans="1:8">
      <c r="A14" s="983" t="s">
        <v>672</v>
      </c>
      <c r="B14" s="984" t="s">
        <v>666</v>
      </c>
      <c r="E14" s="993">
        <v>80</v>
      </c>
      <c r="F14" s="1001">
        <v>75</v>
      </c>
      <c r="G14" s="1002">
        <f t="shared" ref="G14:G20" si="1">F14-E14</f>
        <v>-5</v>
      </c>
      <c r="H14" t="s">
        <v>675</v>
      </c>
    </row>
    <row r="15" spans="1:8">
      <c r="A15" s="981" t="s">
        <v>665</v>
      </c>
      <c r="B15" s="982">
        <v>370</v>
      </c>
      <c r="D15" s="805"/>
      <c r="E15" s="996">
        <f>B16</f>
        <v>4822268.8282045294</v>
      </c>
      <c r="F15" s="964">
        <f>B27</f>
        <v>4493843.7282045297</v>
      </c>
      <c r="G15" s="959">
        <f t="shared" si="1"/>
        <v>-328425.09999999963</v>
      </c>
      <c r="H15" s="33" t="s">
        <v>375</v>
      </c>
    </row>
    <row r="16" spans="1:8">
      <c r="A16" s="211" t="s">
        <v>581</v>
      </c>
      <c r="B16" s="962">
        <f>'GF020'!D81</f>
        <v>4822268.8282045294</v>
      </c>
      <c r="C16" s="805"/>
      <c r="D16" s="805"/>
      <c r="E16" s="997">
        <f>B17</f>
        <v>4922848.8</v>
      </c>
      <c r="F16" s="965">
        <f>B28</f>
        <v>4494343.5199999996</v>
      </c>
      <c r="G16" s="960">
        <f t="shared" si="1"/>
        <v>-428505.28000000026</v>
      </c>
      <c r="H16" t="s">
        <v>676</v>
      </c>
    </row>
    <row r="17" spans="1:8">
      <c r="A17" s="211" t="s">
        <v>580</v>
      </c>
      <c r="B17" s="962">
        <f>'GF020'!D82</f>
        <v>4922848.8</v>
      </c>
      <c r="C17" s="805"/>
      <c r="D17" s="805"/>
      <c r="E17" s="997">
        <f>B18</f>
        <v>8888.5500862300232</v>
      </c>
      <c r="F17" s="965">
        <f>B29</f>
        <v>9481.1200919786916</v>
      </c>
      <c r="G17" s="960">
        <f t="shared" si="1"/>
        <v>592.57000574866834</v>
      </c>
      <c r="H17" t="s">
        <v>238</v>
      </c>
    </row>
    <row r="18" spans="1:8">
      <c r="A18" s="211" t="s">
        <v>579</v>
      </c>
      <c r="B18" s="962">
        <f>'Tuition Per 6 RM Model'!L10/80</f>
        <v>8888.5500862300232</v>
      </c>
      <c r="C18" s="805"/>
      <c r="D18" s="805"/>
      <c r="E18" s="998">
        <f>B19</f>
        <v>11385</v>
      </c>
      <c r="F18" s="966">
        <f>B30</f>
        <v>11385</v>
      </c>
      <c r="G18" s="961">
        <f t="shared" si="1"/>
        <v>0</v>
      </c>
      <c r="H18" t="s">
        <v>616</v>
      </c>
    </row>
    <row r="19" spans="1:8">
      <c r="A19" s="268" t="s">
        <v>661</v>
      </c>
      <c r="B19" s="963">
        <v>11385</v>
      </c>
      <c r="C19" s="805"/>
      <c r="D19" s="805"/>
      <c r="E19" s="1010">
        <f>A21</f>
        <v>13033.158995147376</v>
      </c>
      <c r="F19" s="1011">
        <f>A32</f>
        <v>12839.553509155799</v>
      </c>
      <c r="G19" s="1012">
        <f t="shared" si="1"/>
        <v>-193.60548599157664</v>
      </c>
      <c r="H19" t="s">
        <v>677</v>
      </c>
    </row>
    <row r="20" spans="1:8">
      <c r="A20" s="975" t="s">
        <v>663</v>
      </c>
      <c r="B20" s="975" t="s">
        <v>664</v>
      </c>
      <c r="C20" s="975" t="s">
        <v>378</v>
      </c>
      <c r="E20" s="1013">
        <f>B21</f>
        <v>13304.996756756756</v>
      </c>
      <c r="F20" s="1014">
        <f>B32</f>
        <v>12840.981485714285</v>
      </c>
      <c r="G20" s="1015">
        <f t="shared" si="1"/>
        <v>-464.0152710424718</v>
      </c>
      <c r="H20" t="s">
        <v>678</v>
      </c>
    </row>
    <row r="21" spans="1:8">
      <c r="A21" s="970">
        <f>B16/B15</f>
        <v>13033.158995147376</v>
      </c>
      <c r="B21" s="967">
        <f>B17/B15</f>
        <v>13304.996756756756</v>
      </c>
      <c r="C21" s="970">
        <f>A21-B21</f>
        <v>-271.83776160938032</v>
      </c>
    </row>
    <row r="23" spans="1:8">
      <c r="D23" s="805"/>
    </row>
    <row r="24" spans="1:8">
      <c r="A24" s="985" t="s">
        <v>668</v>
      </c>
      <c r="B24" s="986"/>
      <c r="C24" s="805"/>
    </row>
    <row r="25" spans="1:8">
      <c r="A25" s="988" t="s">
        <v>672</v>
      </c>
      <c r="B25" s="989" t="s">
        <v>666</v>
      </c>
    </row>
    <row r="26" spans="1:8">
      <c r="A26" s="990" t="s">
        <v>662</v>
      </c>
      <c r="B26" s="982">
        <v>350</v>
      </c>
      <c r="D26" s="805"/>
    </row>
    <row r="27" spans="1:8">
      <c r="A27" s="211" t="s">
        <v>581</v>
      </c>
      <c r="B27" s="962">
        <f>'GF020'!E81</f>
        <v>4493843.7282045297</v>
      </c>
      <c r="C27" s="805"/>
      <c r="D27" s="805"/>
    </row>
    <row r="28" spans="1:8">
      <c r="A28" s="211" t="s">
        <v>580</v>
      </c>
      <c r="B28" s="962">
        <f>'GF020'!E82</f>
        <v>4494343.5199999996</v>
      </c>
      <c r="C28" s="805"/>
      <c r="D28" s="805"/>
    </row>
    <row r="29" spans="1:8">
      <c r="A29" s="211" t="s">
        <v>579</v>
      </c>
      <c r="B29" s="962">
        <f>'Tuition Per Toddler Model'!L10/75</f>
        <v>9481.1200919786916</v>
      </c>
      <c r="C29" s="805"/>
      <c r="D29" s="805"/>
    </row>
    <row r="30" spans="1:8">
      <c r="A30" s="211" t="s">
        <v>661</v>
      </c>
      <c r="B30" s="962">
        <v>11385</v>
      </c>
      <c r="C30" s="805"/>
    </row>
    <row r="31" spans="1:8">
      <c r="A31" s="987" t="s">
        <v>663</v>
      </c>
      <c r="B31" s="987" t="s">
        <v>664</v>
      </c>
      <c r="C31" s="987" t="s">
        <v>378</v>
      </c>
    </row>
    <row r="32" spans="1:8">
      <c r="A32" s="970">
        <f>B27/B26</f>
        <v>12839.553509155799</v>
      </c>
      <c r="B32" s="967">
        <f>B28/B26</f>
        <v>12840.981485714285</v>
      </c>
      <c r="C32" s="970">
        <f>A32-B32</f>
        <v>-1.4279765584851702</v>
      </c>
    </row>
    <row r="36" s="805" customFormat="1"/>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B3:O60"/>
  <sheetViews>
    <sheetView zoomScale="80" zoomScaleNormal="80" workbookViewId="0">
      <pane ySplit="7" topLeftCell="A8" activePane="bottomLeft" state="frozen"/>
      <selection pane="bottomLeft" activeCell="N10" sqref="N10"/>
    </sheetView>
  </sheetViews>
  <sheetFormatPr defaultColWidth="28.6640625" defaultRowHeight="11.4"/>
  <cols>
    <col min="1" max="1" width="3.5546875" style="69" customWidth="1"/>
    <col min="2" max="2" width="27.33203125" style="161" customWidth="1"/>
    <col min="3" max="3" width="22.33203125" style="161" customWidth="1"/>
    <col min="4" max="4" width="13.33203125" style="162" customWidth="1"/>
    <col min="5" max="7" width="13" style="162" customWidth="1"/>
    <col min="8" max="8" width="10.6640625" style="162" customWidth="1"/>
    <col min="9" max="9" width="16.33203125" style="162" customWidth="1"/>
    <col min="10" max="10" width="17.5546875" style="162" customWidth="1"/>
    <col min="11" max="11" width="17.33203125" style="162" customWidth="1"/>
    <col min="12" max="13" width="13" style="162" customWidth="1"/>
    <col min="14" max="14" width="25.6640625" style="184" customWidth="1"/>
    <col min="15" max="16384" width="28.6640625" style="69"/>
  </cols>
  <sheetData>
    <row r="3" spans="2:15" ht="12">
      <c r="B3" s="69"/>
      <c r="C3" s="1397" t="s">
        <v>271</v>
      </c>
      <c r="D3" s="1397"/>
      <c r="E3" s="1397"/>
      <c r="F3" s="1397"/>
      <c r="G3" s="1397"/>
      <c r="H3" s="1397"/>
      <c r="I3" s="1397"/>
      <c r="J3" s="1397"/>
      <c r="K3" s="1397"/>
      <c r="L3" s="70"/>
      <c r="M3" s="71"/>
      <c r="N3" s="181"/>
      <c r="O3" s="72"/>
    </row>
    <row r="4" spans="2:15" ht="12">
      <c r="B4" s="69"/>
      <c r="C4" s="1398" t="s">
        <v>413</v>
      </c>
      <c r="D4" s="1398"/>
      <c r="E4" s="1398"/>
      <c r="F4" s="1398"/>
      <c r="G4" s="1398"/>
      <c r="H4" s="1398"/>
      <c r="I4" s="1398"/>
      <c r="J4" s="1398"/>
      <c r="K4" s="1398"/>
      <c r="L4" s="73"/>
      <c r="M4" s="74"/>
      <c r="N4" s="88"/>
      <c r="O4" s="75"/>
    </row>
    <row r="5" spans="2:15" ht="12">
      <c r="B5" s="76"/>
      <c r="L5" s="73"/>
      <c r="M5" s="74"/>
      <c r="N5" s="88"/>
      <c r="O5" s="75"/>
    </row>
    <row r="6" spans="2:15" ht="12.6" thickBot="1">
      <c r="B6" s="76" t="s">
        <v>272</v>
      </c>
      <c r="C6" s="1399"/>
      <c r="D6" s="1399"/>
      <c r="E6" s="1399"/>
      <c r="F6" s="1399"/>
      <c r="G6" s="1399"/>
      <c r="H6" s="1399"/>
      <c r="I6" s="1399"/>
      <c r="J6" s="1399"/>
      <c r="K6" s="1399"/>
      <c r="L6" s="73"/>
      <c r="M6" s="74"/>
      <c r="N6" s="88"/>
      <c r="O6" s="75"/>
    </row>
    <row r="7" spans="2:15" ht="13.8">
      <c r="B7" s="80" t="s">
        <v>273</v>
      </c>
      <c r="C7" s="81" t="s">
        <v>274</v>
      </c>
      <c r="D7" s="82" t="s">
        <v>275</v>
      </c>
      <c r="E7" s="82" t="s">
        <v>157</v>
      </c>
      <c r="F7" s="82">
        <v>1</v>
      </c>
      <c r="G7" s="82">
        <v>2</v>
      </c>
      <c r="H7" s="82">
        <v>3</v>
      </c>
      <c r="I7" s="82">
        <v>4</v>
      </c>
      <c r="J7" s="82">
        <v>5</v>
      </c>
      <c r="K7" s="82" t="s">
        <v>327</v>
      </c>
      <c r="L7" s="82" t="s">
        <v>328</v>
      </c>
      <c r="M7" s="83" t="s">
        <v>329</v>
      </c>
      <c r="N7" s="182" t="s">
        <v>276</v>
      </c>
      <c r="O7" s="75"/>
    </row>
    <row r="8" spans="2:15" ht="49.95" customHeight="1">
      <c r="B8" s="84" t="s">
        <v>277</v>
      </c>
      <c r="C8" s="85" t="s">
        <v>278</v>
      </c>
      <c r="D8" s="86">
        <v>15</v>
      </c>
      <c r="E8" s="86">
        <v>20</v>
      </c>
      <c r="F8" s="341"/>
      <c r="G8" s="341"/>
      <c r="H8" s="341"/>
      <c r="I8" s="341"/>
      <c r="J8" s="341"/>
      <c r="K8" s="86">
        <v>0</v>
      </c>
      <c r="L8" s="86">
        <v>0</v>
      </c>
      <c r="M8" s="87">
        <v>0</v>
      </c>
      <c r="N8" s="215" t="s">
        <v>363</v>
      </c>
      <c r="O8" s="89"/>
    </row>
    <row r="9" spans="2:15" ht="52.5" customHeight="1">
      <c r="B9" s="90" t="s">
        <v>279</v>
      </c>
      <c r="C9" s="91" t="s">
        <v>280</v>
      </c>
      <c r="D9" s="92">
        <v>0</v>
      </c>
      <c r="E9" s="92">
        <f>25+8</f>
        <v>33</v>
      </c>
      <c r="F9" s="93">
        <v>63</v>
      </c>
      <c r="G9" s="93">
        <v>63</v>
      </c>
      <c r="H9" s="93">
        <v>63</v>
      </c>
      <c r="I9" s="93">
        <v>63</v>
      </c>
      <c r="J9" s="93">
        <v>63</v>
      </c>
      <c r="K9" s="93">
        <v>63</v>
      </c>
      <c r="L9" s="93">
        <v>63</v>
      </c>
      <c r="M9" s="94">
        <v>63</v>
      </c>
      <c r="N9" s="216"/>
      <c r="O9" s="89"/>
    </row>
    <row r="10" spans="2:15" ht="60">
      <c r="B10" s="84" t="s">
        <v>281</v>
      </c>
      <c r="C10" s="85" t="s">
        <v>282</v>
      </c>
      <c r="D10" s="342">
        <v>40</v>
      </c>
      <c r="E10" s="342">
        <v>40</v>
      </c>
      <c r="F10" s="342">
        <v>40</v>
      </c>
      <c r="G10" s="342">
        <v>40</v>
      </c>
      <c r="H10" s="342">
        <v>40</v>
      </c>
      <c r="I10" s="342">
        <v>40</v>
      </c>
      <c r="J10" s="342">
        <v>40</v>
      </c>
      <c r="K10" s="342">
        <v>75</v>
      </c>
      <c r="L10" s="342">
        <v>75</v>
      </c>
      <c r="M10" s="343">
        <v>75</v>
      </c>
      <c r="N10" s="217" t="s">
        <v>442</v>
      </c>
      <c r="O10" s="89"/>
    </row>
    <row r="11" spans="2:15" ht="29.7" customHeight="1">
      <c r="B11" s="90" t="s">
        <v>283</v>
      </c>
      <c r="C11" s="91" t="s">
        <v>284</v>
      </c>
      <c r="D11" s="92">
        <v>0</v>
      </c>
      <c r="E11" s="92">
        <v>0</v>
      </c>
      <c r="F11" s="92">
        <v>0</v>
      </c>
      <c r="G11" s="92">
        <v>0</v>
      </c>
      <c r="H11" s="92">
        <v>0</v>
      </c>
      <c r="I11" s="92">
        <v>5</v>
      </c>
      <c r="J11" s="92">
        <v>5</v>
      </c>
      <c r="K11" s="92">
        <v>0</v>
      </c>
      <c r="L11" s="92">
        <v>0</v>
      </c>
      <c r="M11" s="95">
        <v>0</v>
      </c>
      <c r="N11" s="217" t="s">
        <v>346</v>
      </c>
      <c r="O11" s="96"/>
    </row>
    <row r="12" spans="2:15" ht="37.5" customHeight="1">
      <c r="B12" s="84" t="s">
        <v>285</v>
      </c>
      <c r="C12" s="85" t="s">
        <v>286</v>
      </c>
      <c r="D12" s="338">
        <v>0</v>
      </c>
      <c r="E12" s="342"/>
      <c r="F12" s="342"/>
      <c r="G12" s="342"/>
      <c r="H12" s="342"/>
      <c r="I12" s="342"/>
      <c r="J12" s="342"/>
      <c r="K12" s="342"/>
      <c r="L12" s="342"/>
      <c r="M12" s="343"/>
      <c r="N12" s="339" t="s">
        <v>360</v>
      </c>
      <c r="O12" s="96"/>
    </row>
    <row r="13" spans="2:15" ht="38.700000000000003" customHeight="1">
      <c r="B13" s="90" t="s">
        <v>287</v>
      </c>
      <c r="C13" s="91" t="s">
        <v>286</v>
      </c>
      <c r="D13" s="340">
        <v>0</v>
      </c>
      <c r="E13" s="342"/>
      <c r="F13" s="342"/>
      <c r="G13" s="342"/>
      <c r="H13" s="342"/>
      <c r="I13" s="342"/>
      <c r="J13" s="342"/>
      <c r="K13" s="342"/>
      <c r="L13" s="342"/>
      <c r="M13" s="343"/>
      <c r="N13" s="339" t="s">
        <v>361</v>
      </c>
      <c r="O13" s="89"/>
    </row>
    <row r="14" spans="2:15" ht="34.200000000000003" customHeight="1">
      <c r="B14" s="84" t="s">
        <v>288</v>
      </c>
      <c r="C14" s="85" t="s">
        <v>289</v>
      </c>
      <c r="D14" s="86">
        <v>0</v>
      </c>
      <c r="E14" s="86">
        <v>3</v>
      </c>
      <c r="F14" s="86">
        <v>3</v>
      </c>
      <c r="G14" s="86">
        <v>3</v>
      </c>
      <c r="H14" s="86">
        <v>3</v>
      </c>
      <c r="I14" s="86">
        <v>3</v>
      </c>
      <c r="J14" s="86">
        <v>3</v>
      </c>
      <c r="K14" s="86">
        <v>3</v>
      </c>
      <c r="L14" s="86">
        <v>3</v>
      </c>
      <c r="M14" s="87">
        <v>3</v>
      </c>
      <c r="N14" s="217"/>
      <c r="O14" s="89"/>
    </row>
    <row r="15" spans="2:15" ht="31.5" customHeight="1">
      <c r="B15" s="90" t="s">
        <v>290</v>
      </c>
      <c r="C15" s="91" t="s">
        <v>291</v>
      </c>
      <c r="D15" s="92">
        <v>0</v>
      </c>
      <c r="E15" s="92">
        <v>10</v>
      </c>
      <c r="F15" s="92">
        <v>10</v>
      </c>
      <c r="G15" s="92">
        <v>10</v>
      </c>
      <c r="H15" s="92">
        <v>10</v>
      </c>
      <c r="I15" s="92">
        <v>10</v>
      </c>
      <c r="J15" s="92">
        <v>10</v>
      </c>
      <c r="K15" s="97" t="s">
        <v>292</v>
      </c>
      <c r="L15" s="97" t="s">
        <v>292</v>
      </c>
      <c r="M15" s="98" t="s">
        <v>292</v>
      </c>
      <c r="N15" s="217"/>
      <c r="O15" s="96"/>
    </row>
    <row r="16" spans="2:15" ht="45" customHeight="1">
      <c r="B16" s="84" t="s">
        <v>293</v>
      </c>
      <c r="C16" s="85" t="s">
        <v>294</v>
      </c>
      <c r="D16" s="86">
        <v>0</v>
      </c>
      <c r="E16" s="86">
        <v>2</v>
      </c>
      <c r="F16" s="86">
        <v>3</v>
      </c>
      <c r="G16" s="86">
        <v>3</v>
      </c>
      <c r="H16" s="86">
        <v>3</v>
      </c>
      <c r="I16" s="342">
        <v>5</v>
      </c>
      <c r="J16" s="342">
        <v>5</v>
      </c>
      <c r="K16" s="99" t="s">
        <v>292</v>
      </c>
      <c r="L16" s="99" t="s">
        <v>292</v>
      </c>
      <c r="M16" s="100" t="s">
        <v>292</v>
      </c>
      <c r="N16" s="217" t="s">
        <v>414</v>
      </c>
      <c r="O16" s="89"/>
    </row>
    <row r="17" spans="2:15" ht="36">
      <c r="B17" s="90" t="s">
        <v>295</v>
      </c>
      <c r="C17" s="91" t="s">
        <v>353</v>
      </c>
      <c r="D17" s="92">
        <v>0</v>
      </c>
      <c r="E17" s="455">
        <v>5</v>
      </c>
      <c r="F17" s="92">
        <v>5</v>
      </c>
      <c r="G17" s="92">
        <v>5</v>
      </c>
      <c r="H17" s="92">
        <v>5</v>
      </c>
      <c r="I17" s="92">
        <v>5</v>
      </c>
      <c r="J17" s="92">
        <v>5</v>
      </c>
      <c r="K17" s="92" t="s">
        <v>292</v>
      </c>
      <c r="L17" s="92" t="s">
        <v>292</v>
      </c>
      <c r="M17" s="95" t="s">
        <v>292</v>
      </c>
      <c r="N17" s="217" t="s">
        <v>359</v>
      </c>
      <c r="O17" s="96"/>
    </row>
    <row r="18" spans="2:15" ht="45.45" customHeight="1">
      <c r="B18" s="84" t="s">
        <v>296</v>
      </c>
      <c r="C18" s="85" t="s">
        <v>297</v>
      </c>
      <c r="D18" s="86">
        <v>4</v>
      </c>
      <c r="E18" s="86">
        <v>5</v>
      </c>
      <c r="F18" s="86">
        <v>5</v>
      </c>
      <c r="G18" s="86">
        <v>5</v>
      </c>
      <c r="H18" s="86">
        <v>5</v>
      </c>
      <c r="I18" s="86">
        <v>5</v>
      </c>
      <c r="J18" s="86">
        <v>5</v>
      </c>
      <c r="K18" s="86">
        <v>5</v>
      </c>
      <c r="L18" s="86">
        <v>5</v>
      </c>
      <c r="M18" s="87">
        <v>5</v>
      </c>
      <c r="N18" s="217"/>
      <c r="O18" s="89"/>
    </row>
    <row r="19" spans="2:15" ht="33" customHeight="1">
      <c r="B19" s="90" t="s">
        <v>298</v>
      </c>
      <c r="C19" s="91" t="s">
        <v>299</v>
      </c>
      <c r="D19" s="92">
        <v>0</v>
      </c>
      <c r="E19" s="92">
        <v>0</v>
      </c>
      <c r="F19" s="92">
        <v>5</v>
      </c>
      <c r="G19" s="92">
        <v>5</v>
      </c>
      <c r="H19" s="92">
        <v>5</v>
      </c>
      <c r="I19" s="92">
        <v>5</v>
      </c>
      <c r="J19" s="92">
        <v>5</v>
      </c>
      <c r="K19" s="92">
        <v>10</v>
      </c>
      <c r="L19" s="92">
        <v>10</v>
      </c>
      <c r="M19" s="95">
        <v>10</v>
      </c>
      <c r="N19" s="217" t="s">
        <v>347</v>
      </c>
      <c r="O19" s="96"/>
    </row>
    <row r="20" spans="2:15" ht="59.25" customHeight="1" thickBot="1">
      <c r="B20" s="101" t="s">
        <v>300</v>
      </c>
      <c r="C20" s="102" t="s">
        <v>301</v>
      </c>
      <c r="D20" s="103">
        <v>0</v>
      </c>
      <c r="E20" s="103">
        <v>0</v>
      </c>
      <c r="F20" s="103">
        <v>0</v>
      </c>
      <c r="G20" s="103">
        <v>0</v>
      </c>
      <c r="H20" s="103">
        <v>0</v>
      </c>
      <c r="I20" s="103">
        <v>0</v>
      </c>
      <c r="J20" s="103">
        <v>0</v>
      </c>
      <c r="K20" s="103">
        <v>7</v>
      </c>
      <c r="L20" s="103">
        <v>7</v>
      </c>
      <c r="M20" s="104">
        <v>7</v>
      </c>
      <c r="N20" s="218"/>
      <c r="O20" s="89"/>
    </row>
    <row r="21" spans="2:15" ht="27.75" customHeight="1" thickBot="1">
      <c r="B21" s="105" t="s">
        <v>302</v>
      </c>
      <c r="C21" s="106"/>
      <c r="D21" s="107">
        <f t="shared" ref="D21:M21" si="0">SUM(D8:D20)</f>
        <v>59</v>
      </c>
      <c r="E21" s="107">
        <f t="shared" si="0"/>
        <v>118</v>
      </c>
      <c r="F21" s="107">
        <f t="shared" si="0"/>
        <v>134</v>
      </c>
      <c r="G21" s="107">
        <f t="shared" si="0"/>
        <v>134</v>
      </c>
      <c r="H21" s="107">
        <f t="shared" si="0"/>
        <v>134</v>
      </c>
      <c r="I21" s="107">
        <f t="shared" si="0"/>
        <v>141</v>
      </c>
      <c r="J21" s="107">
        <f t="shared" si="0"/>
        <v>141</v>
      </c>
      <c r="K21" s="107">
        <f t="shared" si="0"/>
        <v>163</v>
      </c>
      <c r="L21" s="107">
        <f t="shared" si="0"/>
        <v>163</v>
      </c>
      <c r="M21" s="107">
        <f t="shared" si="0"/>
        <v>163</v>
      </c>
      <c r="N21" s="183"/>
      <c r="O21" s="89"/>
    </row>
    <row r="22" spans="2:15" ht="27.75" customHeight="1" thickTop="1">
      <c r="B22" s="190"/>
      <c r="C22" s="189" t="s">
        <v>362</v>
      </c>
      <c r="D22" s="191">
        <v>44</v>
      </c>
      <c r="E22" s="187">
        <v>125</v>
      </c>
      <c r="F22" s="187">
        <v>169</v>
      </c>
      <c r="G22" s="187">
        <v>169</v>
      </c>
      <c r="H22" s="187">
        <v>164</v>
      </c>
      <c r="I22" s="187">
        <v>169</v>
      </c>
      <c r="J22" s="187">
        <v>169</v>
      </c>
      <c r="K22" s="187">
        <v>163</v>
      </c>
      <c r="L22" s="187">
        <v>163</v>
      </c>
      <c r="M22" s="188">
        <v>163</v>
      </c>
      <c r="N22" s="183"/>
      <c r="O22" s="89"/>
    </row>
    <row r="23" spans="2:15" ht="33" customHeight="1" thickBot="1">
      <c r="B23" s="1400"/>
      <c r="C23" s="1401"/>
      <c r="D23" s="1401"/>
      <c r="E23" s="1401"/>
      <c r="F23" s="1401"/>
      <c r="G23" s="1401"/>
      <c r="H23" s="1401"/>
      <c r="I23" s="1401"/>
      <c r="J23" s="1401"/>
      <c r="K23" s="1401"/>
      <c r="L23" s="1401"/>
      <c r="M23" s="1402"/>
      <c r="N23" s="183"/>
      <c r="O23" s="89"/>
    </row>
    <row r="24" spans="2:15" ht="12">
      <c r="B24" s="1403" t="s">
        <v>303</v>
      </c>
      <c r="C24" s="1404"/>
      <c r="D24" s="1404"/>
      <c r="E24" s="1404"/>
      <c r="F24" s="1404"/>
      <c r="G24" s="1404"/>
      <c r="H24" s="1404"/>
      <c r="I24" s="1404"/>
      <c r="J24" s="1404"/>
      <c r="K24" s="1404"/>
      <c r="L24" s="1404"/>
      <c r="M24" s="1405"/>
      <c r="N24" s="183"/>
      <c r="O24" s="89"/>
    </row>
    <row r="25" spans="2:15" ht="24">
      <c r="B25" s="108" t="s">
        <v>340</v>
      </c>
      <c r="C25" s="109" t="s">
        <v>453</v>
      </c>
      <c r="D25" s="93">
        <v>0</v>
      </c>
      <c r="E25" s="93">
        <v>0</v>
      </c>
      <c r="F25" s="93">
        <v>0</v>
      </c>
      <c r="G25" s="93">
        <v>0</v>
      </c>
      <c r="H25" s="93">
        <v>0</v>
      </c>
      <c r="I25" s="93">
        <v>0</v>
      </c>
      <c r="J25" s="93">
        <v>0</v>
      </c>
      <c r="K25" s="454">
        <v>300</v>
      </c>
      <c r="L25" s="93">
        <v>0</v>
      </c>
      <c r="M25" s="94">
        <v>0</v>
      </c>
      <c r="N25" s="183"/>
      <c r="O25" s="89"/>
    </row>
    <row r="26" spans="2:15" ht="48.6" thickBot="1">
      <c r="B26" s="110" t="s">
        <v>330</v>
      </c>
      <c r="C26" s="111" t="s">
        <v>304</v>
      </c>
      <c r="D26" s="112">
        <v>30</v>
      </c>
      <c r="E26" s="112">
        <v>30</v>
      </c>
      <c r="F26" s="112">
        <v>30</v>
      </c>
      <c r="G26" s="112">
        <v>30</v>
      </c>
      <c r="H26" s="112">
        <v>30</v>
      </c>
      <c r="I26" s="112">
        <v>30</v>
      </c>
      <c r="J26" s="112">
        <v>30</v>
      </c>
      <c r="K26" s="112" t="s">
        <v>338</v>
      </c>
      <c r="L26" s="112" t="s">
        <v>338</v>
      </c>
      <c r="M26" s="113" t="s">
        <v>339</v>
      </c>
      <c r="N26" s="183"/>
      <c r="O26" s="89"/>
    </row>
    <row r="27" spans="2:15" ht="12">
      <c r="B27" s="1403" t="s">
        <v>305</v>
      </c>
      <c r="C27" s="1404"/>
      <c r="D27" s="1404"/>
      <c r="E27" s="1404"/>
      <c r="F27" s="1404"/>
      <c r="G27" s="1404"/>
      <c r="H27" s="1404"/>
      <c r="I27" s="1404"/>
      <c r="J27" s="1404"/>
      <c r="K27" s="1404"/>
      <c r="L27" s="1404"/>
      <c r="M27" s="1405"/>
      <c r="N27" s="183"/>
      <c r="O27" s="89"/>
    </row>
    <row r="28" spans="2:15" ht="36.6" thickBot="1">
      <c r="B28" s="114" t="s">
        <v>331</v>
      </c>
      <c r="C28" s="115" t="s">
        <v>306</v>
      </c>
      <c r="D28" s="116">
        <v>0</v>
      </c>
      <c r="E28" s="116">
        <v>0</v>
      </c>
      <c r="F28" s="116">
        <v>0</v>
      </c>
      <c r="G28" s="116">
        <v>0</v>
      </c>
      <c r="H28" s="116">
        <v>0</v>
      </c>
      <c r="I28" s="116">
        <v>0</v>
      </c>
      <c r="J28" s="116">
        <v>0</v>
      </c>
      <c r="K28" s="116" t="s">
        <v>307</v>
      </c>
      <c r="L28" s="117" t="s">
        <v>307</v>
      </c>
      <c r="M28" s="118" t="s">
        <v>307</v>
      </c>
      <c r="N28" s="183"/>
      <c r="O28" s="89"/>
    </row>
    <row r="29" spans="2:15" ht="12.6" thickBot="1">
      <c r="B29" s="76"/>
      <c r="C29" s="77"/>
      <c r="D29" s="78"/>
      <c r="E29" s="78"/>
      <c r="F29" s="78"/>
      <c r="G29" s="78"/>
      <c r="H29" s="78"/>
      <c r="I29" s="78"/>
      <c r="J29" s="78"/>
      <c r="K29" s="79"/>
      <c r="L29" s="73"/>
      <c r="M29" s="119"/>
      <c r="N29" s="183"/>
      <c r="O29" s="96"/>
    </row>
    <row r="30" spans="2:15" ht="12">
      <c r="B30" s="120" t="s">
        <v>415</v>
      </c>
      <c r="C30" s="121" t="s">
        <v>446</v>
      </c>
      <c r="D30" s="123" t="s">
        <v>448</v>
      </c>
      <c r="E30" s="206" t="s">
        <v>134</v>
      </c>
      <c r="F30" s="78"/>
      <c r="G30" s="78"/>
      <c r="H30" s="78"/>
      <c r="I30" s="78"/>
      <c r="J30" s="78"/>
      <c r="K30" s="79"/>
      <c r="L30" s="73"/>
      <c r="M30" s="119"/>
      <c r="N30" s="183"/>
      <c r="O30" s="96"/>
    </row>
    <row r="31" spans="2:15" ht="13.95" customHeight="1">
      <c r="B31" s="124" t="s">
        <v>308</v>
      </c>
      <c r="C31" s="125">
        <f>+C32/10</f>
        <v>998.43999999999994</v>
      </c>
      <c r="D31" s="208">
        <f>+D32/10</f>
        <v>708.62400000000002</v>
      </c>
      <c r="E31" s="422" t="s">
        <v>443</v>
      </c>
      <c r="F31" s="78"/>
      <c r="G31" s="78"/>
      <c r="H31" s="78"/>
      <c r="I31" s="78"/>
      <c r="J31" s="78"/>
      <c r="K31" s="79"/>
      <c r="L31" s="73"/>
      <c r="M31" s="119"/>
      <c r="O31" s="96"/>
    </row>
    <row r="32" spans="2:15" ht="12.6" thickBot="1">
      <c r="B32" s="126" t="s">
        <v>177</v>
      </c>
      <c r="C32" s="127">
        <v>9984.4</v>
      </c>
      <c r="D32" s="128">
        <v>7086.24</v>
      </c>
      <c r="E32" s="207" t="s">
        <v>134</v>
      </c>
      <c r="F32" s="78"/>
      <c r="G32" s="78"/>
      <c r="H32" s="78"/>
      <c r="I32" s="78"/>
      <c r="J32" s="78"/>
      <c r="K32" s="79"/>
      <c r="L32" s="73"/>
      <c r="M32" s="119"/>
      <c r="N32" s="421"/>
      <c r="O32" s="96"/>
    </row>
    <row r="33" spans="2:15" ht="12">
      <c r="B33" s="120" t="s">
        <v>416</v>
      </c>
      <c r="C33" s="121" t="s">
        <v>447</v>
      </c>
      <c r="D33" s="123" t="s">
        <v>449</v>
      </c>
      <c r="E33" s="207"/>
      <c r="F33" s="78"/>
      <c r="G33" s="78"/>
      <c r="H33" s="78"/>
      <c r="I33" s="78"/>
      <c r="J33" s="78"/>
      <c r="K33" s="79"/>
      <c r="L33" s="73"/>
      <c r="M33" s="119"/>
      <c r="N33" s="421"/>
      <c r="O33" s="96"/>
    </row>
    <row r="34" spans="2:15" ht="16.2" customHeight="1">
      <c r="B34" s="124" t="s">
        <v>308</v>
      </c>
      <c r="C34" s="125">
        <f>'Tuition Proposed Rate Increases'!G6</f>
        <v>499.97898900000001</v>
      </c>
      <c r="D34" s="208">
        <f>'Tuition Proposed Rate Increases'!G8</f>
        <v>150</v>
      </c>
      <c r="E34" s="422" t="s">
        <v>444</v>
      </c>
      <c r="F34" s="78"/>
      <c r="G34" s="78"/>
      <c r="H34" s="78"/>
      <c r="I34" s="78"/>
      <c r="J34" s="78"/>
      <c r="K34" s="79"/>
      <c r="L34" s="73"/>
      <c r="M34" s="119"/>
      <c r="O34" s="96"/>
    </row>
    <row r="35" spans="2:15" ht="12.6" thickBot="1">
      <c r="B35" s="126" t="s">
        <v>177</v>
      </c>
      <c r="C35" s="127">
        <f>C34*10</f>
        <v>4999.78989</v>
      </c>
      <c r="D35" s="128">
        <f>D34*10</f>
        <v>1500</v>
      </c>
      <c r="E35" s="422" t="s">
        <v>445</v>
      </c>
      <c r="F35" s="78"/>
      <c r="G35" s="78"/>
      <c r="H35" s="78"/>
      <c r="I35" s="78"/>
      <c r="J35" s="78"/>
      <c r="K35" s="79"/>
      <c r="L35" s="73"/>
      <c r="M35" s="119"/>
      <c r="O35" s="96"/>
    </row>
    <row r="36" spans="2:15" ht="12.6" thickBot="1">
      <c r="B36" s="76"/>
      <c r="C36" s="77"/>
      <c r="D36" s="78"/>
      <c r="E36" s="78"/>
      <c r="F36" s="78"/>
      <c r="G36" s="78"/>
      <c r="H36" s="78"/>
      <c r="I36" s="78"/>
      <c r="J36" s="78"/>
      <c r="K36" s="79"/>
      <c r="L36" s="73"/>
      <c r="M36" s="119"/>
      <c r="N36" s="183"/>
      <c r="O36" s="89"/>
    </row>
    <row r="37" spans="2:15" ht="12">
      <c r="B37" s="129" t="s">
        <v>309</v>
      </c>
      <c r="C37" s="1387" t="s">
        <v>310</v>
      </c>
      <c r="D37" s="1388"/>
      <c r="E37" s="1388"/>
      <c r="F37" s="1388"/>
      <c r="G37" s="1389"/>
      <c r="H37" s="69"/>
      <c r="I37" s="1390" t="s">
        <v>311</v>
      </c>
      <c r="J37" s="1391"/>
      <c r="K37" s="1392"/>
      <c r="L37" s="130"/>
      <c r="M37" s="130"/>
      <c r="N37" s="183"/>
    </row>
    <row r="38" spans="2:15" ht="12">
      <c r="B38" s="131"/>
      <c r="C38" s="132" t="s">
        <v>312</v>
      </c>
      <c r="D38" s="132" t="s">
        <v>313</v>
      </c>
      <c r="E38" s="132" t="s">
        <v>314</v>
      </c>
      <c r="F38" s="132" t="s">
        <v>315</v>
      </c>
      <c r="G38" s="133" t="s">
        <v>316</v>
      </c>
      <c r="H38" s="69"/>
      <c r="I38" s="413" t="s">
        <v>317</v>
      </c>
      <c r="J38" s="132" t="s">
        <v>318</v>
      </c>
      <c r="K38" s="133" t="s">
        <v>319</v>
      </c>
      <c r="L38" s="130"/>
      <c r="M38" s="130"/>
      <c r="N38" s="183"/>
    </row>
    <row r="39" spans="2:15" ht="12">
      <c r="B39" s="134"/>
      <c r="C39" s="135"/>
      <c r="D39" s="135"/>
      <c r="E39" s="135"/>
      <c r="F39" s="135"/>
      <c r="G39" s="136"/>
      <c r="H39" s="69"/>
      <c r="I39" s="414" t="s">
        <v>320</v>
      </c>
      <c r="J39" s="137" t="s">
        <v>321</v>
      </c>
      <c r="K39" s="138" t="s">
        <v>322</v>
      </c>
      <c r="L39" s="130"/>
      <c r="M39" s="130"/>
      <c r="N39" s="183"/>
    </row>
    <row r="40" spans="2:15" ht="12">
      <c r="B40" s="90" t="s">
        <v>454</v>
      </c>
      <c r="C40" s="139">
        <v>60</v>
      </c>
      <c r="D40" s="139">
        <v>120</v>
      </c>
      <c r="E40" s="139">
        <v>165</v>
      </c>
      <c r="F40" s="139">
        <v>205</v>
      </c>
      <c r="G40" s="140">
        <v>235</v>
      </c>
      <c r="H40" s="69"/>
      <c r="I40" s="415" t="s">
        <v>323</v>
      </c>
      <c r="J40" s="141" t="s">
        <v>323</v>
      </c>
      <c r="K40" s="142" t="s">
        <v>324</v>
      </c>
      <c r="L40" s="143"/>
      <c r="M40" s="144"/>
    </row>
    <row r="41" spans="2:15" ht="12.6" thickBot="1">
      <c r="B41" s="145" t="s">
        <v>456</v>
      </c>
      <c r="C41" s="146">
        <v>120</v>
      </c>
      <c r="D41" s="146">
        <v>210</v>
      </c>
      <c r="E41" s="146">
        <v>250</v>
      </c>
      <c r="F41" s="146">
        <v>320</v>
      </c>
      <c r="G41" s="147">
        <v>385</v>
      </c>
      <c r="H41" s="69"/>
      <c r="I41" s="416">
        <v>20</v>
      </c>
      <c r="J41" s="166">
        <v>45</v>
      </c>
      <c r="K41" s="148">
        <v>575</v>
      </c>
      <c r="L41" s="149"/>
      <c r="M41" s="144"/>
    </row>
    <row r="42" spans="2:15" ht="12.6" thickBot="1">
      <c r="B42" s="76"/>
      <c r="C42" s="77"/>
      <c r="D42" s="78"/>
      <c r="E42" s="78"/>
      <c r="F42" s="78"/>
      <c r="G42" s="78"/>
      <c r="H42" s="78"/>
      <c r="I42" s="78"/>
      <c r="J42" s="78"/>
      <c r="K42" s="79"/>
      <c r="L42" s="73"/>
      <c r="M42" s="119"/>
      <c r="N42" s="183"/>
      <c r="O42" s="89"/>
    </row>
    <row r="43" spans="2:15" ht="12">
      <c r="B43" s="150" t="s">
        <v>332</v>
      </c>
      <c r="C43" s="151"/>
      <c r="D43" s="122"/>
      <c r="E43" s="123"/>
      <c r="F43" s="78"/>
      <c r="G43" s="78"/>
      <c r="H43" s="78"/>
      <c r="I43" s="78"/>
      <c r="J43" s="78"/>
      <c r="K43" s="79"/>
      <c r="L43" s="73"/>
      <c r="M43" s="119"/>
      <c r="N43" s="183"/>
      <c r="O43" s="89"/>
    </row>
    <row r="44" spans="2:15" ht="12">
      <c r="B44" s="152"/>
      <c r="C44" s="153">
        <v>3343.44</v>
      </c>
      <c r="D44" s="1393" t="s">
        <v>325</v>
      </c>
      <c r="E44" s="1394"/>
      <c r="F44" s="78"/>
      <c r="G44" s="78"/>
      <c r="H44" s="78"/>
      <c r="I44" s="78"/>
      <c r="J44" s="78"/>
      <c r="K44" s="79"/>
      <c r="L44" s="73"/>
      <c r="M44" s="119"/>
      <c r="N44" s="183"/>
      <c r="O44" s="89"/>
    </row>
    <row r="45" spans="2:15" ht="12.6" thickBot="1">
      <c r="B45" s="154"/>
      <c r="C45" s="155">
        <v>334.34</v>
      </c>
      <c r="D45" s="1395" t="s">
        <v>326</v>
      </c>
      <c r="E45" s="1396"/>
      <c r="F45" s="78"/>
      <c r="G45" s="78"/>
      <c r="H45" s="78"/>
      <c r="I45" s="78"/>
      <c r="J45" s="78"/>
      <c r="K45" s="79"/>
      <c r="L45" s="73"/>
      <c r="M45" s="119"/>
      <c r="N45" s="183"/>
      <c r="O45" s="89"/>
    </row>
    <row r="46" spans="2:15" ht="12">
      <c r="B46" s="76"/>
      <c r="C46" s="77"/>
      <c r="D46" s="78"/>
      <c r="E46" s="78"/>
      <c r="F46" s="78"/>
      <c r="G46" s="78"/>
      <c r="H46" s="78"/>
      <c r="I46" s="78"/>
      <c r="J46" s="78"/>
      <c r="K46" s="79"/>
      <c r="L46" s="73"/>
      <c r="M46" s="119"/>
      <c r="N46" s="183"/>
      <c r="O46" s="89"/>
    </row>
    <row r="47" spans="2:15" ht="12">
      <c r="B47" s="76"/>
      <c r="C47" s="77"/>
      <c r="D47" s="78"/>
      <c r="E47" s="78"/>
      <c r="F47" s="78"/>
      <c r="G47" s="78"/>
      <c r="H47" s="78"/>
      <c r="I47" s="78"/>
      <c r="J47" s="78"/>
      <c r="K47" s="79"/>
      <c r="L47" s="73"/>
      <c r="M47" s="119"/>
      <c r="N47" s="183"/>
      <c r="O47" s="89"/>
    </row>
    <row r="48" spans="2:15" ht="12">
      <c r="B48" s="76"/>
      <c r="C48" s="77"/>
      <c r="D48" s="78"/>
      <c r="E48" s="78"/>
      <c r="F48" s="78"/>
      <c r="G48" s="78"/>
      <c r="H48" s="78"/>
      <c r="I48" s="78"/>
      <c r="J48" s="78"/>
      <c r="K48" s="79"/>
      <c r="L48" s="73"/>
      <c r="M48" s="119"/>
      <c r="N48" s="183"/>
      <c r="O48" s="89"/>
    </row>
    <row r="49" spans="2:15" ht="12">
      <c r="B49" s="76"/>
      <c r="C49" s="77"/>
      <c r="D49" s="78"/>
      <c r="E49" s="78"/>
      <c r="F49" s="78"/>
      <c r="G49" s="78"/>
      <c r="H49" s="78"/>
      <c r="I49" s="78"/>
      <c r="J49" s="78"/>
      <c r="K49" s="79"/>
      <c r="L49" s="73"/>
      <c r="M49" s="119"/>
      <c r="N49" s="183"/>
      <c r="O49" s="89"/>
    </row>
    <row r="50" spans="2:15" ht="12">
      <c r="B50" s="76"/>
      <c r="C50" s="77"/>
      <c r="D50" s="78"/>
      <c r="E50" s="78"/>
      <c r="F50" s="78"/>
      <c r="G50" s="78"/>
      <c r="H50" s="78"/>
      <c r="I50" s="78"/>
      <c r="J50" s="78"/>
      <c r="K50" s="79"/>
      <c r="L50" s="73"/>
      <c r="M50" s="119"/>
      <c r="N50" s="183"/>
      <c r="O50" s="89"/>
    </row>
    <row r="51" spans="2:15" ht="12">
      <c r="B51" s="76"/>
      <c r="C51" s="77"/>
      <c r="D51" s="78"/>
      <c r="E51" s="78"/>
      <c r="F51" s="78"/>
      <c r="G51" s="78"/>
      <c r="H51" s="78"/>
      <c r="I51" s="78"/>
      <c r="J51" s="78"/>
      <c r="K51" s="79"/>
      <c r="L51" s="73"/>
      <c r="M51" s="119"/>
      <c r="N51" s="183"/>
      <c r="O51" s="89"/>
    </row>
    <row r="52" spans="2:15" ht="12">
      <c r="B52" s="76"/>
      <c r="C52" s="77"/>
      <c r="D52" s="78"/>
      <c r="E52" s="78"/>
      <c r="F52" s="78"/>
      <c r="G52" s="78"/>
      <c r="H52" s="78"/>
      <c r="I52" s="78"/>
      <c r="J52" s="78"/>
      <c r="K52" s="79"/>
      <c r="L52" s="73"/>
      <c r="M52" s="119"/>
      <c r="N52" s="183"/>
      <c r="O52" s="89"/>
    </row>
    <row r="53" spans="2:15" ht="12">
      <c r="B53" s="76"/>
      <c r="C53" s="77"/>
      <c r="D53" s="78"/>
      <c r="E53" s="78"/>
      <c r="F53" s="78"/>
      <c r="G53" s="78"/>
      <c r="H53" s="78"/>
      <c r="I53" s="78"/>
      <c r="J53" s="78"/>
      <c r="K53" s="79"/>
      <c r="L53" s="73"/>
      <c r="M53" s="119"/>
      <c r="N53" s="183"/>
      <c r="O53" s="89"/>
    </row>
    <row r="54" spans="2:15" ht="12">
      <c r="B54" s="76"/>
      <c r="C54" s="77"/>
      <c r="D54" s="78"/>
      <c r="E54" s="78"/>
      <c r="F54" s="78"/>
      <c r="G54" s="78"/>
      <c r="H54" s="78"/>
      <c r="I54" s="78"/>
      <c r="J54" s="78"/>
      <c r="K54" s="79"/>
      <c r="L54" s="73"/>
      <c r="M54" s="119"/>
      <c r="N54" s="183"/>
      <c r="O54" s="89"/>
    </row>
    <row r="55" spans="2:15" ht="12">
      <c r="B55" s="76"/>
      <c r="C55" s="77"/>
      <c r="D55" s="78"/>
      <c r="E55" s="78"/>
      <c r="F55" s="78"/>
      <c r="G55" s="78"/>
      <c r="H55" s="78"/>
      <c r="I55" s="78"/>
      <c r="J55" s="78"/>
      <c r="K55" s="79"/>
      <c r="L55" s="73"/>
      <c r="M55" s="119"/>
      <c r="N55" s="183"/>
      <c r="O55" s="89"/>
    </row>
    <row r="56" spans="2:15" ht="12">
      <c r="B56" s="76"/>
      <c r="C56" s="77"/>
      <c r="D56" s="78"/>
      <c r="E56" s="78"/>
      <c r="F56" s="78"/>
      <c r="G56" s="78"/>
      <c r="H56" s="78"/>
      <c r="I56" s="78"/>
      <c r="J56" s="78"/>
      <c r="K56" s="79"/>
      <c r="L56" s="73"/>
      <c r="M56" s="119"/>
      <c r="N56" s="183"/>
      <c r="O56" s="89"/>
    </row>
    <row r="57" spans="2:15" ht="12">
      <c r="B57" s="76"/>
      <c r="C57" s="156"/>
      <c r="D57" s="78"/>
      <c r="E57" s="78"/>
      <c r="F57" s="78"/>
      <c r="G57" s="78"/>
      <c r="H57" s="78"/>
      <c r="I57" s="78"/>
      <c r="J57" s="78"/>
      <c r="K57" s="157"/>
      <c r="L57" s="73"/>
      <c r="M57" s="158"/>
      <c r="N57" s="185"/>
      <c r="O57" s="144"/>
    </row>
    <row r="58" spans="2:15" ht="12">
      <c r="B58" s="159"/>
      <c r="C58" s="160"/>
      <c r="D58" s="158"/>
      <c r="E58" s="158"/>
      <c r="F58" s="158"/>
      <c r="G58" s="158"/>
      <c r="H58" s="158"/>
      <c r="I58" s="158"/>
      <c r="J58" s="158"/>
      <c r="K58" s="158"/>
      <c r="L58" s="158"/>
      <c r="M58" s="158"/>
      <c r="N58" s="185"/>
      <c r="O58" s="144"/>
    </row>
    <row r="60" spans="2:15">
      <c r="J60" s="163"/>
    </row>
  </sheetData>
  <mergeCells count="10">
    <mergeCell ref="C37:G37"/>
    <mergeCell ref="I37:K37"/>
    <mergeCell ref="D44:E44"/>
    <mergeCell ref="D45:E45"/>
    <mergeCell ref="C3:K3"/>
    <mergeCell ref="C4:K4"/>
    <mergeCell ref="C6:K6"/>
    <mergeCell ref="B23:M23"/>
    <mergeCell ref="B24:M24"/>
    <mergeCell ref="B27:M27"/>
  </mergeCells>
  <conditionalFormatting sqref="N3:N30 E31 N32:N33 E34:E35 N36 M40:M41 N42:N58">
    <cfRule type="cellIs" dxfId="1" priority="2" operator="lessThan">
      <formula>0</formula>
    </cfRule>
  </conditionalFormatting>
  <conditionalFormatting sqref="O3">
    <cfRule type="cellIs" dxfId="0" priority="1" operator="lessThan">
      <formula>0</formula>
    </cfRule>
  </conditionalFormatting>
  <pageMargins left="0.7" right="0.7" top="0.75" bottom="0.75" header="0.3" footer="0.3"/>
  <pageSetup scale="55" fitToHeight="0" orientation="landscape" r:id="rId1"/>
  <rowBreaks count="1" manualBreakCount="1">
    <brk id="22"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Y231"/>
  <sheetViews>
    <sheetView zoomScaleNormal="100" workbookViewId="0">
      <pane ySplit="4" topLeftCell="A8" activePane="bottomLeft" state="frozen"/>
      <selection pane="bottomLeft" activeCell="J27" sqref="J27"/>
    </sheetView>
  </sheetViews>
  <sheetFormatPr defaultColWidth="9.33203125" defaultRowHeight="10.199999999999999"/>
  <cols>
    <col min="1" max="1" width="13.5546875" style="40" customWidth="1"/>
    <col min="2" max="2" width="23" style="40" customWidth="1"/>
    <col min="3" max="3" width="22.33203125" style="40" customWidth="1"/>
    <col min="4" max="4" width="17.33203125" style="40" customWidth="1"/>
    <col min="5" max="5" width="17.6640625" style="40" customWidth="1"/>
    <col min="6" max="7" width="11.44140625" style="40" customWidth="1"/>
    <col min="8" max="8" width="14.44140625" style="40" customWidth="1"/>
    <col min="9" max="9" width="15.6640625" style="40" customWidth="1"/>
    <col min="10" max="10" width="34" style="40" customWidth="1"/>
    <col min="11" max="11" width="9.33203125" style="40"/>
    <col min="12" max="12" width="14" style="40" customWidth="1"/>
    <col min="13" max="13" width="4.6640625" style="40" customWidth="1"/>
    <col min="14" max="14" width="14.44140625" style="40" customWidth="1"/>
    <col min="15" max="16" width="9.33203125" style="40"/>
    <col min="17" max="17" width="31" style="40" customWidth="1"/>
    <col min="18" max="21" width="9.33203125" style="40"/>
    <col min="22" max="22" width="13.44140625" style="40" customWidth="1"/>
    <col min="23" max="23" width="38.5546875" style="40" customWidth="1"/>
    <col min="24" max="16384" width="9.33203125" style="40"/>
  </cols>
  <sheetData>
    <row r="1" spans="1:25" s="165" customFormat="1" ht="15.6">
      <c r="A1" s="165" t="s">
        <v>355</v>
      </c>
    </row>
    <row r="2" spans="1:25">
      <c r="A2" s="40" t="s">
        <v>134</v>
      </c>
      <c r="G2" s="214">
        <v>0.05</v>
      </c>
      <c r="H2" s="214" t="s">
        <v>134</v>
      </c>
      <c r="I2" s="214" t="s">
        <v>134</v>
      </c>
    </row>
    <row r="3" spans="1:25" s="165" customFormat="1" ht="15.6">
      <c r="A3" s="249" t="s">
        <v>356</v>
      </c>
      <c r="B3" s="249"/>
      <c r="C3" s="249"/>
      <c r="D3" s="249"/>
      <c r="N3" s="250" t="s">
        <v>357</v>
      </c>
      <c r="O3" s="251"/>
      <c r="P3" s="251"/>
      <c r="Q3" s="251"/>
    </row>
    <row r="4" spans="1:25" s="68" customFormat="1" ht="56.7" customHeight="1" thickBot="1">
      <c r="A4" s="263" t="s">
        <v>153</v>
      </c>
      <c r="B4" s="264" t="s">
        <v>154</v>
      </c>
      <c r="C4" s="264" t="s">
        <v>155</v>
      </c>
      <c r="D4" s="263" t="s">
        <v>156</v>
      </c>
      <c r="E4" s="264" t="s">
        <v>370</v>
      </c>
      <c r="F4" s="264" t="s">
        <v>214</v>
      </c>
      <c r="G4" s="264" t="s">
        <v>215</v>
      </c>
      <c r="H4" s="259" t="s">
        <v>371</v>
      </c>
      <c r="I4" s="265" t="s">
        <v>217</v>
      </c>
      <c r="J4" s="261" t="s">
        <v>122</v>
      </c>
      <c r="N4" s="257" t="s">
        <v>153</v>
      </c>
      <c r="O4" s="258" t="s">
        <v>154</v>
      </c>
      <c r="P4" s="258" t="s">
        <v>155</v>
      </c>
      <c r="Q4" s="257" t="s">
        <v>156</v>
      </c>
      <c r="R4" s="258" t="s">
        <v>213</v>
      </c>
      <c r="S4" s="258" t="s">
        <v>214</v>
      </c>
      <c r="T4" s="258" t="s">
        <v>215</v>
      </c>
      <c r="U4" s="259" t="s">
        <v>216</v>
      </c>
      <c r="V4" s="260" t="s">
        <v>217</v>
      </c>
      <c r="W4" s="261" t="s">
        <v>122</v>
      </c>
    </row>
    <row r="5" spans="1:25" s="7" customFormat="1" ht="13.8">
      <c r="A5" s="252"/>
      <c r="B5" s="262">
        <v>50</v>
      </c>
      <c r="C5" s="252" t="s">
        <v>134</v>
      </c>
      <c r="D5" s="252" t="s">
        <v>157</v>
      </c>
      <c r="E5" s="254">
        <v>0</v>
      </c>
      <c r="F5" s="255">
        <v>0</v>
      </c>
      <c r="G5" s="254">
        <f>E5*F5</f>
        <v>0</v>
      </c>
      <c r="H5" s="254">
        <f>G5+E5</f>
        <v>0</v>
      </c>
      <c r="I5" s="256">
        <v>0</v>
      </c>
      <c r="J5" s="252"/>
      <c r="N5" s="252"/>
      <c r="O5" s="253">
        <v>60</v>
      </c>
      <c r="P5" s="252" t="s">
        <v>134</v>
      </c>
      <c r="Q5" s="252" t="s">
        <v>157</v>
      </c>
      <c r="R5" s="254">
        <v>0</v>
      </c>
      <c r="S5" s="255">
        <v>0</v>
      </c>
      <c r="T5" s="254">
        <f>R5*S5</f>
        <v>0</v>
      </c>
      <c r="U5" s="254">
        <f>T5+R5</f>
        <v>0</v>
      </c>
      <c r="V5" s="256">
        <v>0</v>
      </c>
      <c r="W5" s="252" t="s">
        <v>352</v>
      </c>
    </row>
    <row r="6" spans="1:25" s="7" customFormat="1" ht="13.95" customHeight="1">
      <c r="A6" s="222" t="s">
        <v>158</v>
      </c>
      <c r="B6" s="222">
        <v>20</v>
      </c>
      <c r="C6" s="223">
        <v>0</v>
      </c>
      <c r="D6" s="222" t="s">
        <v>372</v>
      </c>
      <c r="E6" s="224">
        <v>9984.4</v>
      </c>
      <c r="F6" s="227">
        <v>0</v>
      </c>
      <c r="G6" s="224">
        <f>E6*F6</f>
        <v>0</v>
      </c>
      <c r="H6" s="224">
        <f>G6+E6</f>
        <v>9984.4</v>
      </c>
      <c r="I6" s="228">
        <f>H6*B6</f>
        <v>199688</v>
      </c>
      <c r="J6" s="351" t="s">
        <v>373</v>
      </c>
      <c r="K6" s="67"/>
      <c r="L6" s="67"/>
      <c r="M6" s="67"/>
      <c r="N6" s="222" t="s">
        <v>158</v>
      </c>
      <c r="O6" s="226">
        <v>16</v>
      </c>
      <c r="P6" s="223" t="s">
        <v>134</v>
      </c>
      <c r="Q6" s="222" t="s">
        <v>159</v>
      </c>
      <c r="R6" s="224">
        <v>9160</v>
      </c>
      <c r="S6" s="227">
        <v>0.09</v>
      </c>
      <c r="T6" s="224">
        <f>R6*S6</f>
        <v>824.4</v>
      </c>
      <c r="U6" s="224">
        <f>T6+R6</f>
        <v>9984.4</v>
      </c>
      <c r="V6" s="228">
        <f>U6*O6</f>
        <v>159750.39999999999</v>
      </c>
      <c r="W6" s="229" t="s">
        <v>350</v>
      </c>
      <c r="X6" s="67"/>
      <c r="Y6" s="67"/>
    </row>
    <row r="7" spans="1:25" s="7" customFormat="1" ht="13.8" hidden="1">
      <c r="A7" s="222" t="s">
        <v>158</v>
      </c>
      <c r="B7" s="222"/>
      <c r="C7" s="223">
        <v>0</v>
      </c>
      <c r="D7" s="222" t="s">
        <v>159</v>
      </c>
      <c r="E7" s="224">
        <v>9984.4</v>
      </c>
      <c r="F7" s="227">
        <v>0.09</v>
      </c>
      <c r="G7" s="224">
        <f>E7*F7</f>
        <v>898.59599999999989</v>
      </c>
      <c r="H7" s="224">
        <f>G7+E7</f>
        <v>10882.995999999999</v>
      </c>
      <c r="I7" s="228">
        <f>H7*C7</f>
        <v>0</v>
      </c>
      <c r="J7" s="352"/>
      <c r="N7" s="222" t="s">
        <v>158</v>
      </c>
      <c r="O7" s="222"/>
      <c r="P7" s="223">
        <v>1</v>
      </c>
      <c r="Q7" s="222" t="s">
        <v>159</v>
      </c>
      <c r="R7" s="224">
        <v>9160</v>
      </c>
      <c r="S7" s="227">
        <v>0.09</v>
      </c>
      <c r="T7" s="224">
        <f>R7*S7</f>
        <v>824.4</v>
      </c>
      <c r="U7" s="224">
        <f>T7+R7</f>
        <v>9984.4</v>
      </c>
      <c r="V7" s="228">
        <f>U7*P7</f>
        <v>9984.4</v>
      </c>
      <c r="W7" s="230"/>
    </row>
    <row r="8" spans="1:25" s="7" customFormat="1" ht="13.8">
      <c r="A8" s="222" t="s">
        <v>160</v>
      </c>
      <c r="B8" s="222">
        <v>8</v>
      </c>
      <c r="C8" s="222">
        <v>0</v>
      </c>
      <c r="D8" s="222" t="s">
        <v>161</v>
      </c>
      <c r="E8" s="231">
        <v>7086.24</v>
      </c>
      <c r="F8" s="227">
        <v>0</v>
      </c>
      <c r="G8" s="7">
        <f>E8*F8</f>
        <v>0</v>
      </c>
      <c r="H8" s="231">
        <f>G9+E8</f>
        <v>7086.24</v>
      </c>
      <c r="I8" s="232">
        <f>H8*B8</f>
        <v>56689.919999999998</v>
      </c>
      <c r="J8" s="351" t="s">
        <v>373</v>
      </c>
      <c r="N8" s="222" t="s">
        <v>348</v>
      </c>
      <c r="O8" s="222">
        <v>7</v>
      </c>
      <c r="P8" s="222" t="s">
        <v>134</v>
      </c>
      <c r="Q8" s="222" t="s">
        <v>161</v>
      </c>
      <c r="R8" s="231">
        <v>6327</v>
      </c>
      <c r="S8" s="227">
        <v>0.12</v>
      </c>
      <c r="T8" s="7">
        <f>R8*S8</f>
        <v>759.24</v>
      </c>
      <c r="U8" s="231">
        <f>T9+R8</f>
        <v>7086.24</v>
      </c>
      <c r="V8" s="232">
        <f>U8*O8</f>
        <v>49603.68</v>
      </c>
      <c r="W8" s="230"/>
    </row>
    <row r="9" spans="1:25" s="7" customFormat="1" ht="13.5" hidden="1" customHeight="1">
      <c r="A9" s="222" t="s">
        <v>160</v>
      </c>
      <c r="B9" s="222"/>
      <c r="C9" s="234">
        <v>0</v>
      </c>
      <c r="D9" s="234" t="s">
        <v>161</v>
      </c>
      <c r="E9" s="235">
        <v>6327</v>
      </c>
      <c r="F9" s="236">
        <v>0.12</v>
      </c>
      <c r="G9" s="235">
        <f>E8*F8</f>
        <v>0</v>
      </c>
      <c r="H9" s="237">
        <f>E9+G9</f>
        <v>6327</v>
      </c>
      <c r="I9" s="238">
        <f>H9*C9</f>
        <v>0</v>
      </c>
      <c r="J9" s="247"/>
      <c r="K9" s="233">
        <f>(I9-4713)/10</f>
        <v>-471.3</v>
      </c>
      <c r="L9" s="31" t="s">
        <v>239</v>
      </c>
      <c r="N9" s="222" t="s">
        <v>348</v>
      </c>
      <c r="O9" s="222"/>
      <c r="P9" s="234">
        <v>1</v>
      </c>
      <c r="Q9" s="234" t="s">
        <v>161</v>
      </c>
      <c r="R9" s="235">
        <v>6327</v>
      </c>
      <c r="S9" s="236">
        <v>0.12</v>
      </c>
      <c r="T9" s="235">
        <f>R8*S8</f>
        <v>759.24</v>
      </c>
      <c r="U9" s="237">
        <f>R9+T9</f>
        <v>7086.24</v>
      </c>
      <c r="V9" s="238">
        <f>U9*P9</f>
        <v>7086.24</v>
      </c>
      <c r="W9" s="230" t="s">
        <v>134</v>
      </c>
      <c r="X9" s="233" t="s">
        <v>134</v>
      </c>
      <c r="Y9" s="31" t="s">
        <v>134</v>
      </c>
    </row>
    <row r="10" spans="1:25" s="7" customFormat="1" ht="13.8">
      <c r="A10" s="222" t="s">
        <v>158</v>
      </c>
      <c r="B10" s="222">
        <v>0</v>
      </c>
      <c r="C10" s="223">
        <v>38</v>
      </c>
      <c r="D10" s="222" t="s">
        <v>162</v>
      </c>
      <c r="E10" s="224">
        <v>9984.4</v>
      </c>
      <c r="F10" s="227">
        <v>0.05</v>
      </c>
      <c r="G10" s="224">
        <f>E10*F10</f>
        <v>499.22</v>
      </c>
      <c r="H10" s="224">
        <f>G10+E10</f>
        <v>10483.619999999999</v>
      </c>
      <c r="I10" s="225">
        <f>H10*C10</f>
        <v>398377.55999999994</v>
      </c>
      <c r="J10" s="222"/>
      <c r="N10" s="222" t="s">
        <v>158</v>
      </c>
      <c r="O10" s="222">
        <v>0</v>
      </c>
      <c r="P10" s="226">
        <v>43</v>
      </c>
      <c r="Q10" s="222" t="s">
        <v>162</v>
      </c>
      <c r="R10" s="224">
        <v>9160</v>
      </c>
      <c r="S10" s="227">
        <v>0.09</v>
      </c>
      <c r="T10" s="224">
        <f>R10*S10</f>
        <v>824.4</v>
      </c>
      <c r="U10" s="224">
        <f>T10+R10</f>
        <v>9984.4</v>
      </c>
      <c r="V10" s="225">
        <f>U10*P10</f>
        <v>429329.2</v>
      </c>
      <c r="W10" s="226" t="s">
        <v>349</v>
      </c>
    </row>
    <row r="11" spans="1:25" s="7" customFormat="1" ht="13.8">
      <c r="A11" s="222" t="s">
        <v>160</v>
      </c>
      <c r="B11" s="222">
        <v>0</v>
      </c>
      <c r="C11" s="222">
        <v>12</v>
      </c>
      <c r="D11" s="222" t="s">
        <v>163</v>
      </c>
      <c r="E11" s="231">
        <v>7086.24</v>
      </c>
      <c r="F11" s="227">
        <v>3.5000000000000003E-2</v>
      </c>
      <c r="G11" s="231">
        <f>E11*F11</f>
        <v>248.01840000000001</v>
      </c>
      <c r="H11" s="231">
        <f>G11+E11</f>
        <v>7334.2583999999997</v>
      </c>
      <c r="I11" s="232">
        <f>H11*C11</f>
        <v>88011.1008</v>
      </c>
      <c r="J11" s="222"/>
      <c r="N11" s="222" t="s">
        <v>160</v>
      </c>
      <c r="O11" s="222">
        <v>0</v>
      </c>
      <c r="P11" s="222">
        <v>12</v>
      </c>
      <c r="Q11" s="222" t="s">
        <v>163</v>
      </c>
      <c r="R11" s="231">
        <v>6327</v>
      </c>
      <c r="S11" s="227">
        <v>0.12</v>
      </c>
      <c r="T11" s="231">
        <f>R11*S11</f>
        <v>759.24</v>
      </c>
      <c r="U11" s="231">
        <f>T11+R11</f>
        <v>7086.24</v>
      </c>
      <c r="V11" s="232">
        <f>U11*P11</f>
        <v>85034.880000000005</v>
      </c>
      <c r="W11" s="222"/>
    </row>
    <row r="12" spans="1:25" s="7" customFormat="1" ht="14.4" thickBot="1">
      <c r="A12" s="239" t="s">
        <v>134</v>
      </c>
      <c r="B12" s="240">
        <f>SUM(B5:B11)</f>
        <v>78</v>
      </c>
      <c r="C12" s="240">
        <f>SUM(C5:C11)</f>
        <v>50</v>
      </c>
      <c r="D12" s="240"/>
      <c r="E12" s="241"/>
      <c r="F12" s="242" t="s">
        <v>134</v>
      </c>
      <c r="G12" s="241" t="s">
        <v>134</v>
      </c>
      <c r="H12" s="241" t="s">
        <v>134</v>
      </c>
      <c r="I12" s="248">
        <f>SUM(I5:I11)</f>
        <v>742766.5808</v>
      </c>
      <c r="J12" s="244" t="s">
        <v>134</v>
      </c>
      <c r="N12" s="239" t="s">
        <v>134</v>
      </c>
      <c r="O12" s="240">
        <f>SUM(O5:O11)</f>
        <v>83</v>
      </c>
      <c r="P12" s="240">
        <f>SUM(P5:P11)</f>
        <v>57</v>
      </c>
      <c r="Q12" s="240"/>
      <c r="R12" s="241"/>
      <c r="S12" s="242" t="s">
        <v>134</v>
      </c>
      <c r="T12" s="241" t="s">
        <v>134</v>
      </c>
      <c r="U12" s="241" t="s">
        <v>134</v>
      </c>
      <c r="V12" s="243">
        <f>SUM(V5:V11)</f>
        <v>740788.79999999993</v>
      </c>
      <c r="W12" s="244" t="s">
        <v>134</v>
      </c>
    </row>
    <row r="13" spans="1:25" s="7" customFormat="1" ht="13.8">
      <c r="A13" s="39" t="s">
        <v>164</v>
      </c>
      <c r="B13" s="39">
        <f>B12+C12</f>
        <v>128</v>
      </c>
      <c r="G13" s="7" t="s">
        <v>218</v>
      </c>
      <c r="H13" s="220">
        <v>4.2599999999999999E-2</v>
      </c>
      <c r="I13" s="221">
        <f>I12*H13</f>
        <v>31641.856342079998</v>
      </c>
      <c r="N13" s="39" t="s">
        <v>164</v>
      </c>
      <c r="O13" s="39">
        <f>O12+P12</f>
        <v>140</v>
      </c>
      <c r="T13" s="7" t="s">
        <v>218</v>
      </c>
      <c r="U13" s="220">
        <v>4.2599999999999999E-2</v>
      </c>
      <c r="V13" s="221">
        <f>V12*U13</f>
        <v>31557.602879999995</v>
      </c>
      <c r="W13" s="39" t="s">
        <v>351</v>
      </c>
    </row>
    <row r="14" spans="1:25" s="7" customFormat="1" ht="13.8">
      <c r="A14" s="39"/>
      <c r="B14" s="39"/>
      <c r="I14" s="245">
        <f>I12-I13</f>
        <v>711124.72445791995</v>
      </c>
      <c r="N14" s="39"/>
      <c r="O14" s="39"/>
      <c r="V14" s="245">
        <f>V12-V13</f>
        <v>709231.19711999991</v>
      </c>
      <c r="W14" s="7" t="s">
        <v>134</v>
      </c>
    </row>
    <row r="15" spans="1:25" s="7" customFormat="1" ht="10.5" customHeight="1">
      <c r="W15" s="7" t="s">
        <v>134</v>
      </c>
    </row>
    <row r="16" spans="1:25" ht="14.4" thickBot="1">
      <c r="H16" s="7"/>
      <c r="I16" s="7"/>
    </row>
    <row r="17" spans="2:4">
      <c r="B17" s="366" t="s">
        <v>374</v>
      </c>
      <c r="C17" s="200"/>
      <c r="D17" s="407"/>
    </row>
    <row r="18" spans="2:4">
      <c r="B18" s="367" t="s">
        <v>375</v>
      </c>
      <c r="C18" s="368">
        <f>I8+I11</f>
        <v>144701.0208</v>
      </c>
    </row>
    <row r="19" spans="2:4">
      <c r="B19" s="51" t="s">
        <v>74</v>
      </c>
      <c r="C19" s="201">
        <v>57500</v>
      </c>
      <c r="D19" s="353" t="s">
        <v>410</v>
      </c>
    </row>
    <row r="20" spans="2:4">
      <c r="B20" s="51" t="s">
        <v>377</v>
      </c>
      <c r="C20" s="201">
        <v>17250</v>
      </c>
    </row>
    <row r="21" spans="2:4">
      <c r="B21" s="367" t="s">
        <v>379</v>
      </c>
      <c r="C21" s="368">
        <f>C19+C20</f>
        <v>74750</v>
      </c>
      <c r="D21" s="353"/>
    </row>
    <row r="22" spans="2:4">
      <c r="B22" s="367" t="s">
        <v>378</v>
      </c>
      <c r="C22" s="404">
        <f>C18-C21</f>
        <v>69951.020799999998</v>
      </c>
      <c r="D22" s="353" t="s">
        <v>402</v>
      </c>
    </row>
    <row r="23" spans="2:4">
      <c r="B23" s="51"/>
      <c r="C23" s="56"/>
    </row>
    <row r="24" spans="2:4">
      <c r="B24" s="377" t="s">
        <v>376</v>
      </c>
      <c r="C24" s="378"/>
    </row>
    <row r="25" spans="2:4">
      <c r="B25" s="367" t="s">
        <v>375</v>
      </c>
      <c r="C25" s="368">
        <f>I6+I10</f>
        <v>598065.55999999994</v>
      </c>
    </row>
    <row r="26" spans="2:4">
      <c r="B26" s="51" t="s">
        <v>74</v>
      </c>
      <c r="C26" s="201">
        <v>431650</v>
      </c>
      <c r="D26" s="353" t="s">
        <v>403</v>
      </c>
    </row>
    <row r="27" spans="2:4">
      <c r="B27" s="51" t="s">
        <v>377</v>
      </c>
      <c r="C27" s="201">
        <v>129490</v>
      </c>
    </row>
    <row r="28" spans="2:4">
      <c r="B28" s="367" t="s">
        <v>379</v>
      </c>
      <c r="C28" s="368">
        <f>SUM(C26:C27)</f>
        <v>561140</v>
      </c>
    </row>
    <row r="29" spans="2:4">
      <c r="B29" s="367" t="s">
        <v>378</v>
      </c>
      <c r="C29" s="405">
        <f>C25-C28</f>
        <v>36925.559999999939</v>
      </c>
    </row>
    <row r="30" spans="2:4">
      <c r="B30" s="51"/>
      <c r="C30" s="56"/>
    </row>
    <row r="31" spans="2:4">
      <c r="B31" s="377" t="s">
        <v>380</v>
      </c>
      <c r="C31" s="378"/>
    </row>
    <row r="32" spans="2:4">
      <c r="B32" s="51" t="s">
        <v>381</v>
      </c>
      <c r="C32" s="201">
        <v>29900</v>
      </c>
      <c r="D32" s="353" t="s">
        <v>384</v>
      </c>
    </row>
    <row r="33" spans="2:4">
      <c r="B33" s="51" t="s">
        <v>382</v>
      </c>
      <c r="C33" s="201"/>
      <c r="D33" s="353" t="s">
        <v>197</v>
      </c>
    </row>
    <row r="34" spans="2:4">
      <c r="B34" s="51" t="s">
        <v>383</v>
      </c>
      <c r="C34" s="201">
        <v>32640</v>
      </c>
    </row>
    <row r="35" spans="2:4">
      <c r="B35" s="51" t="s">
        <v>377</v>
      </c>
      <c r="C35" s="201">
        <v>18800</v>
      </c>
    </row>
    <row r="36" spans="2:4">
      <c r="B36" s="367" t="s">
        <v>379</v>
      </c>
      <c r="C36" s="368">
        <f>SUM(C32:C35)</f>
        <v>81340</v>
      </c>
    </row>
    <row r="37" spans="2:4" ht="10.8" thickBot="1">
      <c r="B37" s="379" t="s">
        <v>385</v>
      </c>
      <c r="C37" s="406">
        <f>C29-C36</f>
        <v>-44414.440000000061</v>
      </c>
      <c r="D37" s="353" t="s">
        <v>386</v>
      </c>
    </row>
    <row r="39" spans="2:4" ht="10.8" thickBot="1"/>
    <row r="40" spans="2:4" ht="10.8" thickBot="1">
      <c r="B40" s="383" t="s">
        <v>186</v>
      </c>
      <c r="C40" s="384">
        <v>9078</v>
      </c>
    </row>
    <row r="41" spans="2:4">
      <c r="B41" s="403" t="s">
        <v>411</v>
      </c>
      <c r="C41" s="200">
        <v>135</v>
      </c>
    </row>
    <row r="42" spans="2:4">
      <c r="B42" s="367" t="s">
        <v>375</v>
      </c>
      <c r="C42" s="368">
        <f>C41*C40</f>
        <v>1225530</v>
      </c>
    </row>
    <row r="43" spans="2:4">
      <c r="B43" s="51" t="s">
        <v>74</v>
      </c>
      <c r="C43" s="201">
        <v>426800</v>
      </c>
    </row>
    <row r="44" spans="2:4">
      <c r="B44" s="51" t="s">
        <v>377</v>
      </c>
      <c r="C44" s="201">
        <v>101690</v>
      </c>
    </row>
    <row r="45" spans="2:4">
      <c r="B45" s="369" t="s">
        <v>379</v>
      </c>
      <c r="C45" s="370">
        <f>SUM(C43:C44)</f>
        <v>528490</v>
      </c>
    </row>
    <row r="46" spans="2:4" ht="10.8" thickBot="1">
      <c r="B46" s="371" t="s">
        <v>378</v>
      </c>
      <c r="C46" s="372">
        <f>C42-C45</f>
        <v>697040</v>
      </c>
    </row>
    <row r="47" spans="2:4" ht="10.8" thickBot="1"/>
    <row r="48" spans="2:4">
      <c r="B48" s="403" t="s">
        <v>407</v>
      </c>
      <c r="C48" s="200">
        <v>70</v>
      </c>
    </row>
    <row r="49" spans="2:3">
      <c r="B49" s="367" t="s">
        <v>375</v>
      </c>
      <c r="C49" s="368">
        <f>C40*C48</f>
        <v>635460</v>
      </c>
    </row>
    <row r="50" spans="2:3">
      <c r="B50" s="51" t="s">
        <v>74</v>
      </c>
      <c r="C50" s="201">
        <v>245090</v>
      </c>
    </row>
    <row r="51" spans="2:3">
      <c r="B51" s="51" t="s">
        <v>377</v>
      </c>
      <c r="C51" s="201">
        <v>73527</v>
      </c>
    </row>
    <row r="52" spans="2:3">
      <c r="B52" s="369" t="s">
        <v>379</v>
      </c>
      <c r="C52" s="370">
        <f>SUM(C50:C51)</f>
        <v>318617</v>
      </c>
    </row>
    <row r="53" spans="2:3" ht="10.8" thickBot="1">
      <c r="B53" s="371" t="s">
        <v>378</v>
      </c>
      <c r="C53" s="372">
        <f>C49-C52</f>
        <v>316843</v>
      </c>
    </row>
    <row r="54" spans="2:3" ht="10.8" thickBot="1"/>
    <row r="55" spans="2:3">
      <c r="B55" s="403" t="s">
        <v>412</v>
      </c>
      <c r="C55" s="200">
        <v>65</v>
      </c>
    </row>
    <row r="56" spans="2:3">
      <c r="B56" s="367" t="s">
        <v>375</v>
      </c>
      <c r="C56" s="368">
        <f>C40*C55</f>
        <v>590070</v>
      </c>
    </row>
    <row r="57" spans="2:3">
      <c r="B57" s="51" t="s">
        <v>74</v>
      </c>
      <c r="C57" s="201">
        <v>135750</v>
      </c>
    </row>
    <row r="58" spans="2:3">
      <c r="B58" s="51" t="s">
        <v>377</v>
      </c>
      <c r="C58" s="201">
        <v>40725</v>
      </c>
    </row>
    <row r="59" spans="2:3">
      <c r="B59" s="369" t="s">
        <v>379</v>
      </c>
      <c r="C59" s="370">
        <f>SUM(C57:C58)</f>
        <v>176475</v>
      </c>
    </row>
    <row r="60" spans="2:3" ht="10.8" thickBot="1">
      <c r="B60" s="371" t="s">
        <v>378</v>
      </c>
      <c r="C60" s="372">
        <f>C56-C59</f>
        <v>413595</v>
      </c>
    </row>
    <row r="61" spans="2:3" ht="10.8" thickBot="1">
      <c r="B61" s="364"/>
      <c r="C61" s="365"/>
    </row>
    <row r="62" spans="2:3">
      <c r="B62" s="403" t="s">
        <v>391</v>
      </c>
      <c r="C62" s="200"/>
    </row>
    <row r="63" spans="2:3">
      <c r="B63" s="51" t="s">
        <v>74</v>
      </c>
      <c r="C63" s="201">
        <v>205944</v>
      </c>
    </row>
    <row r="64" spans="2:3">
      <c r="B64" s="51" t="s">
        <v>377</v>
      </c>
      <c r="C64" s="201">
        <v>61738</v>
      </c>
    </row>
    <row r="65" spans="2:3" ht="10.8" thickBot="1">
      <c r="B65" s="373" t="s">
        <v>379</v>
      </c>
      <c r="C65" s="374">
        <f>SUM(C63:C64)</f>
        <v>267682</v>
      </c>
    </row>
    <row r="66" spans="2:3" ht="10.8" thickBot="1">
      <c r="B66" s="364"/>
      <c r="C66" s="365"/>
    </row>
    <row r="67" spans="2:3">
      <c r="B67" s="403" t="s">
        <v>389</v>
      </c>
      <c r="C67" s="200"/>
    </row>
    <row r="68" spans="2:3">
      <c r="B68" s="51" t="s">
        <v>74</v>
      </c>
      <c r="C68" s="201">
        <v>281648</v>
      </c>
    </row>
    <row r="69" spans="2:3">
      <c r="B69" s="51" t="s">
        <v>377</v>
      </c>
      <c r="C69" s="201">
        <v>84495</v>
      </c>
    </row>
    <row r="70" spans="2:3" ht="10.8" thickBot="1">
      <c r="B70" s="373" t="s">
        <v>379</v>
      </c>
      <c r="C70" s="374">
        <f>SUM(C68:C69)</f>
        <v>366143</v>
      </c>
    </row>
    <row r="71" spans="2:3" ht="10.8" thickBot="1">
      <c r="B71" s="364"/>
      <c r="C71" s="365"/>
    </row>
    <row r="72" spans="2:3">
      <c r="B72" s="403" t="s">
        <v>390</v>
      </c>
      <c r="C72" s="200"/>
    </row>
    <row r="73" spans="2:3">
      <c r="B73" s="51" t="s">
        <v>74</v>
      </c>
      <c r="C73" s="375">
        <v>177206</v>
      </c>
    </row>
    <row r="74" spans="2:3">
      <c r="B74" s="51" t="s">
        <v>377</v>
      </c>
      <c r="C74" s="375">
        <v>53162</v>
      </c>
    </row>
    <row r="75" spans="2:3" ht="10.8" thickBot="1">
      <c r="B75" s="373" t="s">
        <v>379</v>
      </c>
      <c r="C75" s="374">
        <f>SUM(C73:C74)</f>
        <v>230368</v>
      </c>
    </row>
    <row r="76" spans="2:3" ht="10.8" thickBot="1">
      <c r="B76" s="364"/>
      <c r="C76" s="365"/>
    </row>
    <row r="77" spans="2:3">
      <c r="B77" s="403" t="s">
        <v>392</v>
      </c>
      <c r="C77" s="200"/>
    </row>
    <row r="78" spans="2:3">
      <c r="B78" s="51" t="s">
        <v>74</v>
      </c>
      <c r="C78" s="201">
        <v>188366</v>
      </c>
    </row>
    <row r="79" spans="2:3">
      <c r="B79" s="51" t="s">
        <v>377</v>
      </c>
      <c r="C79" s="201">
        <v>56510</v>
      </c>
    </row>
    <row r="80" spans="2:3" ht="10.8" thickBot="1">
      <c r="B80" s="373" t="s">
        <v>379</v>
      </c>
      <c r="C80" s="374">
        <f>SUM(C78:C79)</f>
        <v>244876</v>
      </c>
    </row>
    <row r="81" spans="2:3" ht="10.8" thickBot="1">
      <c r="B81" s="364"/>
      <c r="C81" s="365"/>
    </row>
    <row r="82" spans="2:3">
      <c r="B82" s="403" t="s">
        <v>393</v>
      </c>
      <c r="C82" s="200"/>
    </row>
    <row r="83" spans="2:3">
      <c r="B83" s="51" t="s">
        <v>74</v>
      </c>
      <c r="C83" s="201">
        <v>314352</v>
      </c>
    </row>
    <row r="84" spans="2:3">
      <c r="B84" s="51" t="s">
        <v>377</v>
      </c>
      <c r="C84" s="201">
        <v>94306</v>
      </c>
    </row>
    <row r="85" spans="2:3" ht="10.8" thickBot="1">
      <c r="B85" s="373" t="s">
        <v>379</v>
      </c>
      <c r="C85" s="374">
        <f>SUM(C83:C84)</f>
        <v>408658</v>
      </c>
    </row>
    <row r="86" spans="2:3">
      <c r="B86" s="364"/>
      <c r="C86" s="365"/>
    </row>
    <row r="87" spans="2:3">
      <c r="B87" s="364"/>
      <c r="C87" s="365"/>
    </row>
    <row r="88" spans="2:3">
      <c r="B88" s="364"/>
      <c r="C88" s="365"/>
    </row>
    <row r="89" spans="2:3">
      <c r="B89" s="364"/>
      <c r="C89" s="365"/>
    </row>
    <row r="90" spans="2:3">
      <c r="B90" s="364"/>
      <c r="C90" s="365"/>
    </row>
    <row r="91" spans="2:3">
      <c r="B91" s="364"/>
      <c r="C91" s="365"/>
    </row>
    <row r="92" spans="2:3">
      <c r="B92" s="364"/>
      <c r="C92" s="365"/>
    </row>
    <row r="93" spans="2:3">
      <c r="B93" s="364"/>
      <c r="C93" s="365"/>
    </row>
    <row r="94" spans="2:3">
      <c r="B94" s="364"/>
      <c r="C94" s="365"/>
    </row>
    <row r="95" spans="2:3" ht="15.6">
      <c r="B95" s="249"/>
      <c r="C95" s="249"/>
    </row>
    <row r="96" spans="2:3" ht="14.4" thickBot="1">
      <c r="B96" s="264" t="s">
        <v>154</v>
      </c>
      <c r="C96" s="264" t="s">
        <v>155</v>
      </c>
    </row>
    <row r="97" spans="1:9" ht="13.8">
      <c r="B97" s="262"/>
      <c r="C97" s="252" t="s">
        <v>134</v>
      </c>
    </row>
    <row r="98" spans="1:9" ht="13.8">
      <c r="B98" s="222">
        <v>32</v>
      </c>
      <c r="C98" s="223">
        <v>0</v>
      </c>
    </row>
    <row r="99" spans="1:9" ht="13.8">
      <c r="B99" s="222"/>
      <c r="C99" s="223">
        <v>0</v>
      </c>
    </row>
    <row r="100" spans="1:9" ht="13.8">
      <c r="B100" s="222">
        <v>0</v>
      </c>
      <c r="C100" s="222">
        <v>0</v>
      </c>
    </row>
    <row r="101" spans="1:9" ht="13.8">
      <c r="B101" s="222"/>
      <c r="C101" s="234">
        <v>0</v>
      </c>
    </row>
    <row r="102" spans="1:9" ht="15.6">
      <c r="A102" s="249" t="s">
        <v>387</v>
      </c>
      <c r="B102" s="222">
        <v>0</v>
      </c>
      <c r="C102" s="223">
        <v>48</v>
      </c>
      <c r="D102" s="249"/>
      <c r="E102" s="165"/>
      <c r="F102" s="165"/>
      <c r="G102" s="165"/>
      <c r="H102" s="165"/>
      <c r="I102" s="165"/>
    </row>
    <row r="103" spans="1:9" ht="54.45" customHeight="1" thickBot="1">
      <c r="A103" s="263" t="s">
        <v>153</v>
      </c>
      <c r="B103" s="222">
        <v>0</v>
      </c>
      <c r="C103" s="222">
        <v>0</v>
      </c>
      <c r="D103" s="263" t="s">
        <v>156</v>
      </c>
      <c r="E103" s="264" t="s">
        <v>370</v>
      </c>
      <c r="F103" s="264" t="s">
        <v>214</v>
      </c>
      <c r="G103" s="264" t="s">
        <v>215</v>
      </c>
      <c r="H103" s="259" t="s">
        <v>371</v>
      </c>
      <c r="I103" s="363" t="s">
        <v>217</v>
      </c>
    </row>
    <row r="104" spans="1:9" ht="14.4" thickBot="1">
      <c r="A104" s="252"/>
      <c r="B104" s="240">
        <f>SUM(B97:B103)</f>
        <v>32</v>
      </c>
      <c r="C104" s="240">
        <f>SUM(C97:C103)</f>
        <v>48</v>
      </c>
      <c r="D104" s="252" t="s">
        <v>157</v>
      </c>
      <c r="E104" s="254">
        <v>0</v>
      </c>
      <c r="F104" s="255">
        <v>0</v>
      </c>
      <c r="G104" s="254">
        <f>E104*F104</f>
        <v>0</v>
      </c>
      <c r="H104" s="254">
        <f>G104+E104</f>
        <v>0</v>
      </c>
      <c r="I104" s="256">
        <v>0</v>
      </c>
    </row>
    <row r="105" spans="1:9" ht="13.8">
      <c r="A105" s="222" t="s">
        <v>158</v>
      </c>
      <c r="B105" s="39">
        <f>B104+C104</f>
        <v>80</v>
      </c>
      <c r="C105" s="7"/>
      <c r="D105" s="222" t="s">
        <v>372</v>
      </c>
      <c r="E105" s="224">
        <v>9984.4</v>
      </c>
      <c r="F105" s="227">
        <v>0</v>
      </c>
      <c r="G105" s="224">
        <f>E105*F105</f>
        <v>0</v>
      </c>
      <c r="H105" s="224">
        <f>G105+E105</f>
        <v>9984.4</v>
      </c>
      <c r="I105" s="228">
        <f>H105*B98</f>
        <v>319500.79999999999</v>
      </c>
    </row>
    <row r="106" spans="1:9" ht="13.8" hidden="1">
      <c r="A106" s="222" t="s">
        <v>158</v>
      </c>
      <c r="B106" s="39"/>
      <c r="C106" s="7"/>
      <c r="D106" s="222" t="s">
        <v>159</v>
      </c>
      <c r="E106" s="224">
        <v>9984.4</v>
      </c>
      <c r="F106" s="227">
        <v>0.09</v>
      </c>
      <c r="G106" s="224">
        <f>E106*F106</f>
        <v>898.59599999999989</v>
      </c>
      <c r="H106" s="224">
        <f>G106+E106</f>
        <v>10882.995999999999</v>
      </c>
      <c r="I106" s="228">
        <f>H106*C99</f>
        <v>0</v>
      </c>
    </row>
    <row r="107" spans="1:9" ht="13.8">
      <c r="A107" s="222" t="s">
        <v>160</v>
      </c>
      <c r="B107" s="7"/>
      <c r="C107" s="7"/>
      <c r="D107" s="222" t="s">
        <v>161</v>
      </c>
      <c r="E107" s="231">
        <v>7086.24</v>
      </c>
      <c r="F107" s="227">
        <v>0</v>
      </c>
      <c r="G107" s="7">
        <f>E107*F107</f>
        <v>0</v>
      </c>
      <c r="H107" s="231">
        <f>G108+E107</f>
        <v>7086.24</v>
      </c>
      <c r="I107" s="232">
        <f>H107*B100</f>
        <v>0</v>
      </c>
    </row>
    <row r="108" spans="1:9" ht="14.4" hidden="1" thickBot="1">
      <c r="A108" s="222" t="s">
        <v>160</v>
      </c>
      <c r="B108" s="402" t="s">
        <v>404</v>
      </c>
      <c r="C108" s="399">
        <f>B98+C102</f>
        <v>80</v>
      </c>
      <c r="D108" s="234" t="s">
        <v>161</v>
      </c>
      <c r="E108" s="235">
        <v>6327</v>
      </c>
      <c r="F108" s="236">
        <v>0.12</v>
      </c>
      <c r="G108" s="235">
        <f>E107*F107</f>
        <v>0</v>
      </c>
      <c r="H108" s="237">
        <f>E108+G108</f>
        <v>6327</v>
      </c>
      <c r="I108" s="238">
        <f>H108*C101</f>
        <v>0</v>
      </c>
    </row>
    <row r="109" spans="1:9" ht="13.8">
      <c r="A109" s="222" t="s">
        <v>158</v>
      </c>
      <c r="B109" s="56"/>
      <c r="C109" s="381"/>
      <c r="D109" s="222" t="s">
        <v>162</v>
      </c>
      <c r="E109" s="224">
        <v>9984.4</v>
      </c>
      <c r="F109" s="227">
        <v>0.05</v>
      </c>
      <c r="G109" s="224">
        <f>E109*F109</f>
        <v>499.22</v>
      </c>
      <c r="H109" s="224">
        <f>G109+E109</f>
        <v>10483.619999999999</v>
      </c>
      <c r="I109" s="225">
        <f>H109*C102</f>
        <v>503213.75999999995</v>
      </c>
    </row>
    <row r="110" spans="1:9" ht="13.8">
      <c r="A110" s="222" t="s">
        <v>160</v>
      </c>
      <c r="B110" s="56"/>
      <c r="D110" s="222" t="s">
        <v>163</v>
      </c>
      <c r="E110" s="231">
        <v>7086.24</v>
      </c>
      <c r="F110" s="227">
        <v>3.5000000000000003E-2</v>
      </c>
      <c r="G110" s="231">
        <f>E110*F110</f>
        <v>248.01840000000001</v>
      </c>
      <c r="H110" s="231">
        <f>G110+E110</f>
        <v>7334.2583999999997</v>
      </c>
      <c r="I110" s="232">
        <f>H110*C103</f>
        <v>0</v>
      </c>
    </row>
    <row r="111" spans="1:9" ht="14.4" thickBot="1">
      <c r="A111" s="239" t="s">
        <v>134</v>
      </c>
      <c r="B111" s="56"/>
      <c r="D111" s="240"/>
      <c r="E111" s="241"/>
      <c r="F111" s="242" t="s">
        <v>134</v>
      </c>
      <c r="G111" s="241" t="s">
        <v>134</v>
      </c>
      <c r="H111" s="241" t="s">
        <v>134</v>
      </c>
      <c r="I111" s="248">
        <f>SUM(I104:I110)</f>
        <v>822714.55999999994</v>
      </c>
    </row>
    <row r="112" spans="1:9" ht="13.8">
      <c r="A112" s="39" t="s">
        <v>164</v>
      </c>
      <c r="B112" s="56"/>
      <c r="D112" s="7"/>
      <c r="E112" s="7"/>
      <c r="F112" s="7"/>
      <c r="G112" s="7" t="s">
        <v>218</v>
      </c>
      <c r="H112" s="220">
        <v>4.2599999999999999E-2</v>
      </c>
      <c r="I112" s="221">
        <f>I111*H112</f>
        <v>35047.640255999999</v>
      </c>
    </row>
    <row r="113" spans="1:9" ht="13.8">
      <c r="A113" s="39"/>
      <c r="B113" s="56"/>
      <c r="D113" s="7"/>
      <c r="E113" s="7"/>
      <c r="F113" s="7"/>
      <c r="G113" s="7"/>
      <c r="H113" s="7"/>
      <c r="I113" s="245">
        <f>I111-I112</f>
        <v>787666.91974399996</v>
      </c>
    </row>
    <row r="114" spans="1:9" ht="14.4" thickBot="1">
      <c r="A114" s="7"/>
      <c r="B114" s="56"/>
      <c r="D114" s="7"/>
      <c r="E114" s="7"/>
      <c r="F114" s="7"/>
      <c r="G114" s="7"/>
      <c r="H114" s="7"/>
      <c r="I114" s="7"/>
    </row>
    <row r="115" spans="1:9" ht="13.8">
      <c r="E115" s="386" t="s">
        <v>400</v>
      </c>
      <c r="F115" s="385">
        <f>C117</f>
        <v>787666.91974399996</v>
      </c>
      <c r="H115" s="7"/>
      <c r="I115" s="7"/>
    </row>
    <row r="116" spans="1:9" hidden="1">
      <c r="B116" s="366" t="s">
        <v>376</v>
      </c>
      <c r="C116" s="200"/>
      <c r="D116" s="199"/>
      <c r="E116" s="386"/>
      <c r="F116" s="56"/>
      <c r="H116" s="355" t="s">
        <v>374</v>
      </c>
      <c r="I116" s="356"/>
    </row>
    <row r="117" spans="1:9" hidden="1">
      <c r="B117" s="367" t="s">
        <v>375</v>
      </c>
      <c r="C117" s="368">
        <f>I113</f>
        <v>787666.91974399996</v>
      </c>
      <c r="E117" s="387"/>
      <c r="F117" s="56"/>
      <c r="H117" s="357" t="s">
        <v>375</v>
      </c>
      <c r="I117" s="358">
        <f>I107+I110</f>
        <v>0</v>
      </c>
    </row>
    <row r="118" spans="1:9" hidden="1">
      <c r="B118" s="51" t="s">
        <v>74</v>
      </c>
      <c r="C118" s="201">
        <v>362330</v>
      </c>
      <c r="E118" s="387"/>
      <c r="F118" s="56"/>
      <c r="H118" s="359" t="s">
        <v>74</v>
      </c>
      <c r="I118" s="360">
        <v>57500</v>
      </c>
    </row>
    <row r="119" spans="1:9" hidden="1">
      <c r="B119" s="51" t="s">
        <v>377</v>
      </c>
      <c r="C119" s="201">
        <v>108700</v>
      </c>
      <c r="E119" s="388"/>
      <c r="F119" s="56"/>
      <c r="H119" s="359" t="s">
        <v>377</v>
      </c>
      <c r="I119" s="360">
        <v>17250</v>
      </c>
    </row>
    <row r="120" spans="1:9" hidden="1">
      <c r="B120" s="369" t="s">
        <v>379</v>
      </c>
      <c r="C120" s="370">
        <f>SUM(C118:C119)</f>
        <v>471030</v>
      </c>
      <c r="E120" s="388"/>
      <c r="F120" s="56"/>
      <c r="H120" s="357" t="s">
        <v>379</v>
      </c>
      <c r="I120" s="358">
        <f>I118+I119</f>
        <v>74750</v>
      </c>
    </row>
    <row r="121" spans="1:9" hidden="1">
      <c r="B121" s="367" t="s">
        <v>378</v>
      </c>
      <c r="C121" s="376">
        <f>C117-C120</f>
        <v>316636.91974399996</v>
      </c>
      <c r="E121" s="388"/>
      <c r="F121" s="56"/>
      <c r="H121" s="357" t="s">
        <v>378</v>
      </c>
      <c r="I121" s="361">
        <f>I117-I120</f>
        <v>-74750</v>
      </c>
    </row>
    <row r="122" spans="1:9" hidden="1">
      <c r="B122" s="51"/>
      <c r="C122" s="56"/>
      <c r="E122" s="387"/>
      <c r="F122" s="56"/>
      <c r="H122" s="359"/>
      <c r="I122" s="362"/>
    </row>
    <row r="123" spans="1:9" ht="10.8" thickBot="1">
      <c r="B123" s="377" t="s">
        <v>380</v>
      </c>
      <c r="C123" s="378"/>
      <c r="E123" s="388" t="s">
        <v>401</v>
      </c>
      <c r="F123" s="201">
        <f>C133+C141+C149+C157</f>
        <v>3249855</v>
      </c>
    </row>
    <row r="124" spans="1:9" ht="10.8" thickBot="1">
      <c r="B124" s="51" t="s">
        <v>381</v>
      </c>
      <c r="C124" s="201">
        <v>29900</v>
      </c>
      <c r="E124" s="396" t="s">
        <v>396</v>
      </c>
      <c r="F124" s="397">
        <f>F115+F123</f>
        <v>4037521.9197439998</v>
      </c>
    </row>
    <row r="125" spans="1:9" ht="10.8" thickBot="1">
      <c r="B125" s="51" t="s">
        <v>382</v>
      </c>
      <c r="C125" s="201"/>
      <c r="D125" s="353"/>
      <c r="E125" s="398" t="s">
        <v>71</v>
      </c>
      <c r="F125" s="354">
        <f>C120+C128+C136+C144+C152+C160+C167+C173+C179+C185+C191+C197+C201</f>
        <v>3482741</v>
      </c>
    </row>
    <row r="126" spans="1:9" ht="10.8" thickBot="1">
      <c r="B126" s="51" t="s">
        <v>388</v>
      </c>
      <c r="C126" s="201">
        <v>16320</v>
      </c>
      <c r="E126" s="395" t="s">
        <v>378</v>
      </c>
      <c r="F126" s="372">
        <f>F124-F125</f>
        <v>554780.91974399984</v>
      </c>
    </row>
    <row r="127" spans="1:9" ht="10.8" thickBot="1">
      <c r="B127" s="51" t="s">
        <v>377</v>
      </c>
      <c r="C127" s="201">
        <v>13870</v>
      </c>
      <c r="E127" s="364"/>
      <c r="F127" s="52"/>
    </row>
    <row r="128" spans="1:9">
      <c r="B128" s="369" t="s">
        <v>379</v>
      </c>
      <c r="C128" s="370">
        <f>SUM(C124:C127)</f>
        <v>60090</v>
      </c>
      <c r="D128" s="353"/>
      <c r="E128" s="392" t="s">
        <v>398</v>
      </c>
      <c r="F128" s="389">
        <f>C108</f>
        <v>80</v>
      </c>
    </row>
    <row r="129" spans="2:6" ht="10.8" thickBot="1">
      <c r="B129" s="382" t="s">
        <v>385</v>
      </c>
      <c r="C129" s="380">
        <f>C121-C128</f>
        <v>256546.91974399996</v>
      </c>
      <c r="E129" s="393" t="s">
        <v>399</v>
      </c>
      <c r="F129" s="390">
        <f>C132+C140+C148+C156</f>
        <v>315</v>
      </c>
    </row>
    <row r="130" spans="2:6" ht="10.8" thickBot="1">
      <c r="E130" s="394" t="s">
        <v>397</v>
      </c>
      <c r="F130" s="391">
        <f>SUM(F128:F129)</f>
        <v>395</v>
      </c>
    </row>
    <row r="131" spans="2:6" ht="10.8" thickBot="1">
      <c r="B131" s="383" t="s">
        <v>186</v>
      </c>
      <c r="C131" s="384">
        <v>10317</v>
      </c>
      <c r="D131" s="353" t="s">
        <v>384</v>
      </c>
    </row>
    <row r="132" spans="2:6" ht="10.8" thickBot="1">
      <c r="B132" s="401" t="s">
        <v>405</v>
      </c>
      <c r="C132" s="400">
        <v>90</v>
      </c>
      <c r="D132" s="353" t="s">
        <v>197</v>
      </c>
      <c r="E132" s="52"/>
    </row>
    <row r="133" spans="2:6">
      <c r="B133" s="367" t="s">
        <v>375</v>
      </c>
      <c r="C133" s="368">
        <f>C131*C132</f>
        <v>928530</v>
      </c>
    </row>
    <row r="134" spans="2:6">
      <c r="B134" s="51" t="s">
        <v>74</v>
      </c>
      <c r="C134" s="201">
        <v>338961</v>
      </c>
    </row>
    <row r="135" spans="2:6">
      <c r="B135" s="51" t="s">
        <v>377</v>
      </c>
      <c r="C135" s="201">
        <v>101690</v>
      </c>
      <c r="E135" s="52"/>
    </row>
    <row r="136" spans="2:6">
      <c r="B136" s="369" t="s">
        <v>379</v>
      </c>
      <c r="C136" s="370">
        <f>SUM(C134:C135)</f>
        <v>440651</v>
      </c>
      <c r="D136" s="353"/>
      <c r="E136" s="52"/>
    </row>
    <row r="137" spans="2:6" ht="10.8" thickBot="1">
      <c r="B137" s="371" t="s">
        <v>378</v>
      </c>
      <c r="C137" s="372">
        <f>C133-C136</f>
        <v>487879</v>
      </c>
    </row>
    <row r="139" spans="2:6" ht="10.8" thickBot="1"/>
    <row r="140" spans="2:6">
      <c r="B140" s="403" t="s">
        <v>406</v>
      </c>
      <c r="C140" s="200">
        <v>90</v>
      </c>
    </row>
    <row r="141" spans="2:6">
      <c r="B141" s="367" t="s">
        <v>375</v>
      </c>
      <c r="C141" s="368">
        <f>C131*C132</f>
        <v>928530</v>
      </c>
    </row>
    <row r="142" spans="2:6">
      <c r="B142" s="51" t="s">
        <v>74</v>
      </c>
      <c r="C142" s="201">
        <v>338961</v>
      </c>
    </row>
    <row r="143" spans="2:6">
      <c r="B143" s="51" t="s">
        <v>377</v>
      </c>
      <c r="C143" s="201">
        <v>101690</v>
      </c>
    </row>
    <row r="144" spans="2:6">
      <c r="B144" s="369" t="s">
        <v>379</v>
      </c>
      <c r="C144" s="370">
        <f>SUM(C142:C143)</f>
        <v>440651</v>
      </c>
    </row>
    <row r="145" spans="2:4" ht="10.8" thickBot="1">
      <c r="B145" s="371" t="s">
        <v>378</v>
      </c>
      <c r="C145" s="372">
        <f>C141-C144</f>
        <v>487879</v>
      </c>
    </row>
    <row r="147" spans="2:4" ht="10.8" thickBot="1"/>
    <row r="148" spans="2:4">
      <c r="B148" s="403" t="s">
        <v>407</v>
      </c>
      <c r="C148" s="200">
        <v>70</v>
      </c>
    </row>
    <row r="149" spans="2:4">
      <c r="B149" s="367" t="s">
        <v>375</v>
      </c>
      <c r="C149" s="368">
        <f>C131*C148</f>
        <v>722190</v>
      </c>
      <c r="D149" s="40" t="s">
        <v>134</v>
      </c>
    </row>
    <row r="150" spans="2:4">
      <c r="B150" s="51" t="s">
        <v>74</v>
      </c>
      <c r="C150" s="201">
        <v>245090</v>
      </c>
    </row>
    <row r="151" spans="2:4">
      <c r="B151" s="51" t="s">
        <v>377</v>
      </c>
      <c r="C151" s="201">
        <v>73527</v>
      </c>
    </row>
    <row r="152" spans="2:4">
      <c r="B152" s="369" t="s">
        <v>379</v>
      </c>
      <c r="C152" s="370">
        <f>SUM(C150:C151)</f>
        <v>318617</v>
      </c>
    </row>
    <row r="153" spans="2:4" ht="10.8" thickBot="1">
      <c r="B153" s="371" t="s">
        <v>378</v>
      </c>
      <c r="C153" s="372">
        <f>C149-C152</f>
        <v>403573</v>
      </c>
    </row>
    <row r="155" spans="2:4" ht="10.8" thickBot="1"/>
    <row r="156" spans="2:4">
      <c r="B156" s="403" t="s">
        <v>408</v>
      </c>
      <c r="C156" s="200">
        <v>65</v>
      </c>
    </row>
    <row r="157" spans="2:4">
      <c r="B157" s="367" t="s">
        <v>375</v>
      </c>
      <c r="C157" s="368">
        <f>C131*C156</f>
        <v>670605</v>
      </c>
    </row>
    <row r="158" spans="2:4">
      <c r="B158" s="51" t="s">
        <v>74</v>
      </c>
      <c r="C158" s="201">
        <v>135750</v>
      </c>
    </row>
    <row r="159" spans="2:4">
      <c r="B159" s="51" t="s">
        <v>377</v>
      </c>
      <c r="C159" s="201">
        <v>40725</v>
      </c>
    </row>
    <row r="160" spans="2:4">
      <c r="B160" s="369" t="s">
        <v>379</v>
      </c>
      <c r="C160" s="370">
        <f>SUM(C158:C159)</f>
        <v>176475</v>
      </c>
    </row>
    <row r="161" spans="2:3" ht="10.8" thickBot="1">
      <c r="B161" s="371" t="s">
        <v>378</v>
      </c>
      <c r="C161" s="372">
        <f>C157-C160</f>
        <v>494130</v>
      </c>
    </row>
    <row r="162" spans="2:3">
      <c r="B162" s="364"/>
      <c r="C162" s="365"/>
    </row>
    <row r="163" spans="2:3" ht="10.8" thickBot="1"/>
    <row r="164" spans="2:3">
      <c r="B164" s="403" t="s">
        <v>391</v>
      </c>
      <c r="C164" s="200"/>
    </row>
    <row r="165" spans="2:3">
      <c r="B165" s="51" t="s">
        <v>74</v>
      </c>
      <c r="C165" s="201">
        <v>205944</v>
      </c>
    </row>
    <row r="166" spans="2:3">
      <c r="B166" s="51" t="s">
        <v>377</v>
      </c>
      <c r="C166" s="201">
        <v>61738</v>
      </c>
    </row>
    <row r="167" spans="2:3" ht="10.8" thickBot="1">
      <c r="B167" s="373" t="s">
        <v>379</v>
      </c>
      <c r="C167" s="374">
        <f>SUM(C165:C166)</f>
        <v>267682</v>
      </c>
    </row>
    <row r="168" spans="2:3">
      <c r="B168" s="364"/>
    </row>
    <row r="169" spans="2:3" ht="10.8" thickBot="1"/>
    <row r="170" spans="2:3">
      <c r="B170" s="403" t="s">
        <v>389</v>
      </c>
      <c r="C170" s="200"/>
    </row>
    <row r="171" spans="2:3">
      <c r="B171" s="51" t="s">
        <v>74</v>
      </c>
      <c r="C171" s="201">
        <v>281648</v>
      </c>
    </row>
    <row r="172" spans="2:3">
      <c r="B172" s="51" t="s">
        <v>377</v>
      </c>
      <c r="C172" s="201">
        <v>84495</v>
      </c>
    </row>
    <row r="173" spans="2:3" ht="10.8" thickBot="1">
      <c r="B173" s="373" t="s">
        <v>379</v>
      </c>
      <c r="C173" s="374">
        <f>SUM(C171:C172)</f>
        <v>366143</v>
      </c>
    </row>
    <row r="175" spans="2:3" ht="10.8" thickBot="1"/>
    <row r="176" spans="2:3">
      <c r="B176" s="403" t="s">
        <v>390</v>
      </c>
      <c r="C176" s="200"/>
    </row>
    <row r="177" spans="2:3">
      <c r="B177" s="51" t="s">
        <v>74</v>
      </c>
      <c r="C177" s="375">
        <v>177206</v>
      </c>
    </row>
    <row r="178" spans="2:3">
      <c r="B178" s="51" t="s">
        <v>377</v>
      </c>
      <c r="C178" s="375">
        <v>53162</v>
      </c>
    </row>
    <row r="179" spans="2:3" ht="10.8" thickBot="1">
      <c r="B179" s="373" t="s">
        <v>379</v>
      </c>
      <c r="C179" s="374">
        <f>SUM(C177:C178)</f>
        <v>230368</v>
      </c>
    </row>
    <row r="181" spans="2:3" ht="10.8" thickBot="1"/>
    <row r="182" spans="2:3">
      <c r="B182" s="403" t="s">
        <v>392</v>
      </c>
      <c r="C182" s="200"/>
    </row>
    <row r="183" spans="2:3">
      <c r="B183" s="51" t="s">
        <v>74</v>
      </c>
      <c r="C183" s="201">
        <v>188366</v>
      </c>
    </row>
    <row r="184" spans="2:3">
      <c r="B184" s="51" t="s">
        <v>377</v>
      </c>
      <c r="C184" s="201">
        <v>56510</v>
      </c>
    </row>
    <row r="185" spans="2:3" ht="10.8" thickBot="1">
      <c r="B185" s="373" t="s">
        <v>379</v>
      </c>
      <c r="C185" s="374">
        <f>SUM(C183:C184)</f>
        <v>244876</v>
      </c>
    </row>
    <row r="187" spans="2:3" ht="10.8" thickBot="1"/>
    <row r="188" spans="2:3">
      <c r="B188" s="403" t="s">
        <v>393</v>
      </c>
      <c r="C188" s="200"/>
    </row>
    <row r="189" spans="2:3">
      <c r="B189" s="51" t="s">
        <v>74</v>
      </c>
      <c r="C189" s="201">
        <v>314352</v>
      </c>
    </row>
    <row r="190" spans="2:3">
      <c r="B190" s="51" t="s">
        <v>377</v>
      </c>
      <c r="C190" s="201">
        <v>94306</v>
      </c>
    </row>
    <row r="191" spans="2:3" ht="10.8" thickBot="1">
      <c r="B191" s="373" t="s">
        <v>379</v>
      </c>
      <c r="C191" s="374">
        <f>SUM(C189:C190)</f>
        <v>408658</v>
      </c>
    </row>
    <row r="192" spans="2:3">
      <c r="B192" s="364"/>
      <c r="C192" s="365"/>
    </row>
    <row r="193" spans="2:3" ht="10.8" thickBot="1"/>
    <row r="194" spans="2:3">
      <c r="B194" s="403" t="s">
        <v>395</v>
      </c>
      <c r="C194" s="200"/>
    </row>
    <row r="195" spans="2:3">
      <c r="B195" s="51" t="s">
        <v>74</v>
      </c>
      <c r="C195" s="201">
        <v>25000</v>
      </c>
    </row>
    <row r="196" spans="2:3">
      <c r="B196" s="51" t="s">
        <v>377</v>
      </c>
      <c r="C196" s="201">
        <v>7500</v>
      </c>
    </row>
    <row r="197" spans="2:3" ht="10.8" thickBot="1">
      <c r="B197" s="373" t="s">
        <v>379</v>
      </c>
      <c r="C197" s="374">
        <f>SUM(C195:C196)</f>
        <v>32500</v>
      </c>
    </row>
    <row r="198" spans="2:3">
      <c r="B198" s="364"/>
      <c r="C198" s="365"/>
    </row>
    <row r="199" spans="2:3" ht="10.8" thickBot="1"/>
    <row r="200" spans="2:3">
      <c r="B200" s="403" t="s">
        <v>394</v>
      </c>
      <c r="C200" s="200"/>
    </row>
    <row r="201" spans="2:3" ht="10.8" thickBot="1">
      <c r="B201" s="373" t="s">
        <v>379</v>
      </c>
      <c r="C201" s="374">
        <v>25000</v>
      </c>
    </row>
    <row r="205" spans="2:3" ht="10.8" thickBot="1"/>
    <row r="206" spans="2:3">
      <c r="B206" s="199" t="s">
        <v>219</v>
      </c>
      <c r="C206" s="199"/>
    </row>
    <row r="208" spans="2:3">
      <c r="B208" s="40" t="s">
        <v>220</v>
      </c>
    </row>
    <row r="209" spans="2:4">
      <c r="B209" s="40" t="s">
        <v>221</v>
      </c>
      <c r="C209" s="40" t="s">
        <v>222</v>
      </c>
    </row>
    <row r="210" spans="2:4">
      <c r="B210" s="40" t="s">
        <v>223</v>
      </c>
      <c r="C210" s="40" t="s">
        <v>222</v>
      </c>
    </row>
    <row r="212" spans="2:4" ht="10.8" thickBot="1">
      <c r="B212" s="40" t="s">
        <v>224</v>
      </c>
    </row>
    <row r="213" spans="2:4">
      <c r="B213" s="40" t="s">
        <v>221</v>
      </c>
      <c r="C213" s="40" t="s">
        <v>225</v>
      </c>
      <c r="D213" s="200"/>
    </row>
    <row r="214" spans="2:4">
      <c r="B214" s="40" t="s">
        <v>223</v>
      </c>
      <c r="C214" s="40" t="s">
        <v>226</v>
      </c>
      <c r="D214" s="56"/>
    </row>
    <row r="215" spans="2:4">
      <c r="D215" s="56"/>
    </row>
    <row r="216" spans="2:4">
      <c r="B216" s="40" t="s">
        <v>227</v>
      </c>
      <c r="D216" s="201">
        <v>10150</v>
      </c>
    </row>
    <row r="217" spans="2:4">
      <c r="B217" s="40" t="s">
        <v>228</v>
      </c>
      <c r="C217" s="40" t="s">
        <v>229</v>
      </c>
      <c r="D217" s="201">
        <v>10150</v>
      </c>
    </row>
    <row r="218" spans="2:4">
      <c r="B218" s="40" t="s">
        <v>221</v>
      </c>
      <c r="C218" s="40" t="s">
        <v>230</v>
      </c>
      <c r="D218" s="201"/>
    </row>
    <row r="219" spans="2:4">
      <c r="B219" s="40" t="s">
        <v>231</v>
      </c>
      <c r="C219" s="40" t="s">
        <v>232</v>
      </c>
      <c r="D219" s="56"/>
    </row>
    <row r="220" spans="2:4">
      <c r="B220" s="40" t="s">
        <v>231</v>
      </c>
      <c r="C220" s="40" t="s">
        <v>233</v>
      </c>
      <c r="D220" s="201">
        <v>15000</v>
      </c>
    </row>
    <row r="221" spans="2:4">
      <c r="D221" s="201">
        <v>15000</v>
      </c>
    </row>
    <row r="222" spans="2:4">
      <c r="B222" s="40" t="s">
        <v>234</v>
      </c>
      <c r="C222" s="202"/>
      <c r="D222" s="56"/>
    </row>
    <row r="223" spans="2:4">
      <c r="B223" s="40" t="s">
        <v>235</v>
      </c>
      <c r="C223" s="203" t="s">
        <v>236</v>
      </c>
      <c r="D223" s="56"/>
    </row>
    <row r="224" spans="2:4" ht="10.8" thickBot="1">
      <c r="B224" s="59" t="s">
        <v>235</v>
      </c>
      <c r="C224" s="204" t="s">
        <v>237</v>
      </c>
      <c r="D224" s="201">
        <v>7500</v>
      </c>
    </row>
    <row r="225" spans="4:4">
      <c r="D225" s="201">
        <v>5500</v>
      </c>
    </row>
    <row r="226" spans="4:4">
      <c r="D226" s="201">
        <v>8400</v>
      </c>
    </row>
    <row r="227" spans="4:4">
      <c r="D227" s="201">
        <v>5950</v>
      </c>
    </row>
    <row r="228" spans="4:4">
      <c r="D228" s="56"/>
    </row>
    <row r="229" spans="4:4">
      <c r="D229" s="56"/>
    </row>
    <row r="230" spans="4:4">
      <c r="D230" s="201">
        <v>15500</v>
      </c>
    </row>
    <row r="231" spans="4:4" ht="10.8" thickBot="1">
      <c r="D231" s="205">
        <v>11500</v>
      </c>
    </row>
  </sheetData>
  <pageMargins left="0.7" right="0.7" top="0.75" bottom="0.75" header="0.3" footer="0.3"/>
  <pageSetup scale="3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5926BC887DC3742B4CB51D5DD83A2F2" ma:contentTypeVersion="11" ma:contentTypeDescription="Create a new document." ma:contentTypeScope="" ma:versionID="29a728e2a035cde9dcc428e6356af6c6">
  <xsd:schema xmlns:xsd="http://www.w3.org/2001/XMLSchema" xmlns:xs="http://www.w3.org/2001/XMLSchema" xmlns:p="http://schemas.microsoft.com/office/2006/metadata/properties" xmlns:ns3="cdb87810-6735-4b27-8970-19e92898a77b" xmlns:ns4="64da239f-d595-48fa-b7b3-b3721fe4175c" targetNamespace="http://schemas.microsoft.com/office/2006/metadata/properties" ma:root="true" ma:fieldsID="d7093ea7bf8306ac6070a693023d5601" ns3:_="" ns4:_="">
    <xsd:import namespace="cdb87810-6735-4b27-8970-19e92898a77b"/>
    <xsd:import namespace="64da239f-d595-48fa-b7b3-b3721fe4175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b87810-6735-4b27-8970-19e92898a7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da239f-d595-48fa-b7b3-b3721fe4175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BD16C8-4352-468B-863C-5EC228691191}">
  <ds:schemaRefs>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64da239f-d595-48fa-b7b3-b3721fe4175c"/>
    <ds:schemaRef ds:uri="cdb87810-6735-4b27-8970-19e92898a77b"/>
    <ds:schemaRef ds:uri="http://www.w3.org/XML/1998/namespace"/>
    <ds:schemaRef ds:uri="http://purl.org/dc/dcmitype/"/>
  </ds:schemaRefs>
</ds:datastoreItem>
</file>

<file path=customXml/itemProps2.xml><?xml version="1.0" encoding="utf-8"?>
<ds:datastoreItem xmlns:ds="http://schemas.openxmlformats.org/officeDocument/2006/customXml" ds:itemID="{ED72E805-11FD-4AFA-83D8-B3124F6C383D}">
  <ds:schemaRefs>
    <ds:schemaRef ds:uri="http://schemas.microsoft.com/sharepoint/v3/contenttype/forms"/>
  </ds:schemaRefs>
</ds:datastoreItem>
</file>

<file path=customXml/itemProps3.xml><?xml version="1.0" encoding="utf-8"?>
<ds:datastoreItem xmlns:ds="http://schemas.openxmlformats.org/officeDocument/2006/customXml" ds:itemID="{4DF82827-546A-476B-A268-44886F1A70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b87810-6735-4b27-8970-19e92898a77b"/>
    <ds:schemaRef ds:uri="64da239f-d595-48fa-b7b3-b3721fe417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Overview</vt:lpstr>
      <vt:lpstr>GF020</vt:lpstr>
      <vt:lpstr>Scale-Educator-187 FY24</vt:lpstr>
      <vt:lpstr>Scale-Educator-189</vt:lpstr>
      <vt:lpstr>Scale-Educator-187 FY25</vt:lpstr>
      <vt:lpstr>FHM Expenses</vt:lpstr>
      <vt:lpstr>FHM Revenue</vt:lpstr>
      <vt:lpstr>FFY26_GSC_Spend</vt:lpstr>
      <vt:lpstr>Revision Priorities</vt:lpstr>
      <vt:lpstr>Jeffco Benefits</vt:lpstr>
      <vt:lpstr>Market Study</vt:lpstr>
      <vt:lpstr>Tuition Proposed Rate Increases</vt:lpstr>
      <vt:lpstr>Tuition Per 6 RM Model</vt:lpstr>
      <vt:lpstr>Tuition Per Toddler Model</vt:lpstr>
      <vt:lpstr>Tuition Per 7 RM Model</vt:lpstr>
      <vt:lpstr>Enrollment</vt:lpstr>
      <vt:lpstr>Enrollment Toddler</vt:lpstr>
      <vt:lpstr>CA020</vt:lpstr>
      <vt:lpstr>FY27 Student Fee Sched 3.18.26</vt:lpstr>
      <vt:lpstr>FY26 Student Fee Sched_2.27.25</vt:lpstr>
      <vt:lpstr>Proposed BAC Rate Increases</vt:lpstr>
      <vt:lpstr>CC020</vt:lpstr>
      <vt:lpstr>Cost Per Student</vt:lpstr>
      <vt:lpstr>FY25 Student Fee Sched</vt:lpstr>
      <vt:lpstr>Tuition Per PK Model (2)</vt:lpstr>
    </vt:vector>
  </TitlesOfParts>
  <Company>Jefferson County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Vosburgh Cyndi</dc:creator>
  <cp:lastModifiedBy>Hamilton Mallory</cp:lastModifiedBy>
  <cp:lastPrinted>2026-10-14T14:43:01Z</cp:lastPrinted>
  <dcterms:created xsi:type="dcterms:W3CDTF">2021-12-16T22:00:36Z</dcterms:created>
  <dcterms:modified xsi:type="dcterms:W3CDTF">2026-10-14T14:43:26Z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0x01010045926BC887DC3742B4CB51D5DD83A2F2</vt:lpwstr>
  </property>
</Properties>
</file>