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emsisd-my.sharepoint.com/personal/emselemelar_ems-isd_net/Documents/EMS Elementary ELAR SLAR Curriculum/Shared Inventory/"/>
    </mc:Choice>
  </mc:AlternateContent>
  <xr:revisionPtr revIDLastSave="7" documentId="8_{538620B6-E53A-46D6-AFA9-610C079126AB}" xr6:coauthVersionLast="47" xr6:coauthVersionMax="47" xr10:uidLastSave="{85BF7488-0AF9-473A-B769-EF0EA6176EB0}"/>
  <bookViews>
    <workbookView minimized="1" xWindow="98" yWindow="98" windowWidth="19185" windowHeight="11265" activeTab="5" xr2:uid="{28AA1D61-1729-4C01-99AE-67CF65E8E412}"/>
  </bookViews>
  <sheets>
    <sheet name="GK F&amp;P IRA" sheetId="7" r:id="rId1"/>
    <sheet name="G1 F&amp;P IRA" sheetId="6" r:id="rId2"/>
    <sheet name="G2 F&amp;P IRA" sheetId="2" r:id="rId3"/>
    <sheet name="G3 F&amp;P IRA" sheetId="3" r:id="rId4"/>
    <sheet name="G4 F&amp;P IRA" sheetId="4" r:id="rId5"/>
    <sheet name="G5 F&amp;P IRA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9" i="7" l="1"/>
  <c r="F159" i="7"/>
  <c r="B159" i="7"/>
  <c r="B163" i="6"/>
  <c r="F163" i="6"/>
  <c r="G163" i="6"/>
  <c r="A6" i="5"/>
  <c r="B6" i="5"/>
  <c r="C6" i="5"/>
  <c r="D6" i="5"/>
  <c r="E6" i="5"/>
  <c r="A7" i="5"/>
  <c r="B7" i="5"/>
  <c r="C7" i="5"/>
  <c r="D7" i="5"/>
  <c r="E7" i="5"/>
  <c r="A8" i="5"/>
  <c r="B8" i="5"/>
  <c r="C8" i="5"/>
  <c r="D8" i="5"/>
  <c r="E8" i="5"/>
  <c r="A9" i="5"/>
  <c r="B9" i="5"/>
  <c r="C9" i="5"/>
  <c r="D9" i="5"/>
  <c r="E9" i="5"/>
  <c r="A10" i="5"/>
  <c r="B10" i="5"/>
  <c r="C10" i="5"/>
  <c r="D10" i="5"/>
  <c r="E10" i="5"/>
  <c r="A11" i="5"/>
  <c r="B11" i="5"/>
  <c r="C11" i="5"/>
  <c r="D11" i="5"/>
  <c r="E11" i="5"/>
  <c r="A12" i="5"/>
  <c r="B12" i="5"/>
  <c r="C12" i="5"/>
  <c r="D12" i="5"/>
  <c r="E12" i="5"/>
  <c r="A13" i="5"/>
  <c r="B13" i="5"/>
  <c r="C13" i="5"/>
  <c r="D13" i="5"/>
  <c r="E13" i="5"/>
  <c r="A14" i="5"/>
  <c r="B14" i="5"/>
  <c r="C14" i="5"/>
  <c r="D14" i="5"/>
  <c r="E14" i="5"/>
  <c r="A15" i="5"/>
  <c r="B15" i="5"/>
  <c r="C15" i="5"/>
  <c r="D15" i="5"/>
  <c r="E15" i="5"/>
  <c r="A16" i="5"/>
  <c r="B16" i="5"/>
  <c r="C16" i="5"/>
  <c r="D16" i="5"/>
  <c r="E16" i="5"/>
  <c r="A17" i="5"/>
  <c r="B17" i="5"/>
  <c r="C17" i="5"/>
  <c r="D17" i="5"/>
  <c r="E17" i="5"/>
  <c r="A18" i="5"/>
  <c r="B18" i="5"/>
  <c r="C18" i="5"/>
  <c r="D18" i="5"/>
  <c r="E18" i="5"/>
  <c r="A19" i="5"/>
  <c r="B19" i="5"/>
  <c r="C19" i="5"/>
  <c r="D19" i="5"/>
  <c r="E19" i="5"/>
  <c r="A20" i="5"/>
  <c r="B20" i="5"/>
  <c r="C20" i="5"/>
  <c r="D20" i="5"/>
  <c r="E20" i="5"/>
  <c r="A21" i="5"/>
  <c r="B21" i="5"/>
  <c r="C21" i="5"/>
  <c r="D21" i="5"/>
  <c r="E21" i="5"/>
  <c r="A22" i="5"/>
  <c r="B22" i="5"/>
  <c r="C22" i="5"/>
  <c r="D22" i="5"/>
  <c r="E22" i="5"/>
  <c r="A23" i="5"/>
  <c r="B23" i="5"/>
  <c r="C23" i="5"/>
  <c r="D23" i="5"/>
  <c r="E23" i="5"/>
  <c r="A24" i="5"/>
  <c r="B24" i="5"/>
  <c r="C24" i="5"/>
  <c r="D24" i="5"/>
  <c r="E24" i="5"/>
  <c r="A25" i="5"/>
  <c r="B25" i="5"/>
  <c r="C25" i="5"/>
  <c r="D25" i="5"/>
  <c r="E25" i="5"/>
  <c r="A26" i="5"/>
  <c r="B26" i="5"/>
  <c r="C26" i="5"/>
  <c r="D26" i="5"/>
  <c r="E26" i="5"/>
  <c r="A27" i="5"/>
  <c r="B27" i="5"/>
  <c r="C27" i="5"/>
  <c r="D27" i="5"/>
  <c r="E27" i="5"/>
  <c r="A28" i="5"/>
  <c r="B28" i="5"/>
  <c r="C28" i="5"/>
  <c r="D28" i="5"/>
  <c r="E28" i="5"/>
  <c r="A29" i="5"/>
  <c r="B29" i="5"/>
  <c r="C29" i="5"/>
  <c r="D29" i="5"/>
  <c r="E29" i="5"/>
  <c r="A30" i="5"/>
  <c r="B30" i="5"/>
  <c r="C30" i="5"/>
  <c r="D30" i="5"/>
  <c r="E30" i="5"/>
  <c r="A31" i="5"/>
  <c r="B31" i="5"/>
  <c r="C31" i="5"/>
  <c r="D31" i="5"/>
  <c r="E31" i="5"/>
  <c r="A32" i="5"/>
  <c r="B32" i="5"/>
  <c r="C32" i="5"/>
  <c r="D32" i="5"/>
  <c r="E32" i="5"/>
  <c r="A33" i="5"/>
  <c r="B33" i="5"/>
  <c r="C33" i="5"/>
  <c r="D33" i="5"/>
  <c r="E33" i="5"/>
  <c r="A34" i="5"/>
  <c r="B34" i="5"/>
  <c r="C34" i="5"/>
  <c r="D34" i="5"/>
  <c r="E34" i="5"/>
  <c r="A35" i="5"/>
  <c r="B35" i="5"/>
  <c r="C35" i="5"/>
  <c r="D35" i="5"/>
  <c r="E35" i="5"/>
  <c r="A36" i="5"/>
  <c r="B36" i="5"/>
  <c r="C36" i="5"/>
  <c r="D36" i="5"/>
  <c r="E36" i="5"/>
  <c r="A37" i="5"/>
  <c r="B37" i="5"/>
  <c r="C37" i="5"/>
  <c r="D37" i="5"/>
  <c r="E37" i="5"/>
  <c r="A38" i="5"/>
  <c r="B38" i="5"/>
  <c r="C38" i="5"/>
  <c r="D38" i="5"/>
  <c r="E38" i="5"/>
  <c r="A39" i="5"/>
  <c r="B39" i="5"/>
  <c r="C39" i="5"/>
  <c r="D39" i="5"/>
  <c r="E39" i="5"/>
  <c r="A40" i="5"/>
  <c r="B40" i="5"/>
  <c r="C40" i="5"/>
  <c r="D40" i="5"/>
  <c r="E40" i="5"/>
  <c r="A41" i="5"/>
  <c r="B41" i="5"/>
  <c r="C41" i="5"/>
  <c r="D41" i="5"/>
  <c r="E41" i="5"/>
  <c r="A42" i="5"/>
  <c r="B42" i="5"/>
  <c r="C42" i="5"/>
  <c r="D42" i="5"/>
  <c r="E42" i="5"/>
  <c r="A43" i="5"/>
  <c r="B43" i="5"/>
  <c r="C43" i="5"/>
  <c r="D43" i="5"/>
  <c r="E43" i="5"/>
  <c r="A44" i="5"/>
  <c r="B44" i="5"/>
  <c r="C44" i="5"/>
  <c r="D44" i="5"/>
  <c r="E44" i="5"/>
  <c r="A45" i="5"/>
  <c r="B45" i="5"/>
  <c r="C45" i="5"/>
  <c r="D45" i="5"/>
  <c r="E45" i="5"/>
  <c r="A46" i="5"/>
  <c r="B46" i="5"/>
  <c r="C46" i="5"/>
  <c r="D46" i="5"/>
  <c r="E46" i="5"/>
  <c r="A47" i="5"/>
  <c r="B47" i="5"/>
  <c r="C47" i="5"/>
  <c r="D47" i="5"/>
  <c r="E47" i="5"/>
  <c r="A48" i="5"/>
  <c r="B48" i="5"/>
  <c r="C48" i="5"/>
  <c r="D48" i="5"/>
  <c r="E48" i="5"/>
  <c r="A49" i="5"/>
  <c r="B49" i="5"/>
  <c r="C49" i="5"/>
  <c r="D49" i="5"/>
  <c r="E49" i="5"/>
  <c r="A50" i="5"/>
  <c r="B50" i="5"/>
  <c r="C50" i="5"/>
  <c r="D50" i="5"/>
  <c r="E50" i="5"/>
  <c r="A51" i="5"/>
  <c r="B51" i="5"/>
  <c r="C51" i="5"/>
  <c r="D51" i="5"/>
  <c r="E51" i="5"/>
  <c r="A52" i="5"/>
  <c r="B52" i="5"/>
  <c r="C52" i="5"/>
  <c r="D52" i="5"/>
  <c r="E52" i="5"/>
  <c r="A53" i="5"/>
  <c r="B53" i="5"/>
  <c r="C53" i="5"/>
  <c r="D53" i="5"/>
  <c r="E53" i="5"/>
  <c r="A54" i="5"/>
  <c r="B54" i="5"/>
  <c r="C54" i="5"/>
  <c r="D54" i="5"/>
  <c r="E54" i="5"/>
  <c r="A55" i="5"/>
  <c r="B55" i="5"/>
  <c r="C55" i="5"/>
  <c r="D55" i="5"/>
  <c r="E55" i="5"/>
  <c r="A56" i="5"/>
  <c r="B56" i="5"/>
  <c r="C56" i="5"/>
  <c r="D56" i="5"/>
  <c r="E56" i="5"/>
  <c r="A57" i="5"/>
  <c r="B57" i="5"/>
  <c r="C57" i="5"/>
  <c r="D57" i="5"/>
  <c r="E57" i="5"/>
  <c r="A58" i="5"/>
  <c r="B58" i="5"/>
  <c r="C58" i="5"/>
  <c r="D58" i="5"/>
  <c r="E58" i="5"/>
  <c r="A59" i="5"/>
  <c r="B59" i="5"/>
  <c r="C59" i="5"/>
  <c r="D59" i="5"/>
  <c r="E59" i="5"/>
  <c r="A60" i="5"/>
  <c r="B60" i="5"/>
  <c r="C60" i="5"/>
  <c r="D60" i="5"/>
  <c r="E60" i="5"/>
  <c r="A61" i="5"/>
  <c r="B61" i="5"/>
  <c r="C61" i="5"/>
  <c r="D61" i="5"/>
  <c r="E61" i="5"/>
  <c r="A62" i="5"/>
  <c r="B62" i="5"/>
  <c r="C62" i="5"/>
  <c r="D62" i="5"/>
  <c r="E62" i="5"/>
  <c r="A63" i="5"/>
  <c r="B63" i="5"/>
  <c r="C63" i="5"/>
  <c r="D63" i="5"/>
  <c r="E63" i="5"/>
  <c r="A64" i="5"/>
  <c r="B64" i="5"/>
  <c r="C64" i="5"/>
  <c r="D64" i="5"/>
  <c r="E64" i="5"/>
  <c r="A65" i="5"/>
  <c r="B65" i="5"/>
  <c r="C65" i="5"/>
  <c r="D65" i="5"/>
  <c r="E65" i="5"/>
  <c r="A66" i="5"/>
  <c r="B66" i="5"/>
  <c r="C66" i="5"/>
  <c r="D66" i="5"/>
  <c r="E66" i="5"/>
  <c r="A67" i="5"/>
  <c r="B67" i="5"/>
  <c r="C67" i="5"/>
  <c r="D67" i="5"/>
  <c r="E67" i="5"/>
  <c r="A68" i="5"/>
  <c r="B68" i="5"/>
  <c r="C68" i="5"/>
  <c r="D68" i="5"/>
  <c r="E68" i="5"/>
  <c r="A69" i="5"/>
  <c r="B69" i="5"/>
  <c r="C69" i="5"/>
  <c r="D69" i="5"/>
  <c r="E69" i="5"/>
  <c r="A70" i="5"/>
  <c r="B70" i="5"/>
  <c r="C70" i="5"/>
  <c r="D70" i="5"/>
  <c r="E70" i="5"/>
  <c r="A71" i="5"/>
  <c r="B71" i="5"/>
  <c r="C71" i="5"/>
  <c r="D71" i="5"/>
  <c r="E71" i="5"/>
  <c r="A72" i="5"/>
  <c r="B72" i="5"/>
  <c r="C72" i="5"/>
  <c r="D72" i="5"/>
  <c r="E72" i="5"/>
  <c r="A73" i="5"/>
  <c r="B73" i="5"/>
  <c r="C73" i="5"/>
  <c r="D73" i="5"/>
  <c r="E73" i="5"/>
  <c r="A74" i="5"/>
  <c r="B74" i="5"/>
  <c r="C74" i="5"/>
  <c r="D74" i="5"/>
  <c r="E74" i="5"/>
  <c r="A75" i="5"/>
  <c r="B75" i="5"/>
  <c r="C75" i="5"/>
  <c r="D75" i="5"/>
  <c r="E75" i="5"/>
  <c r="A76" i="5"/>
  <c r="B76" i="5"/>
  <c r="C76" i="5"/>
  <c r="D76" i="5"/>
  <c r="E76" i="5"/>
  <c r="A77" i="5"/>
  <c r="B77" i="5"/>
  <c r="C77" i="5"/>
  <c r="D77" i="5"/>
  <c r="E77" i="5"/>
  <c r="A78" i="5"/>
  <c r="B78" i="5"/>
  <c r="C78" i="5"/>
  <c r="D78" i="5"/>
  <c r="E78" i="5"/>
  <c r="A79" i="5"/>
  <c r="B79" i="5"/>
  <c r="C79" i="5"/>
  <c r="D79" i="5"/>
  <c r="E79" i="5"/>
  <c r="A80" i="5"/>
  <c r="B80" i="5"/>
  <c r="C80" i="5"/>
  <c r="D80" i="5"/>
  <c r="E80" i="5"/>
  <c r="A81" i="5"/>
  <c r="B81" i="5"/>
  <c r="C81" i="5"/>
  <c r="D81" i="5"/>
  <c r="E81" i="5"/>
  <c r="A82" i="5"/>
  <c r="B82" i="5"/>
  <c r="C82" i="5"/>
  <c r="D82" i="5"/>
  <c r="E82" i="5"/>
  <c r="A83" i="5"/>
  <c r="B83" i="5"/>
  <c r="C83" i="5"/>
  <c r="D83" i="5"/>
  <c r="E83" i="5"/>
  <c r="A84" i="5"/>
  <c r="B84" i="5"/>
  <c r="C84" i="5"/>
  <c r="D84" i="5"/>
  <c r="E84" i="5"/>
  <c r="A85" i="5"/>
  <c r="B85" i="5"/>
  <c r="C85" i="5"/>
  <c r="D85" i="5"/>
  <c r="E85" i="5"/>
  <c r="A86" i="5"/>
  <c r="B86" i="5"/>
  <c r="C86" i="5"/>
  <c r="D86" i="5"/>
  <c r="E86" i="5"/>
  <c r="A87" i="5"/>
  <c r="B87" i="5"/>
  <c r="C87" i="5"/>
  <c r="D87" i="5"/>
  <c r="E87" i="5"/>
  <c r="A88" i="5"/>
  <c r="B88" i="5"/>
  <c r="C88" i="5"/>
  <c r="D88" i="5"/>
  <c r="E88" i="5"/>
  <c r="A89" i="5"/>
  <c r="B89" i="5"/>
  <c r="C89" i="5"/>
  <c r="D89" i="5"/>
  <c r="E89" i="5"/>
  <c r="A90" i="5"/>
  <c r="B90" i="5"/>
  <c r="C90" i="5"/>
  <c r="D90" i="5"/>
  <c r="E90" i="5"/>
  <c r="A91" i="5"/>
  <c r="B91" i="5"/>
  <c r="C91" i="5"/>
  <c r="D91" i="5"/>
  <c r="E91" i="5"/>
  <c r="A92" i="5"/>
  <c r="B92" i="5"/>
  <c r="C92" i="5"/>
  <c r="D92" i="5"/>
  <c r="E92" i="5"/>
  <c r="A93" i="5"/>
  <c r="B93" i="5"/>
  <c r="C93" i="5"/>
  <c r="D93" i="5"/>
  <c r="E93" i="5"/>
  <c r="A94" i="5"/>
  <c r="B94" i="5"/>
  <c r="C94" i="5"/>
  <c r="D94" i="5"/>
  <c r="E94" i="5"/>
  <c r="A95" i="5"/>
  <c r="B95" i="5"/>
  <c r="C95" i="5"/>
  <c r="D95" i="5"/>
  <c r="E95" i="5"/>
  <c r="A96" i="5"/>
  <c r="B96" i="5"/>
  <c r="C96" i="5"/>
  <c r="D96" i="5"/>
  <c r="E96" i="5"/>
  <c r="A97" i="5"/>
  <c r="B97" i="5"/>
  <c r="C97" i="5"/>
  <c r="D97" i="5"/>
  <c r="E97" i="5"/>
  <c r="A98" i="5"/>
  <c r="B98" i="5"/>
  <c r="C98" i="5"/>
  <c r="D98" i="5"/>
  <c r="E98" i="5"/>
  <c r="A99" i="5"/>
  <c r="B99" i="5"/>
  <c r="C99" i="5"/>
  <c r="D99" i="5"/>
  <c r="E99" i="5"/>
  <c r="A100" i="5"/>
  <c r="B100" i="5"/>
  <c r="C100" i="5"/>
  <c r="D100" i="5"/>
  <c r="E100" i="5"/>
  <c r="A101" i="5"/>
  <c r="B101" i="5"/>
  <c r="C101" i="5"/>
  <c r="D101" i="5"/>
  <c r="E101" i="5"/>
  <c r="A102" i="5"/>
  <c r="B102" i="5"/>
  <c r="C102" i="5"/>
  <c r="D102" i="5"/>
  <c r="E102" i="5"/>
  <c r="A103" i="5"/>
  <c r="B103" i="5"/>
  <c r="C103" i="5"/>
  <c r="D103" i="5"/>
  <c r="E103" i="5"/>
  <c r="A104" i="5"/>
  <c r="B104" i="5"/>
  <c r="C104" i="5"/>
  <c r="D104" i="5"/>
  <c r="E104" i="5"/>
  <c r="A105" i="5"/>
  <c r="B105" i="5"/>
  <c r="C105" i="5"/>
  <c r="D105" i="5"/>
  <c r="E105" i="5"/>
  <c r="A106" i="5"/>
  <c r="B106" i="5"/>
  <c r="C106" i="5"/>
  <c r="D106" i="5"/>
  <c r="E106" i="5"/>
  <c r="A107" i="5"/>
  <c r="B107" i="5"/>
  <c r="C107" i="5"/>
  <c r="D107" i="5"/>
  <c r="E107" i="5"/>
  <c r="A108" i="5"/>
  <c r="B108" i="5"/>
  <c r="C108" i="5"/>
  <c r="D108" i="5"/>
  <c r="E108" i="5"/>
  <c r="A109" i="5"/>
  <c r="B109" i="5"/>
  <c r="C109" i="5"/>
  <c r="D109" i="5"/>
  <c r="E109" i="5"/>
  <c r="A110" i="5"/>
  <c r="B110" i="5"/>
  <c r="C110" i="5"/>
  <c r="D110" i="5"/>
  <c r="E110" i="5"/>
  <c r="A111" i="5"/>
  <c r="B111" i="5"/>
  <c r="C111" i="5"/>
  <c r="D111" i="5"/>
  <c r="E111" i="5"/>
  <c r="A112" i="5"/>
  <c r="B112" i="5"/>
  <c r="C112" i="5"/>
  <c r="D112" i="5"/>
  <c r="E112" i="5"/>
  <c r="A113" i="5"/>
  <c r="B113" i="5"/>
  <c r="C113" i="5"/>
  <c r="D113" i="5"/>
  <c r="E113" i="5"/>
  <c r="A114" i="5"/>
  <c r="B114" i="5"/>
  <c r="C114" i="5"/>
  <c r="D114" i="5"/>
  <c r="E114" i="5"/>
  <c r="A115" i="5"/>
  <c r="B115" i="5"/>
  <c r="C115" i="5"/>
  <c r="D115" i="5"/>
  <c r="E115" i="5"/>
  <c r="A116" i="5"/>
  <c r="B116" i="5"/>
  <c r="C116" i="5"/>
  <c r="D116" i="5"/>
  <c r="E116" i="5"/>
  <c r="A117" i="5"/>
  <c r="B117" i="5"/>
  <c r="C117" i="5"/>
  <c r="D117" i="5"/>
  <c r="E117" i="5"/>
  <c r="A118" i="5"/>
  <c r="B118" i="5"/>
  <c r="C118" i="5"/>
  <c r="D118" i="5"/>
  <c r="E118" i="5"/>
  <c r="A119" i="5"/>
  <c r="B119" i="5"/>
  <c r="C119" i="5"/>
  <c r="D119" i="5"/>
  <c r="E119" i="5"/>
  <c r="A120" i="5"/>
  <c r="B120" i="5"/>
  <c r="C120" i="5"/>
  <c r="D120" i="5"/>
  <c r="E120" i="5"/>
  <c r="A121" i="5"/>
  <c r="B121" i="5"/>
  <c r="C121" i="5"/>
  <c r="D121" i="5"/>
  <c r="E121" i="5"/>
  <c r="A122" i="5"/>
  <c r="B122" i="5"/>
  <c r="C122" i="5"/>
  <c r="D122" i="5"/>
  <c r="E122" i="5"/>
  <c r="A123" i="5"/>
  <c r="B123" i="5"/>
  <c r="C123" i="5"/>
  <c r="D123" i="5"/>
  <c r="E123" i="5"/>
  <c r="A124" i="5"/>
  <c r="B124" i="5"/>
  <c r="C124" i="5"/>
  <c r="D124" i="5"/>
  <c r="E124" i="5"/>
  <c r="A125" i="5"/>
  <c r="B125" i="5"/>
  <c r="C125" i="5"/>
  <c r="D125" i="5"/>
  <c r="E125" i="5"/>
  <c r="A126" i="5"/>
  <c r="B126" i="5"/>
  <c r="C126" i="5"/>
  <c r="D126" i="5"/>
  <c r="E126" i="5"/>
  <c r="A127" i="5"/>
  <c r="B127" i="5"/>
  <c r="C127" i="5"/>
  <c r="D127" i="5"/>
  <c r="E127" i="5"/>
  <c r="A128" i="5"/>
  <c r="B128" i="5"/>
  <c r="C128" i="5"/>
  <c r="D128" i="5"/>
  <c r="E128" i="5"/>
  <c r="A129" i="5"/>
  <c r="B129" i="5"/>
  <c r="C129" i="5"/>
  <c r="D129" i="5"/>
  <c r="E129" i="5"/>
  <c r="A130" i="5"/>
  <c r="B130" i="5"/>
  <c r="C130" i="5"/>
  <c r="D130" i="5"/>
  <c r="E130" i="5"/>
  <c r="A131" i="5"/>
  <c r="B131" i="5"/>
  <c r="C131" i="5"/>
  <c r="D131" i="5"/>
  <c r="E131" i="5"/>
  <c r="A132" i="5"/>
  <c r="B132" i="5"/>
  <c r="C132" i="5"/>
  <c r="D132" i="5"/>
  <c r="E132" i="5"/>
  <c r="A133" i="5"/>
  <c r="B133" i="5"/>
  <c r="C133" i="5"/>
  <c r="D133" i="5"/>
  <c r="E133" i="5"/>
  <c r="A134" i="5"/>
  <c r="B134" i="5"/>
  <c r="C134" i="5"/>
  <c r="D134" i="5"/>
  <c r="E134" i="5"/>
  <c r="A135" i="5"/>
  <c r="B135" i="5"/>
  <c r="C135" i="5"/>
  <c r="D135" i="5"/>
  <c r="E135" i="5"/>
  <c r="A136" i="5"/>
  <c r="B136" i="5"/>
  <c r="C136" i="5"/>
  <c r="D136" i="5"/>
  <c r="E136" i="5"/>
  <c r="A137" i="5"/>
  <c r="B137" i="5"/>
  <c r="C137" i="5"/>
  <c r="D137" i="5"/>
  <c r="E137" i="5"/>
  <c r="A138" i="5"/>
  <c r="B138" i="5"/>
  <c r="C138" i="5"/>
  <c r="D138" i="5"/>
  <c r="E138" i="5"/>
  <c r="A139" i="5"/>
  <c r="B139" i="5"/>
  <c r="C139" i="5"/>
  <c r="D139" i="5"/>
  <c r="E139" i="5"/>
  <c r="A140" i="5"/>
  <c r="B140" i="5"/>
  <c r="C140" i="5"/>
  <c r="D140" i="5"/>
  <c r="E140" i="5"/>
  <c r="A141" i="5"/>
  <c r="B141" i="5"/>
  <c r="C141" i="5"/>
  <c r="D141" i="5"/>
  <c r="E141" i="5"/>
  <c r="A142" i="5"/>
  <c r="B142" i="5"/>
  <c r="C142" i="5"/>
  <c r="D142" i="5"/>
  <c r="E142" i="5"/>
  <c r="A143" i="5"/>
  <c r="B143" i="5"/>
  <c r="C143" i="5"/>
  <c r="D143" i="5"/>
  <c r="E143" i="5"/>
  <c r="A144" i="5"/>
  <c r="B144" i="5"/>
  <c r="C144" i="5"/>
  <c r="D144" i="5"/>
  <c r="E144" i="5"/>
  <c r="A145" i="5"/>
  <c r="B145" i="5"/>
  <c r="C145" i="5"/>
  <c r="D145" i="5"/>
  <c r="E145" i="5"/>
  <c r="A146" i="5"/>
  <c r="B146" i="5"/>
  <c r="C146" i="5"/>
  <c r="D146" i="5"/>
  <c r="E146" i="5"/>
  <c r="A147" i="5"/>
  <c r="B147" i="5"/>
  <c r="C147" i="5"/>
  <c r="D147" i="5"/>
  <c r="E147" i="5"/>
  <c r="A148" i="5"/>
  <c r="B148" i="5"/>
  <c r="C148" i="5"/>
  <c r="D148" i="5"/>
  <c r="E148" i="5"/>
  <c r="A149" i="5"/>
  <c r="B149" i="5"/>
  <c r="C149" i="5"/>
  <c r="D149" i="5"/>
  <c r="E149" i="5"/>
  <c r="A150" i="5"/>
  <c r="B150" i="5"/>
  <c r="C150" i="5"/>
  <c r="D150" i="5"/>
  <c r="E150" i="5"/>
  <c r="A6" i="4"/>
  <c r="B6" i="4"/>
  <c r="C6" i="4"/>
  <c r="D6" i="4"/>
  <c r="E6" i="4"/>
  <c r="A7" i="4"/>
  <c r="B7" i="4"/>
  <c r="C7" i="4"/>
  <c r="D7" i="4"/>
  <c r="E7" i="4"/>
  <c r="A8" i="4"/>
  <c r="B8" i="4"/>
  <c r="C8" i="4"/>
  <c r="D8" i="4"/>
  <c r="E8" i="4"/>
  <c r="A9" i="4"/>
  <c r="B9" i="4"/>
  <c r="C9" i="4"/>
  <c r="D9" i="4"/>
  <c r="E9" i="4"/>
  <c r="A10" i="4"/>
  <c r="B10" i="4"/>
  <c r="C10" i="4"/>
  <c r="D10" i="4"/>
  <c r="E10" i="4"/>
  <c r="A11" i="4"/>
  <c r="B11" i="4"/>
  <c r="C11" i="4"/>
  <c r="D11" i="4"/>
  <c r="E11" i="4"/>
  <c r="A12" i="4"/>
  <c r="B12" i="4"/>
  <c r="C12" i="4"/>
  <c r="D12" i="4"/>
  <c r="E12" i="4"/>
  <c r="A13" i="4"/>
  <c r="B13" i="4"/>
  <c r="C13" i="4"/>
  <c r="D13" i="4"/>
  <c r="E13" i="4"/>
  <c r="A14" i="4"/>
  <c r="B14" i="4"/>
  <c r="C14" i="4"/>
  <c r="D14" i="4"/>
  <c r="E14" i="4"/>
  <c r="A15" i="4"/>
  <c r="B15" i="4"/>
  <c r="C15" i="4"/>
  <c r="D15" i="4"/>
  <c r="E15" i="4"/>
  <c r="A16" i="4"/>
  <c r="B16" i="4"/>
  <c r="C16" i="4"/>
  <c r="D16" i="4"/>
  <c r="E16" i="4"/>
  <c r="A17" i="4"/>
  <c r="B17" i="4"/>
  <c r="C17" i="4"/>
  <c r="D17" i="4"/>
  <c r="E17" i="4"/>
  <c r="A18" i="4"/>
  <c r="B18" i="4"/>
  <c r="C18" i="4"/>
  <c r="D18" i="4"/>
  <c r="E18" i="4"/>
  <c r="A19" i="4"/>
  <c r="B19" i="4"/>
  <c r="C19" i="4"/>
  <c r="D19" i="4"/>
  <c r="E19" i="4"/>
  <c r="A20" i="4"/>
  <c r="B20" i="4"/>
  <c r="C20" i="4"/>
  <c r="D20" i="4"/>
  <c r="E20" i="4"/>
  <c r="A21" i="4"/>
  <c r="B21" i="4"/>
  <c r="C21" i="4"/>
  <c r="D21" i="4"/>
  <c r="E21" i="4"/>
  <c r="A22" i="4"/>
  <c r="B22" i="4"/>
  <c r="C22" i="4"/>
  <c r="D22" i="4"/>
  <c r="E22" i="4"/>
  <c r="A23" i="4"/>
  <c r="B23" i="4"/>
  <c r="C23" i="4"/>
  <c r="D23" i="4"/>
  <c r="E23" i="4"/>
  <c r="A24" i="4"/>
  <c r="B24" i="4"/>
  <c r="C24" i="4"/>
  <c r="D24" i="4"/>
  <c r="E24" i="4"/>
  <c r="A25" i="4"/>
  <c r="B25" i="4"/>
  <c r="C25" i="4"/>
  <c r="D25" i="4"/>
  <c r="E25" i="4"/>
  <c r="A26" i="4"/>
  <c r="B26" i="4"/>
  <c r="C26" i="4"/>
  <c r="D26" i="4"/>
  <c r="E26" i="4"/>
  <c r="A27" i="4"/>
  <c r="B27" i="4"/>
  <c r="C27" i="4"/>
  <c r="D27" i="4"/>
  <c r="E27" i="4"/>
  <c r="A28" i="4"/>
  <c r="B28" i="4"/>
  <c r="C28" i="4"/>
  <c r="D28" i="4"/>
  <c r="E28" i="4"/>
  <c r="A29" i="4"/>
  <c r="B29" i="4"/>
  <c r="C29" i="4"/>
  <c r="D29" i="4"/>
  <c r="E29" i="4"/>
  <c r="A30" i="4"/>
  <c r="B30" i="4"/>
  <c r="C30" i="4"/>
  <c r="D30" i="4"/>
  <c r="E30" i="4"/>
  <c r="A31" i="4"/>
  <c r="B31" i="4"/>
  <c r="C31" i="4"/>
  <c r="D31" i="4"/>
  <c r="E31" i="4"/>
  <c r="A32" i="4"/>
  <c r="B32" i="4"/>
  <c r="C32" i="4"/>
  <c r="D32" i="4"/>
  <c r="E32" i="4"/>
  <c r="A33" i="4"/>
  <c r="B33" i="4"/>
  <c r="C33" i="4"/>
  <c r="D33" i="4"/>
  <c r="E33" i="4"/>
  <c r="A34" i="4"/>
  <c r="B34" i="4"/>
  <c r="C34" i="4"/>
  <c r="D34" i="4"/>
  <c r="E34" i="4"/>
  <c r="A35" i="4"/>
  <c r="B35" i="4"/>
  <c r="C35" i="4"/>
  <c r="D35" i="4"/>
  <c r="E35" i="4"/>
  <c r="A36" i="4"/>
  <c r="B36" i="4"/>
  <c r="C36" i="4"/>
  <c r="D36" i="4"/>
  <c r="E36" i="4"/>
  <c r="A37" i="4"/>
  <c r="B37" i="4"/>
  <c r="C37" i="4"/>
  <c r="D37" i="4"/>
  <c r="E37" i="4"/>
  <c r="A38" i="4"/>
  <c r="B38" i="4"/>
  <c r="C38" i="4"/>
  <c r="D38" i="4"/>
  <c r="E38" i="4"/>
  <c r="A39" i="4"/>
  <c r="B39" i="4"/>
  <c r="C39" i="4"/>
  <c r="D39" i="4"/>
  <c r="E39" i="4"/>
  <c r="A40" i="4"/>
  <c r="B40" i="4"/>
  <c r="C40" i="4"/>
  <c r="D40" i="4"/>
  <c r="E40" i="4"/>
  <c r="A41" i="4"/>
  <c r="B41" i="4"/>
  <c r="C41" i="4"/>
  <c r="D41" i="4"/>
  <c r="E41" i="4"/>
  <c r="A42" i="4"/>
  <c r="B42" i="4"/>
  <c r="C42" i="4"/>
  <c r="D42" i="4"/>
  <c r="E42" i="4"/>
  <c r="A43" i="4"/>
  <c r="B43" i="4"/>
  <c r="C43" i="4"/>
  <c r="D43" i="4"/>
  <c r="E43" i="4"/>
  <c r="A44" i="4"/>
  <c r="B44" i="4"/>
  <c r="C44" i="4"/>
  <c r="D44" i="4"/>
  <c r="E44" i="4"/>
  <c r="A45" i="4"/>
  <c r="B45" i="4"/>
  <c r="C45" i="4"/>
  <c r="D45" i="4"/>
  <c r="E45" i="4"/>
  <c r="A46" i="4"/>
  <c r="B46" i="4"/>
  <c r="C46" i="4"/>
  <c r="D46" i="4"/>
  <c r="E46" i="4"/>
  <c r="A47" i="4"/>
  <c r="B47" i="4"/>
  <c r="C47" i="4"/>
  <c r="D47" i="4"/>
  <c r="E47" i="4"/>
  <c r="A48" i="4"/>
  <c r="B48" i="4"/>
  <c r="C48" i="4"/>
  <c r="D48" i="4"/>
  <c r="E48" i="4"/>
  <c r="A49" i="4"/>
  <c r="B49" i="4"/>
  <c r="C49" i="4"/>
  <c r="D49" i="4"/>
  <c r="E49" i="4"/>
  <c r="A50" i="4"/>
  <c r="B50" i="4"/>
  <c r="C50" i="4"/>
  <c r="D50" i="4"/>
  <c r="E50" i="4"/>
  <c r="A51" i="4"/>
  <c r="B51" i="4"/>
  <c r="C51" i="4"/>
  <c r="D51" i="4"/>
  <c r="E51" i="4"/>
  <c r="A52" i="4"/>
  <c r="B52" i="4"/>
  <c r="C52" i="4"/>
  <c r="D52" i="4"/>
  <c r="E52" i="4"/>
  <c r="A53" i="4"/>
  <c r="B53" i="4"/>
  <c r="C53" i="4"/>
  <c r="D53" i="4"/>
  <c r="E53" i="4"/>
  <c r="A54" i="4"/>
  <c r="B54" i="4"/>
  <c r="C54" i="4"/>
  <c r="D54" i="4"/>
  <c r="E54" i="4"/>
  <c r="A55" i="4"/>
  <c r="B55" i="4"/>
  <c r="C55" i="4"/>
  <c r="D55" i="4"/>
  <c r="E55" i="4"/>
  <c r="A56" i="4"/>
  <c r="B56" i="4"/>
  <c r="C56" i="4"/>
  <c r="D56" i="4"/>
  <c r="E56" i="4"/>
  <c r="A57" i="4"/>
  <c r="B57" i="4"/>
  <c r="C57" i="4"/>
  <c r="D57" i="4"/>
  <c r="E57" i="4"/>
  <c r="A58" i="4"/>
  <c r="B58" i="4"/>
  <c r="C58" i="4"/>
  <c r="D58" i="4"/>
  <c r="E58" i="4"/>
  <c r="A59" i="4"/>
  <c r="B59" i="4"/>
  <c r="C59" i="4"/>
  <c r="D59" i="4"/>
  <c r="E59" i="4"/>
  <c r="A60" i="4"/>
  <c r="B60" i="4"/>
  <c r="C60" i="4"/>
  <c r="D60" i="4"/>
  <c r="E60" i="4"/>
  <c r="A61" i="4"/>
  <c r="B61" i="4"/>
  <c r="C61" i="4"/>
  <c r="D61" i="4"/>
  <c r="E61" i="4"/>
  <c r="A62" i="4"/>
  <c r="B62" i="4"/>
  <c r="C62" i="4"/>
  <c r="D62" i="4"/>
  <c r="E62" i="4"/>
  <c r="A63" i="4"/>
  <c r="B63" i="4"/>
  <c r="C63" i="4"/>
  <c r="D63" i="4"/>
  <c r="E63" i="4"/>
  <c r="A64" i="4"/>
  <c r="B64" i="4"/>
  <c r="C64" i="4"/>
  <c r="D64" i="4"/>
  <c r="E64" i="4"/>
  <c r="A65" i="4"/>
  <c r="B65" i="4"/>
  <c r="C65" i="4"/>
  <c r="D65" i="4"/>
  <c r="E65" i="4"/>
  <c r="A66" i="4"/>
  <c r="B66" i="4"/>
  <c r="C66" i="4"/>
  <c r="D66" i="4"/>
  <c r="E66" i="4"/>
  <c r="A67" i="4"/>
  <c r="B67" i="4"/>
  <c r="C67" i="4"/>
  <c r="D67" i="4"/>
  <c r="E67" i="4"/>
  <c r="A68" i="4"/>
  <c r="B68" i="4"/>
  <c r="C68" i="4"/>
  <c r="D68" i="4"/>
  <c r="E68" i="4"/>
  <c r="A69" i="4"/>
  <c r="B69" i="4"/>
  <c r="C69" i="4"/>
  <c r="D69" i="4"/>
  <c r="E69" i="4"/>
  <c r="A70" i="4"/>
  <c r="B70" i="4"/>
  <c r="C70" i="4"/>
  <c r="D70" i="4"/>
  <c r="E70" i="4"/>
  <c r="A71" i="4"/>
  <c r="B71" i="4"/>
  <c r="C71" i="4"/>
  <c r="D71" i="4"/>
  <c r="E71" i="4"/>
  <c r="A72" i="4"/>
  <c r="B72" i="4"/>
  <c r="C72" i="4"/>
  <c r="D72" i="4"/>
  <c r="E72" i="4"/>
  <c r="A73" i="4"/>
  <c r="B73" i="4"/>
  <c r="C73" i="4"/>
  <c r="D73" i="4"/>
  <c r="E73" i="4"/>
  <c r="A74" i="4"/>
  <c r="B74" i="4"/>
  <c r="C74" i="4"/>
  <c r="D74" i="4"/>
  <c r="E74" i="4"/>
  <c r="A75" i="4"/>
  <c r="B75" i="4"/>
  <c r="C75" i="4"/>
  <c r="D75" i="4"/>
  <c r="E75" i="4"/>
  <c r="A76" i="4"/>
  <c r="B76" i="4"/>
  <c r="C76" i="4"/>
  <c r="D76" i="4"/>
  <c r="E76" i="4"/>
  <c r="A77" i="4"/>
  <c r="B77" i="4"/>
  <c r="C77" i="4"/>
  <c r="D77" i="4"/>
  <c r="E77" i="4"/>
  <c r="A78" i="4"/>
  <c r="B78" i="4"/>
  <c r="C78" i="4"/>
  <c r="D78" i="4"/>
  <c r="E78" i="4"/>
  <c r="A79" i="4"/>
  <c r="B79" i="4"/>
  <c r="C79" i="4"/>
  <c r="D79" i="4"/>
  <c r="E79" i="4"/>
  <c r="A80" i="4"/>
  <c r="B80" i="4"/>
  <c r="C80" i="4"/>
  <c r="D80" i="4"/>
  <c r="E80" i="4"/>
  <c r="A81" i="4"/>
  <c r="B81" i="4"/>
  <c r="C81" i="4"/>
  <c r="D81" i="4"/>
  <c r="E81" i="4"/>
  <c r="A82" i="4"/>
  <c r="B82" i="4"/>
  <c r="C82" i="4"/>
  <c r="D82" i="4"/>
  <c r="E82" i="4"/>
  <c r="A83" i="4"/>
  <c r="B83" i="4"/>
  <c r="C83" i="4"/>
  <c r="D83" i="4"/>
  <c r="E83" i="4"/>
  <c r="A84" i="4"/>
  <c r="B84" i="4"/>
  <c r="C84" i="4"/>
  <c r="D84" i="4"/>
  <c r="E84" i="4"/>
  <c r="A85" i="4"/>
  <c r="B85" i="4"/>
  <c r="C85" i="4"/>
  <c r="D85" i="4"/>
  <c r="E85" i="4"/>
  <c r="A86" i="4"/>
  <c r="B86" i="4"/>
  <c r="C86" i="4"/>
  <c r="D86" i="4"/>
  <c r="E86" i="4"/>
  <c r="A87" i="4"/>
  <c r="B87" i="4"/>
  <c r="C87" i="4"/>
  <c r="D87" i="4"/>
  <c r="E87" i="4"/>
  <c r="A88" i="4"/>
  <c r="B88" i="4"/>
  <c r="C88" i="4"/>
  <c r="D88" i="4"/>
  <c r="E88" i="4"/>
  <c r="A89" i="4"/>
  <c r="B89" i="4"/>
  <c r="C89" i="4"/>
  <c r="D89" i="4"/>
  <c r="E89" i="4"/>
  <c r="A90" i="4"/>
  <c r="B90" i="4"/>
  <c r="C90" i="4"/>
  <c r="D90" i="4"/>
  <c r="E90" i="4"/>
  <c r="A91" i="4"/>
  <c r="B91" i="4"/>
  <c r="C91" i="4"/>
  <c r="D91" i="4"/>
  <c r="E91" i="4"/>
  <c r="A92" i="4"/>
  <c r="B92" i="4"/>
  <c r="C92" i="4"/>
  <c r="D92" i="4"/>
  <c r="E92" i="4"/>
  <c r="A93" i="4"/>
  <c r="B93" i="4"/>
  <c r="C93" i="4"/>
  <c r="D93" i="4"/>
  <c r="E93" i="4"/>
  <c r="A94" i="4"/>
  <c r="B94" i="4"/>
  <c r="C94" i="4"/>
  <c r="D94" i="4"/>
  <c r="E94" i="4"/>
  <c r="A95" i="4"/>
  <c r="B95" i="4"/>
  <c r="C95" i="4"/>
  <c r="D95" i="4"/>
  <c r="E95" i="4"/>
  <c r="A96" i="4"/>
  <c r="B96" i="4"/>
  <c r="C96" i="4"/>
  <c r="D96" i="4"/>
  <c r="E96" i="4"/>
  <c r="A97" i="4"/>
  <c r="B97" i="4"/>
  <c r="C97" i="4"/>
  <c r="D97" i="4"/>
  <c r="E97" i="4"/>
  <c r="A98" i="4"/>
  <c r="B98" i="4"/>
  <c r="C98" i="4"/>
  <c r="D98" i="4"/>
  <c r="E98" i="4"/>
  <c r="A99" i="4"/>
  <c r="B99" i="4"/>
  <c r="C99" i="4"/>
  <c r="D99" i="4"/>
  <c r="E99" i="4"/>
  <c r="A100" i="4"/>
  <c r="B100" i="4"/>
  <c r="C100" i="4"/>
  <c r="D100" i="4"/>
  <c r="E100" i="4"/>
  <c r="A101" i="4"/>
  <c r="B101" i="4"/>
  <c r="C101" i="4"/>
  <c r="D101" i="4"/>
  <c r="E101" i="4"/>
  <c r="A102" i="4"/>
  <c r="B102" i="4"/>
  <c r="C102" i="4"/>
  <c r="D102" i="4"/>
  <c r="E102" i="4"/>
  <c r="A103" i="4"/>
  <c r="B103" i="4"/>
  <c r="C103" i="4"/>
  <c r="D103" i="4"/>
  <c r="E103" i="4"/>
  <c r="A104" i="4"/>
  <c r="B104" i="4"/>
  <c r="C104" i="4"/>
  <c r="D104" i="4"/>
  <c r="E104" i="4"/>
  <c r="A105" i="4"/>
  <c r="B105" i="4"/>
  <c r="C105" i="4"/>
  <c r="D105" i="4"/>
  <c r="E105" i="4"/>
  <c r="A106" i="4"/>
  <c r="B106" i="4"/>
  <c r="C106" i="4"/>
  <c r="D106" i="4"/>
  <c r="E106" i="4"/>
  <c r="A107" i="4"/>
  <c r="B107" i="4"/>
  <c r="C107" i="4"/>
  <c r="D107" i="4"/>
  <c r="E107" i="4"/>
  <c r="A108" i="4"/>
  <c r="B108" i="4"/>
  <c r="C108" i="4"/>
  <c r="D108" i="4"/>
  <c r="E108" i="4"/>
  <c r="A109" i="4"/>
  <c r="B109" i="4"/>
  <c r="C109" i="4"/>
  <c r="D109" i="4"/>
  <c r="E109" i="4"/>
  <c r="A110" i="4"/>
  <c r="B110" i="4"/>
  <c r="C110" i="4"/>
  <c r="D110" i="4"/>
  <c r="E110" i="4"/>
  <c r="A111" i="4"/>
  <c r="B111" i="4"/>
  <c r="C111" i="4"/>
  <c r="D111" i="4"/>
  <c r="E111" i="4"/>
  <c r="A112" i="4"/>
  <c r="B112" i="4"/>
  <c r="C112" i="4"/>
  <c r="D112" i="4"/>
  <c r="E112" i="4"/>
  <c r="A113" i="4"/>
  <c r="B113" i="4"/>
  <c r="C113" i="4"/>
  <c r="D113" i="4"/>
  <c r="E113" i="4"/>
  <c r="A114" i="4"/>
  <c r="B114" i="4"/>
  <c r="C114" i="4"/>
  <c r="D114" i="4"/>
  <c r="E114" i="4"/>
  <c r="A115" i="4"/>
  <c r="B115" i="4"/>
  <c r="C115" i="4"/>
  <c r="D115" i="4"/>
  <c r="E115" i="4"/>
  <c r="A116" i="4"/>
  <c r="B116" i="4"/>
  <c r="C116" i="4"/>
  <c r="D116" i="4"/>
  <c r="E116" i="4"/>
  <c r="A117" i="4"/>
  <c r="B117" i="4"/>
  <c r="C117" i="4"/>
  <c r="D117" i="4"/>
  <c r="E117" i="4"/>
  <c r="A118" i="4"/>
  <c r="B118" i="4"/>
  <c r="C118" i="4"/>
  <c r="D118" i="4"/>
  <c r="E118" i="4"/>
  <c r="A119" i="4"/>
  <c r="B119" i="4"/>
  <c r="C119" i="4"/>
  <c r="D119" i="4"/>
  <c r="E119" i="4"/>
  <c r="A120" i="4"/>
  <c r="B120" i="4"/>
  <c r="C120" i="4"/>
  <c r="D120" i="4"/>
  <c r="E120" i="4"/>
  <c r="A121" i="4"/>
  <c r="B121" i="4"/>
  <c r="C121" i="4"/>
  <c r="D121" i="4"/>
  <c r="E121" i="4"/>
  <c r="A122" i="4"/>
  <c r="B122" i="4"/>
  <c r="C122" i="4"/>
  <c r="D122" i="4"/>
  <c r="E122" i="4"/>
  <c r="A123" i="4"/>
  <c r="B123" i="4"/>
  <c r="C123" i="4"/>
  <c r="D123" i="4"/>
  <c r="E123" i="4"/>
  <c r="A124" i="4"/>
  <c r="B124" i="4"/>
  <c r="C124" i="4"/>
  <c r="D124" i="4"/>
  <c r="E124" i="4"/>
  <c r="A125" i="4"/>
  <c r="B125" i="4"/>
  <c r="C125" i="4"/>
  <c r="D125" i="4"/>
  <c r="E125" i="4"/>
  <c r="A126" i="4"/>
  <c r="B126" i="4"/>
  <c r="C126" i="4"/>
  <c r="D126" i="4"/>
  <c r="E126" i="4"/>
  <c r="A127" i="4"/>
  <c r="B127" i="4"/>
  <c r="C127" i="4"/>
  <c r="D127" i="4"/>
  <c r="E127" i="4"/>
  <c r="A128" i="4"/>
  <c r="B128" i="4"/>
  <c r="C128" i="4"/>
  <c r="D128" i="4"/>
  <c r="E128" i="4"/>
  <c r="A129" i="4"/>
  <c r="B129" i="4"/>
  <c r="C129" i="4"/>
  <c r="D129" i="4"/>
  <c r="E129" i="4"/>
  <c r="A130" i="4"/>
  <c r="B130" i="4"/>
  <c r="C130" i="4"/>
  <c r="D130" i="4"/>
  <c r="E130" i="4"/>
  <c r="A131" i="4"/>
  <c r="B131" i="4"/>
  <c r="C131" i="4"/>
  <c r="D131" i="4"/>
  <c r="E131" i="4"/>
  <c r="A132" i="4"/>
  <c r="B132" i="4"/>
  <c r="C132" i="4"/>
  <c r="D132" i="4"/>
  <c r="E132" i="4"/>
  <c r="A133" i="4"/>
  <c r="B133" i="4"/>
  <c r="C133" i="4"/>
  <c r="D133" i="4"/>
  <c r="E133" i="4"/>
  <c r="A134" i="4"/>
  <c r="B134" i="4"/>
  <c r="C134" i="4"/>
  <c r="D134" i="4"/>
  <c r="E134" i="4"/>
  <c r="A135" i="4"/>
  <c r="B135" i="4"/>
  <c r="C135" i="4"/>
  <c r="D135" i="4"/>
  <c r="E135" i="4"/>
  <c r="A136" i="4"/>
  <c r="B136" i="4"/>
  <c r="C136" i="4"/>
  <c r="D136" i="4"/>
  <c r="E136" i="4"/>
  <c r="A137" i="4"/>
  <c r="B137" i="4"/>
  <c r="C137" i="4"/>
  <c r="D137" i="4"/>
  <c r="E137" i="4"/>
  <c r="A138" i="4"/>
  <c r="B138" i="4"/>
  <c r="C138" i="4"/>
  <c r="D138" i="4"/>
  <c r="E138" i="4"/>
  <c r="A139" i="4"/>
  <c r="B139" i="4"/>
  <c r="C139" i="4"/>
  <c r="D139" i="4"/>
  <c r="E139" i="4"/>
  <c r="A140" i="4"/>
  <c r="B140" i="4"/>
  <c r="C140" i="4"/>
  <c r="D140" i="4"/>
  <c r="E140" i="4"/>
  <c r="A141" i="4"/>
  <c r="B141" i="4"/>
  <c r="C141" i="4"/>
  <c r="D141" i="4"/>
  <c r="E141" i="4"/>
  <c r="A142" i="4"/>
  <c r="B142" i="4"/>
  <c r="C142" i="4"/>
  <c r="D142" i="4"/>
  <c r="E142" i="4"/>
  <c r="A143" i="4"/>
  <c r="B143" i="4"/>
  <c r="C143" i="4"/>
  <c r="D143" i="4"/>
  <c r="E143" i="4"/>
  <c r="A144" i="4"/>
  <c r="B144" i="4"/>
  <c r="C144" i="4"/>
  <c r="D144" i="4"/>
  <c r="E144" i="4"/>
  <c r="A145" i="4"/>
  <c r="B145" i="4"/>
  <c r="C145" i="4"/>
  <c r="D145" i="4"/>
  <c r="E145" i="4"/>
  <c r="A146" i="4"/>
  <c r="B146" i="4"/>
  <c r="C146" i="4"/>
  <c r="D146" i="4"/>
  <c r="E146" i="4"/>
  <c r="A147" i="4"/>
  <c r="B147" i="4"/>
  <c r="C147" i="4"/>
  <c r="D147" i="4"/>
  <c r="E147" i="4"/>
  <c r="A148" i="4"/>
  <c r="B148" i="4"/>
  <c r="C148" i="4"/>
  <c r="D148" i="4"/>
  <c r="E148" i="4"/>
  <c r="A149" i="4"/>
  <c r="B149" i="4"/>
  <c r="C149" i="4"/>
  <c r="D149" i="4"/>
  <c r="E149" i="4"/>
  <c r="A150" i="4"/>
  <c r="B150" i="4"/>
  <c r="C150" i="4"/>
  <c r="D150" i="4"/>
  <c r="E150" i="4"/>
  <c r="B165" i="3"/>
  <c r="F165" i="3"/>
  <c r="G165" i="3"/>
  <c r="B151" i="2"/>
  <c r="F151" i="2"/>
  <c r="G151" i="2"/>
</calcChain>
</file>

<file path=xl/sharedStrings.xml><?xml version="1.0" encoding="utf-8"?>
<sst xmlns="http://schemas.openxmlformats.org/spreadsheetml/2006/main" count="1602" uniqueCount="902">
  <si>
    <t>Kindergaten Interactive Read Aloud Kit includes the following:</t>
  </si>
  <si>
    <t>Small Teacher box (collection guide, lesson folders)</t>
  </si>
  <si>
    <t>2 Large boxes that house the text sets</t>
  </si>
  <si>
    <t>120 books, 120 lesson cards, 25 Text set cards</t>
  </si>
  <si>
    <t>Text Set Name</t>
  </si>
  <si>
    <t>Number of Books in Set</t>
  </si>
  <si>
    <t>Book Titles</t>
  </si>
  <si>
    <t>Author/Illustrator</t>
  </si>
  <si>
    <t>Genre</t>
  </si>
  <si>
    <t xml:space="preserve">Book </t>
  </si>
  <si>
    <t>Lesson Card</t>
  </si>
  <si>
    <t xml:space="preserve">Sharing Stories and Songs: Nursery Rhymes </t>
  </si>
  <si>
    <t>The Eensy Weensy Spider</t>
  </si>
  <si>
    <t>Mary Ann Hoberman</t>
  </si>
  <si>
    <t>F</t>
  </si>
  <si>
    <t>Baa Baa Black Sheep</t>
  </si>
  <si>
    <t>Iza Trapani</t>
  </si>
  <si>
    <t>I'm a Little Teapot</t>
  </si>
  <si>
    <t>It's Raining, It's Pouring</t>
  </si>
  <si>
    <t>Kin Eagle</t>
  </si>
  <si>
    <t>This is the House That Jack Built</t>
  </si>
  <si>
    <t>Pam Adams</t>
  </si>
  <si>
    <t>Learning and Playing Together: School</t>
  </si>
  <si>
    <t>The Bus is For Us</t>
  </si>
  <si>
    <t>Suzanne Bloom</t>
  </si>
  <si>
    <t>Wemberly Worried</t>
  </si>
  <si>
    <t>Kevin Henkes</t>
  </si>
  <si>
    <t>Look Out Kindergarten, Here I Come!</t>
  </si>
  <si>
    <t>Nancy Carlson</t>
  </si>
  <si>
    <t>Miss Bindergarten Gets Ready for Kindergarten</t>
  </si>
  <si>
    <t>Joseph Slate</t>
  </si>
  <si>
    <t>I Love You All Day Long</t>
  </si>
  <si>
    <t>Francesca Rusackas</t>
  </si>
  <si>
    <t>Letters at Work: The Alphabet</t>
  </si>
  <si>
    <t>Alphabet Under Construction</t>
  </si>
  <si>
    <t>Denise Fleming</t>
  </si>
  <si>
    <t>ABC I Like Me!</t>
  </si>
  <si>
    <t>NF</t>
  </si>
  <si>
    <t>B if for Bulldozer</t>
  </si>
  <si>
    <t>June Sobel</t>
  </si>
  <si>
    <t>On Market Street</t>
  </si>
  <si>
    <t>Arnold &amp; Anita Lobel</t>
  </si>
  <si>
    <t>A My Name is Alice</t>
  </si>
  <si>
    <t>Jane Bayer</t>
  </si>
  <si>
    <t>Taking Care of Each Other:Family</t>
  </si>
  <si>
    <t>Do Like Kyla</t>
  </si>
  <si>
    <t>Angela Johnson</t>
  </si>
  <si>
    <t>Don't You Feel Well, Sam?</t>
  </si>
  <si>
    <t>Amy Hest</t>
  </si>
  <si>
    <t>Jonathan and His Mommy</t>
  </si>
  <si>
    <t>Irene Smalls</t>
  </si>
  <si>
    <t>Elizabeti's Doll</t>
  </si>
  <si>
    <t>Stephanie Stuve-Bodeen</t>
  </si>
  <si>
    <t>Where are You Going, Little Mouse?</t>
  </si>
  <si>
    <t>Robert Kraus</t>
  </si>
  <si>
    <t>The Importance of Friendship</t>
  </si>
  <si>
    <t>A Visitor for Bear</t>
  </si>
  <si>
    <t>Bonny Becker</t>
  </si>
  <si>
    <t>Big Al and Shrimpy</t>
  </si>
  <si>
    <t>Andrew Clements</t>
  </si>
  <si>
    <t>I'm the Best</t>
  </si>
  <si>
    <t>Lucy Cousins</t>
  </si>
  <si>
    <t>Jessica</t>
  </si>
  <si>
    <t>Yo! Yes!</t>
  </si>
  <si>
    <t>Chris Raschka</t>
  </si>
  <si>
    <t>Noticing the Way the World Looks: Colors</t>
  </si>
  <si>
    <t>What Color is Nature?</t>
  </si>
  <si>
    <t>Stephen R. Swinburne</t>
  </si>
  <si>
    <t>Cat's Colors</t>
  </si>
  <si>
    <t>Jane Cabrera</t>
  </si>
  <si>
    <t>Red is a Dragon</t>
  </si>
  <si>
    <t>Roseanne Thong</t>
  </si>
  <si>
    <t>Dog's Colorful Day</t>
  </si>
  <si>
    <t>Emma Dodd</t>
  </si>
  <si>
    <t>Exploring Pictures: Wordless Books</t>
  </si>
  <si>
    <t>Float</t>
  </si>
  <si>
    <t>Daniel Miyares</t>
  </si>
  <si>
    <t>The Girl and the Bicycle</t>
  </si>
  <si>
    <t>Mark Pett</t>
  </si>
  <si>
    <t>The Boy and the Airplane</t>
  </si>
  <si>
    <t>The Snowman</t>
  </si>
  <si>
    <t>Raymond Briggs</t>
  </si>
  <si>
    <t>Tuesday</t>
  </si>
  <si>
    <t>David Wiesner</t>
  </si>
  <si>
    <t>Numbers at Work: Counting</t>
  </si>
  <si>
    <t>1,2,3 to the Zoo</t>
  </si>
  <si>
    <t>Eric Carle</t>
  </si>
  <si>
    <t>One Duck Stuck</t>
  </si>
  <si>
    <t>Phyllis Root</t>
  </si>
  <si>
    <t>Fish Eyes</t>
  </si>
  <si>
    <t>Lois Ehlert</t>
  </si>
  <si>
    <t>One Moose, Twenty Mice</t>
  </si>
  <si>
    <t>Clare Beaton</t>
  </si>
  <si>
    <t>The Importance of Kindness</t>
  </si>
  <si>
    <t>Lost!</t>
  </si>
  <si>
    <t>David McPhail</t>
  </si>
  <si>
    <t>Flower Garden</t>
  </si>
  <si>
    <t>Eve Bunting</t>
  </si>
  <si>
    <t>Jamaica's Find</t>
  </si>
  <si>
    <t>Juanita Havill</t>
  </si>
  <si>
    <t>The Teddy Bear</t>
  </si>
  <si>
    <t>Say Hello</t>
  </si>
  <si>
    <t>Jack and Michael Foreman</t>
  </si>
  <si>
    <t>Eric Carle: Exploring the Natural World</t>
  </si>
  <si>
    <t>From Head to Toe</t>
  </si>
  <si>
    <t>Does a Kangaroo Have a Mother, Too?</t>
  </si>
  <si>
    <t>Slowly, Slowly, Slowly, Said the Slotheric</t>
  </si>
  <si>
    <t>Have You Seen My Cat?</t>
  </si>
  <si>
    <t>The Mixed-Up Chameleon</t>
  </si>
  <si>
    <t>The Place You Call Home</t>
  </si>
  <si>
    <t>A House is a House For Me</t>
  </si>
  <si>
    <t>Houses and Homes</t>
  </si>
  <si>
    <t>Ann Morris</t>
  </si>
  <si>
    <t>Two Homes</t>
  </si>
  <si>
    <t>Claire Masurel</t>
  </si>
  <si>
    <t>The Little House</t>
  </si>
  <si>
    <t>Virginia Lee Burton</t>
  </si>
  <si>
    <t>Living and Working Together: Community</t>
  </si>
  <si>
    <t>Fireman Small</t>
  </si>
  <si>
    <t>Wong Herbert Yee</t>
  </si>
  <si>
    <t>Lola at the Library</t>
  </si>
  <si>
    <t>Anna McQuinn</t>
  </si>
  <si>
    <t>I Know a Lady</t>
  </si>
  <si>
    <t>Charlotte Zolotow</t>
  </si>
  <si>
    <t>My Steps</t>
  </si>
  <si>
    <t>Sally Derby</t>
  </si>
  <si>
    <t>Alicia's Happy Day</t>
  </si>
  <si>
    <t>Meg Starr</t>
  </si>
  <si>
    <t>Exploring Fiction and Nonfiction</t>
  </si>
  <si>
    <t>Caps for Sale</t>
  </si>
  <si>
    <t>Esphyr Slobodkina</t>
  </si>
  <si>
    <t>Hats, Hats, Hats</t>
  </si>
  <si>
    <t>Piggies</t>
  </si>
  <si>
    <t>Audrey Wood</t>
  </si>
  <si>
    <t>All Pigs Are Beautiful</t>
  </si>
  <si>
    <t>Dick King-Smith</t>
  </si>
  <si>
    <t>Good Morning, Chick</t>
  </si>
  <si>
    <t>Mirra Ginsburg</t>
  </si>
  <si>
    <t>Chickens Aren't the Only Ones</t>
  </si>
  <si>
    <t>Ruth Heller</t>
  </si>
  <si>
    <t>Having Fun With Language</t>
  </si>
  <si>
    <t>CREAK! Said the Bed</t>
  </si>
  <si>
    <t>Rattletrap Car</t>
  </si>
  <si>
    <t>Max Found Two Sticks</t>
  </si>
  <si>
    <t>Brian Pinkney</t>
  </si>
  <si>
    <t>Charlie Parker Played Be Bop</t>
  </si>
  <si>
    <t>Exploring Animal Tales</t>
  </si>
  <si>
    <t>The Little Red Hen</t>
  </si>
  <si>
    <t>Paul Galdone</t>
  </si>
  <si>
    <t>The Three Bears</t>
  </si>
  <si>
    <t>The Three Little Pigs</t>
  </si>
  <si>
    <t>Patricia Siebert</t>
  </si>
  <si>
    <t>The Three Billy Goats Gruff</t>
  </si>
  <si>
    <t>Peter Asbjornson</t>
  </si>
  <si>
    <t>Sharing Stories: Folktales</t>
  </si>
  <si>
    <t>The Gingerbread Boy</t>
  </si>
  <si>
    <t>The Elves and the Shoemaker</t>
  </si>
  <si>
    <t>The Magic Fish</t>
  </si>
  <si>
    <t>Freya Littledale</t>
  </si>
  <si>
    <t>Stone Soup</t>
  </si>
  <si>
    <t>Heather Forest</t>
  </si>
  <si>
    <t>Marcia Brown</t>
  </si>
  <si>
    <t>Sharing the Earth: Animals</t>
  </si>
  <si>
    <t>Rain</t>
  </si>
  <si>
    <t>Manya Stojic</t>
  </si>
  <si>
    <t>Actual Size</t>
  </si>
  <si>
    <t>Steve Jenkins</t>
  </si>
  <si>
    <t>Elephants Swim</t>
  </si>
  <si>
    <t>Linda Capus Riley</t>
  </si>
  <si>
    <t>Every Autumn Color Comes the Bear</t>
  </si>
  <si>
    <t>Jim Arnosky</t>
  </si>
  <si>
    <t>Lois Ehlert: Bringing Color andTexture to Life</t>
  </si>
  <si>
    <t>Snowballs</t>
  </si>
  <si>
    <t>Feathers for Lunch</t>
  </si>
  <si>
    <t>Top Cat</t>
  </si>
  <si>
    <t>Mole's Hill</t>
  </si>
  <si>
    <t>Market Day</t>
  </si>
  <si>
    <t>Learning How to Be Yourself</t>
  </si>
  <si>
    <t>The Pig in the Pond</t>
  </si>
  <si>
    <t>Martin Waddell</t>
  </si>
  <si>
    <t>Three Hens and a Peacock</t>
  </si>
  <si>
    <t>Lester L. Laminack</t>
  </si>
  <si>
    <t>Harold Finds a Voice</t>
  </si>
  <si>
    <t>Courtney Dicmas</t>
  </si>
  <si>
    <t>Ruby the Copycat</t>
  </si>
  <si>
    <t>Peggy Rathmann</t>
  </si>
  <si>
    <t>I Like Me!</t>
  </si>
  <si>
    <t>Understanding Feelings</t>
  </si>
  <si>
    <t>The Feelings Book</t>
  </si>
  <si>
    <t>Todd Parr</t>
  </si>
  <si>
    <t>Mouse Was Mad</t>
  </si>
  <si>
    <t>Linda Urban</t>
  </si>
  <si>
    <t>When Sophie Gets Angry-Really, Really Angry</t>
  </si>
  <si>
    <t>Molly Bang</t>
  </si>
  <si>
    <t>Harriet, You'll Drive Me Wild!</t>
  </si>
  <si>
    <t>Mem Fox</t>
  </si>
  <si>
    <t>Tough Boris</t>
  </si>
  <si>
    <t>Exploring Nonfiction</t>
  </si>
  <si>
    <t>Shoes, Shoes, Shoes</t>
  </si>
  <si>
    <t>Building a House</t>
  </si>
  <si>
    <t>Byron Barton</t>
  </si>
  <si>
    <t>How to Hide a Butterfly</t>
  </si>
  <si>
    <t>A Fruit is a Suitcase for Seeds</t>
  </si>
  <si>
    <t>Jean Richards</t>
  </si>
  <si>
    <t>I Love Our Earth</t>
  </si>
  <si>
    <t>Bill Martin Jr. and Michael Simpson</t>
  </si>
  <si>
    <t>Rhythm and Rhyme: Joyful Language</t>
  </si>
  <si>
    <t>The Doorbell Rang</t>
  </si>
  <si>
    <t>Pat Hutchins</t>
  </si>
  <si>
    <t>Mary Wore Her Red Dress</t>
  </si>
  <si>
    <t>Merle Peek</t>
  </si>
  <si>
    <t>Over on the Farm</t>
  </si>
  <si>
    <t>Marianne Berkes</t>
  </si>
  <si>
    <t>When it Starts to Snow</t>
  </si>
  <si>
    <t>Phillis Gershator</t>
  </si>
  <si>
    <t>Sleepy Bears</t>
  </si>
  <si>
    <t>Grace Lin: Exploring Family and Culture</t>
  </si>
  <si>
    <t>Bringing in the New Year</t>
  </si>
  <si>
    <t>Grace Lin</t>
  </si>
  <si>
    <t>Dim Sum for Everyone</t>
  </si>
  <si>
    <t>Fortune Cookie Fortunes</t>
  </si>
  <si>
    <t>The Ugly Vegetables</t>
  </si>
  <si>
    <t>Kite Flying</t>
  </si>
  <si>
    <t>Celebrating Differences</t>
  </si>
  <si>
    <t>It's Okay to Be Different</t>
  </si>
  <si>
    <t>The Story of Ferdinand</t>
  </si>
  <si>
    <t>Munro Leaf</t>
  </si>
  <si>
    <t>Leo the Late Bloomer</t>
  </si>
  <si>
    <t>The Cow That Went Oink</t>
  </si>
  <si>
    <t>Bernard Most</t>
  </si>
  <si>
    <t>Big Al</t>
  </si>
  <si>
    <t>Using Patterns: Cumulative Tales</t>
  </si>
  <si>
    <t>Hattie and the Fox</t>
  </si>
  <si>
    <t>Henny Penny</t>
  </si>
  <si>
    <t>Mr. Gumpy's Outing</t>
  </si>
  <si>
    <t>John Burningham</t>
  </si>
  <si>
    <t>My Friend Rabbit</t>
  </si>
  <si>
    <t>Eric Rohmann</t>
  </si>
  <si>
    <t>The Enormous Potato</t>
  </si>
  <si>
    <t>Aubrey Davis</t>
  </si>
  <si>
    <t>First Grade Interactive Read Aloud Kit includes the following:</t>
  </si>
  <si>
    <t>Learning and Working Together at School</t>
  </si>
  <si>
    <t>First Day Jitters</t>
  </si>
  <si>
    <t>Julie Danneberg</t>
  </si>
  <si>
    <t>Elizabeti's School</t>
  </si>
  <si>
    <t>David's Drawings</t>
  </si>
  <si>
    <t>Cathryn Falwell</t>
  </si>
  <si>
    <t>Jamaica's Blue Marker</t>
  </si>
  <si>
    <t>A Fine, Fine School</t>
  </si>
  <si>
    <t>Sharon Creech</t>
  </si>
  <si>
    <t>Having Fun with Language: Rhyming Texts</t>
  </si>
  <si>
    <t>Mrs. McNosh Hangs Up Her Wash</t>
  </si>
  <si>
    <t>Sarah Weeks</t>
  </si>
  <si>
    <t>Sitting Down to Eat</t>
  </si>
  <si>
    <t>Bill Harley</t>
  </si>
  <si>
    <t>The Day the Goose Got Loose</t>
  </si>
  <si>
    <t>Reeve Lindbergh</t>
  </si>
  <si>
    <t>The Giant Jam Sandwich</t>
  </si>
  <si>
    <t>John Vernon and Janet Burroway</t>
  </si>
  <si>
    <t>One of Each</t>
  </si>
  <si>
    <t>The Magic Rabbit</t>
  </si>
  <si>
    <t>Annette LeBlanc Cate</t>
  </si>
  <si>
    <t>Chester's Way</t>
  </si>
  <si>
    <t>Wallace's Lists</t>
  </si>
  <si>
    <t>Barbara Bottner and Gerald Kruglik</t>
  </si>
  <si>
    <t>Leon and Bob</t>
  </si>
  <si>
    <t>Simon James</t>
  </si>
  <si>
    <t>Mr. George Baker</t>
  </si>
  <si>
    <t>Taking Care of Each Other: Family</t>
  </si>
  <si>
    <t>A Birthday Basket for Tia</t>
  </si>
  <si>
    <t>Pat Mora</t>
  </si>
  <si>
    <t>Max and the Tag-along Moon</t>
  </si>
  <si>
    <t>Floyd Cooper</t>
  </si>
  <si>
    <t>When I Am Old With You</t>
  </si>
  <si>
    <t>Papa and Me</t>
  </si>
  <si>
    <t>Arthur Dorros</t>
  </si>
  <si>
    <t>The Relatives Came</t>
  </si>
  <si>
    <t>Cynthia Rylant</t>
  </si>
  <si>
    <t>Kevin Henkes: Exploring Characters</t>
  </si>
  <si>
    <t>Chrysanthemum</t>
  </si>
  <si>
    <t>Julius: The Baby of the World</t>
  </si>
  <si>
    <t>Lilly's Big Day</t>
  </si>
  <si>
    <t>Sheila Rae, The Brave</t>
  </si>
  <si>
    <t>Using Numbers: Books With Counting</t>
  </si>
  <si>
    <t>Over on a Mountain: Somewhere in the World</t>
  </si>
  <si>
    <t>Moja Means One: Swahili Counting Book</t>
  </si>
  <si>
    <t>Muriel Feelings</t>
  </si>
  <si>
    <t>Handa's Hen</t>
  </si>
  <si>
    <t>Eileen Brown</t>
  </si>
  <si>
    <t>One Leaf Rides the Wind</t>
  </si>
  <si>
    <t>Celeste Davidson Mannis</t>
  </si>
  <si>
    <t>Jake's 100th Day of School</t>
  </si>
  <si>
    <t>Lester Laminack</t>
  </si>
  <si>
    <t>Exploring Fiction and Nonficiton</t>
  </si>
  <si>
    <t>Too Many Pears!</t>
  </si>
  <si>
    <t>Jackie French</t>
  </si>
  <si>
    <t>Milk: From Cow to Carton</t>
  </si>
  <si>
    <t>Aliki</t>
  </si>
  <si>
    <t>Ice Bear: In the Steps of the Polar Bear</t>
  </si>
  <si>
    <t>Nicola Davies</t>
  </si>
  <si>
    <t>The Last Polar Bear</t>
  </si>
  <si>
    <t>Jean Craighead George</t>
  </si>
  <si>
    <t>On the Go</t>
  </si>
  <si>
    <t>Going Places</t>
  </si>
  <si>
    <t>Peter Reynolds &amp; Paul A</t>
  </si>
  <si>
    <t>Mo Willems: Having Fun with Humor</t>
  </si>
  <si>
    <t>Knuffle Bunny: A Cautionary Tale</t>
  </si>
  <si>
    <t>Mo Willems</t>
  </si>
  <si>
    <t>Knuffle Bunny Too: A Case of Mistaken Identify</t>
  </si>
  <si>
    <t>Don't Let the Pigeon Drive the Bus</t>
  </si>
  <si>
    <t>Elephants Cannot Dance</t>
  </si>
  <si>
    <t>I Am Invited to the Party!</t>
  </si>
  <si>
    <t>Be My Neighbor</t>
  </si>
  <si>
    <t>Maya Ajmera &amp; John Ivanko</t>
  </si>
  <si>
    <t>A Bus Called Heaven</t>
  </si>
  <si>
    <t>Bob Graham</t>
  </si>
  <si>
    <t>Blackout</t>
  </si>
  <si>
    <t>John Rocco</t>
  </si>
  <si>
    <t>The Night Worker</t>
  </si>
  <si>
    <t>Kate Banks</t>
  </si>
  <si>
    <t>Mama Panya's Pancakes: A Village Tale from Kenya</t>
  </si>
  <si>
    <t>Mary and Rich Chamberlin</t>
  </si>
  <si>
    <t>Jamaica Tag-Along</t>
  </si>
  <si>
    <t>Wilfrid Gordon McDonald Partridge</t>
  </si>
  <si>
    <t>Mice and Beans</t>
  </si>
  <si>
    <t>Pam Munoz Ryan</t>
  </si>
  <si>
    <t>Now One Foot, Now the Other</t>
  </si>
  <si>
    <t>Tomie DePaola</t>
  </si>
  <si>
    <t>Pet Show!</t>
  </si>
  <si>
    <t>Ezra Jack Keats</t>
  </si>
  <si>
    <t>Tools</t>
  </si>
  <si>
    <t>Water: Up, Down, and All Around</t>
  </si>
  <si>
    <t>Natalie M Rosinsky</t>
  </si>
  <si>
    <t>What if You Had Animal Teeth!?</t>
  </si>
  <si>
    <t>Sandra Markle</t>
  </si>
  <si>
    <t>Surprising Sharks</t>
  </si>
  <si>
    <t>What Do You Do When Something Wants to Eat You?</t>
  </si>
  <si>
    <t>Nonfiction: Questions and Answers</t>
  </si>
  <si>
    <t>Animals Black and White</t>
  </si>
  <si>
    <t>Phyllis Limbacher Tildes</t>
  </si>
  <si>
    <t>Best Foot Forward: Exploring Feet, Flippers, and Claws</t>
  </si>
  <si>
    <t>Ingo Arndt</t>
  </si>
  <si>
    <t>A Cool Summer Tail</t>
  </si>
  <si>
    <t>Carrie A. Pearson</t>
  </si>
  <si>
    <t>What Do You Do With a Tail Like This</t>
  </si>
  <si>
    <t>Humorous Stories</t>
  </si>
  <si>
    <t>Imogen's Antlers</t>
  </si>
  <si>
    <t>David Small</t>
  </si>
  <si>
    <t>That's Good! That's Bad!</t>
  </si>
  <si>
    <t>Margery Cuyler</t>
  </si>
  <si>
    <t>The Old Man &amp; His Door</t>
  </si>
  <si>
    <t>Gary Soto</t>
  </si>
  <si>
    <t>Dooby Dooby Doo</t>
  </si>
  <si>
    <t>Doreen Cronin &amp; Betsy Lewin</t>
  </si>
  <si>
    <t>Animals Should Definitely Not Wear Clothing</t>
  </si>
  <si>
    <t>Judi Barrett</t>
  </si>
  <si>
    <t>Nicola Davies: Exploring the Animal World</t>
  </si>
  <si>
    <t>Just Ducks!</t>
  </si>
  <si>
    <t>Bat Loves the Night</t>
  </si>
  <si>
    <t>One Tiny Turtle</t>
  </si>
  <si>
    <t>Big Blue Whale</t>
  </si>
  <si>
    <t>Journeys Near and Far</t>
  </si>
  <si>
    <t>Bailey Goes Camping</t>
  </si>
  <si>
    <t>Down the Road</t>
  </si>
  <si>
    <t>Alice Schertle</t>
  </si>
  <si>
    <t>Isla Sequel to Abuela</t>
  </si>
  <si>
    <t>Dear Juno</t>
  </si>
  <si>
    <t>Soyung Pak</t>
  </si>
  <si>
    <t>When This World Was New</t>
  </si>
  <si>
    <t>DH Figueredo</t>
  </si>
  <si>
    <t>Celebrating Diversity</t>
  </si>
  <si>
    <t>Two Eggs, Please</t>
  </si>
  <si>
    <t>Sarah Weeks &amp; Betsy Lewin</t>
  </si>
  <si>
    <t>Whoever You Are</t>
  </si>
  <si>
    <t>To Be a Kid</t>
  </si>
  <si>
    <t>My Name is Yoon</t>
  </si>
  <si>
    <t>Helen Recorvits</t>
  </si>
  <si>
    <t>The Name Jar</t>
  </si>
  <si>
    <t>Yangsook Choi</t>
  </si>
  <si>
    <t>Sharing Cultures: Folktales</t>
  </si>
  <si>
    <t>Mrs. Chicken and the Hungry Crocodile</t>
  </si>
  <si>
    <t>Won-L-dy Paye &amp; Margaret Lippert</t>
  </si>
  <si>
    <t>The Tale of Rabbit and Coyote</t>
  </si>
  <si>
    <t>Tony Johnston &amp; Tomie DePaola</t>
  </si>
  <si>
    <t>The Princess and the Pea</t>
  </si>
  <si>
    <t>Rachel Isadora</t>
  </si>
  <si>
    <t>Once a Mouse…</t>
  </si>
  <si>
    <t>Folktales: Exploring Different Versions</t>
  </si>
  <si>
    <t>The Gingerbread Man</t>
  </si>
  <si>
    <t>Eric Kimmel</t>
  </si>
  <si>
    <t>Richard Egielski</t>
  </si>
  <si>
    <t>Lucinda McQueen</t>
  </si>
  <si>
    <t>The Little Red Hen: An Old Fable</t>
  </si>
  <si>
    <t>The Three Snow Bears</t>
  </si>
  <si>
    <t>Jan Brett</t>
  </si>
  <si>
    <t>Goldilocks and the Three Bears</t>
  </si>
  <si>
    <t>Bob Graham: Exploring Everyday Life</t>
  </si>
  <si>
    <t>The Silver Button</t>
  </si>
  <si>
    <t>How to Heal a Broken Wing</t>
  </si>
  <si>
    <t>Let's Get a Pup, Said Kate</t>
  </si>
  <si>
    <t>April and Esme Tooth Fairies</t>
  </si>
  <si>
    <t>Poetic Language</t>
  </si>
  <si>
    <t>Puddles</t>
  </si>
  <si>
    <t>Jonathan London</t>
  </si>
  <si>
    <t>Mud</t>
  </si>
  <si>
    <t>Mary Lyn Ray</t>
  </si>
  <si>
    <t>All the Colors of the Earth</t>
  </si>
  <si>
    <t>Sheila Hamanaka</t>
  </si>
  <si>
    <t>Subway Ride</t>
  </si>
  <si>
    <t>Heather Lynn Miller</t>
  </si>
  <si>
    <t>Caribbean Dream</t>
  </si>
  <si>
    <t>Understanding the Natural World: Planting and Growing</t>
  </si>
  <si>
    <t>The Dandelion Seed</t>
  </si>
  <si>
    <t>Joseph Anthony</t>
  </si>
  <si>
    <t>This Year's Garden</t>
  </si>
  <si>
    <t>Jack's Garden</t>
  </si>
  <si>
    <t>Henry Cole</t>
  </si>
  <si>
    <t>Plant Packages: A Book About Seeds</t>
  </si>
  <si>
    <t>Susan Blackaby</t>
  </si>
  <si>
    <t>From Seed to Plant</t>
  </si>
  <si>
    <t>Gail Gibbons</t>
  </si>
  <si>
    <t>Using Your Imagination</t>
  </si>
  <si>
    <t>Emma Kate</t>
  </si>
  <si>
    <t>Patricia Polacco</t>
  </si>
  <si>
    <t>Can I Bring Woolly to the Library, Ms Reeder?</t>
  </si>
  <si>
    <t>Lois Grambling</t>
  </si>
  <si>
    <t>Tiger in My Soup</t>
  </si>
  <si>
    <t>Kashmira Sheth</t>
  </si>
  <si>
    <t>The Gruffalo</t>
  </si>
  <si>
    <t>Julia Donaldson</t>
  </si>
  <si>
    <t>Standing Up for Yourself!</t>
  </si>
  <si>
    <t>Bootsie Barker Bites</t>
  </si>
  <si>
    <t>Barbara Bottner</t>
  </si>
  <si>
    <t xml:space="preserve">Daisy Comes Home </t>
  </si>
  <si>
    <t>Stand Tall, Molly Lou Melon</t>
  </si>
  <si>
    <t>Patty Lovell</t>
  </si>
  <si>
    <t>King of the Playground</t>
  </si>
  <si>
    <t>Phyllis Naylor</t>
  </si>
  <si>
    <t>Amazing Grace</t>
  </si>
  <si>
    <t>Mary Hoffman</t>
  </si>
  <si>
    <t>Understanding the Natural World: Oceans</t>
  </si>
  <si>
    <t>Hello Ocean</t>
  </si>
  <si>
    <t>On Kiki's Reef</t>
  </si>
  <si>
    <t>Carol Mainor</t>
  </si>
  <si>
    <t>Sea Turtles</t>
  </si>
  <si>
    <t>Dolphin Baby!</t>
  </si>
  <si>
    <t>Rainbow Fish to the Rescue</t>
  </si>
  <si>
    <t>Marcus Pfister</t>
  </si>
  <si>
    <t>Vera B Williams: Celebrating Family and Community</t>
  </si>
  <si>
    <t>A Chair for My Mother</t>
  </si>
  <si>
    <t>Vera Williams</t>
  </si>
  <si>
    <t>Something Special for Me</t>
  </si>
  <si>
    <t>Music, Music For Everyone</t>
  </si>
  <si>
    <t>Cherries and Cherry Pits</t>
  </si>
  <si>
    <t>Second Grade Interactive Read Aloud Kit includes the following:</t>
  </si>
  <si>
    <t>Text Set &amp; Lesson Cards</t>
  </si>
  <si>
    <t>A Weekend With Wendell</t>
  </si>
  <si>
    <t>Horace and Morris but Mostly Delores</t>
  </si>
  <si>
    <t>James Howe</t>
  </si>
  <si>
    <t>This is Our House</t>
  </si>
  <si>
    <t>Michael Rosen</t>
  </si>
  <si>
    <t>First Come the Zebra</t>
  </si>
  <si>
    <t>Lynne Barasch</t>
  </si>
  <si>
    <t>The Old Woman Who Named Things</t>
  </si>
  <si>
    <t>Caring for Each Other: Family</t>
  </si>
  <si>
    <t>Pecan Pie Baby</t>
  </si>
  <si>
    <t>Jacqueline Woodson</t>
  </si>
  <si>
    <t>Super-Completely and Totally the Messiest</t>
  </si>
  <si>
    <t>Judith Viorst</t>
  </si>
  <si>
    <t>Big Red Lollipop</t>
  </si>
  <si>
    <t>Rukhsana</t>
  </si>
  <si>
    <t>Two Mrs. Gibsons</t>
  </si>
  <si>
    <t>Toyomi Igus</t>
  </si>
  <si>
    <t>The Wednesday Surprise</t>
  </si>
  <si>
    <t>Finding Your Way in a New Place</t>
  </si>
  <si>
    <t>Grandfather Counts</t>
  </si>
  <si>
    <t>Andrea Cheng</t>
  </si>
  <si>
    <t>The Have a Good Day Café</t>
  </si>
  <si>
    <t>Frances Park and Ginger</t>
  </si>
  <si>
    <t>Home at Last</t>
  </si>
  <si>
    <t>Susan Middleton Elya</t>
  </si>
  <si>
    <t>Roses for Gita</t>
  </si>
  <si>
    <t>Rachna Gilmore</t>
  </si>
  <si>
    <t>Mango, Abuela, and Me</t>
  </si>
  <si>
    <t>Meg Medina</t>
  </si>
  <si>
    <t>Memory Stories</t>
  </si>
  <si>
    <t>When I Was Young in the Mountains</t>
  </si>
  <si>
    <t xml:space="preserve">Bigmama's </t>
  </si>
  <si>
    <t>Donald Crews</t>
  </si>
  <si>
    <t>Aunt Flossie's Hats</t>
  </si>
  <si>
    <t>Elizabeth Howard</t>
  </si>
  <si>
    <t>I Love Saturdays  domingos</t>
  </si>
  <si>
    <t>Alma Flor Ada</t>
  </si>
  <si>
    <t>The Rainbow Tulip</t>
  </si>
  <si>
    <t>Tomie dePaola: Writing From Life</t>
  </si>
  <si>
    <t>The Art Lesson</t>
  </si>
  <si>
    <t>Tomie dePaola</t>
  </si>
  <si>
    <t>Nana Upstairs &amp; Nana Downstairs</t>
  </si>
  <si>
    <t>Strega Nona</t>
  </si>
  <si>
    <t>Bill and Pete</t>
  </si>
  <si>
    <t>Bill and Pete Go Down the Nile</t>
  </si>
  <si>
    <t>Exploring the Natural World: Insects</t>
  </si>
  <si>
    <t>Bugs A to Z</t>
  </si>
  <si>
    <t>Caroline Lawton</t>
  </si>
  <si>
    <t>The Bugliest Bug</t>
  </si>
  <si>
    <t>Carol Diggery Shields</t>
  </si>
  <si>
    <t>Bugs are for Lunch</t>
  </si>
  <si>
    <t>Margery Facklam</t>
  </si>
  <si>
    <t>When Lightning Comes in a Jar</t>
  </si>
  <si>
    <t>Exploring Narrative Nonfiction Texts</t>
  </si>
  <si>
    <t>Cactus Hotel</t>
  </si>
  <si>
    <t>Brenda Z Guiberson</t>
  </si>
  <si>
    <t>A Log's Life</t>
  </si>
  <si>
    <t>Wendy Pfeffer</t>
  </si>
  <si>
    <t>Salmon Stream</t>
  </si>
  <si>
    <t>Carol Reed-Jones</t>
  </si>
  <si>
    <t>Think of an Eel</t>
  </si>
  <si>
    <t>Karen Wallace</t>
  </si>
  <si>
    <t>Seymour Simon: A Scientific Eye</t>
  </si>
  <si>
    <t>Frogs</t>
  </si>
  <si>
    <t>Seymour Simon</t>
  </si>
  <si>
    <t>Dolphins</t>
  </si>
  <si>
    <t>Penguins</t>
  </si>
  <si>
    <t>Dogs</t>
  </si>
  <si>
    <t>Cats</t>
  </si>
  <si>
    <t>Finding Beauty in the World Around You</t>
  </si>
  <si>
    <t>Last Stop on Market Street</t>
  </si>
  <si>
    <t>Matt de la Pena</t>
  </si>
  <si>
    <t>Something Beautiful</t>
  </si>
  <si>
    <t>Sharon Dennis Wyeth</t>
  </si>
  <si>
    <t>The Gardener</t>
  </si>
  <si>
    <t>Sarah Stewart</t>
  </si>
  <si>
    <t>Jamaica Louise James</t>
  </si>
  <si>
    <t>Wanda's Roses</t>
  </si>
  <si>
    <t>Pat Brisson</t>
  </si>
  <si>
    <t>The Pleasure of Giving</t>
  </si>
  <si>
    <t>Sam and the Lucky Money</t>
  </si>
  <si>
    <t>Karen Chinn</t>
  </si>
  <si>
    <t>The Birthday Soup</t>
  </si>
  <si>
    <t>Loretta Lopez</t>
  </si>
  <si>
    <t>Those Shoes</t>
  </si>
  <si>
    <t>Maribeth Boelts</t>
  </si>
  <si>
    <t>My Rows and Piles of Coins</t>
  </si>
  <si>
    <t>Tolowa M Mollel</t>
  </si>
  <si>
    <t>Belioz the Bear</t>
  </si>
  <si>
    <t>Town Mouse Country Mouse</t>
  </si>
  <si>
    <t>Comet's Nine Lives</t>
  </si>
  <si>
    <t>Honey..Honey..Lion!</t>
  </si>
  <si>
    <t>Exploring Different Cultures: Folktales</t>
  </si>
  <si>
    <t>The Empty Pot</t>
  </si>
  <si>
    <t>Demi</t>
  </si>
  <si>
    <t>How Chipmunk Got His Stripes</t>
  </si>
  <si>
    <t>Joseph and James Bruchac</t>
  </si>
  <si>
    <t>The Treasure</t>
  </si>
  <si>
    <t>Uri Shulevitz</t>
  </si>
  <si>
    <t>Nine-in-One Grr! Grr!</t>
  </si>
  <si>
    <t>Cathy Spagnoli &amp; Bila Xiong</t>
  </si>
  <si>
    <t>Why the Sky is Far Away: A Nigerian Folktale</t>
  </si>
  <si>
    <t>Mary-Joan Gerson</t>
  </si>
  <si>
    <t>Exploring Trickstar Tales</t>
  </si>
  <si>
    <t>Tops and Bottoms</t>
  </si>
  <si>
    <t>Janet Stevens</t>
  </si>
  <si>
    <t>Zomo the Rabbit: A Trickster Tale From West Africa</t>
  </si>
  <si>
    <t>Gerald McDermott</t>
  </si>
  <si>
    <t>Jabuti the Tortoise: A Trickster Tale from the Amazon</t>
  </si>
  <si>
    <t>The Turtle and the Monkey</t>
  </si>
  <si>
    <t>Borreguita and the Coyote</t>
  </si>
  <si>
    <t>Verna Aardema</t>
  </si>
  <si>
    <t>Humorous Characters</t>
  </si>
  <si>
    <t>Tacky the Pengiun</t>
  </si>
  <si>
    <t>Helen Lester</t>
  </si>
  <si>
    <t>Three Cheers for Tacky</t>
  </si>
  <si>
    <t>Edward the Emu</t>
  </si>
  <si>
    <t>Sheena Knowles</t>
  </si>
  <si>
    <t>Edwina the Emu</t>
  </si>
  <si>
    <t>Miss Nelson is Missing!</t>
  </si>
  <si>
    <t>Harry Allard</t>
  </si>
  <si>
    <t>Miss Nelson is Back</t>
  </si>
  <si>
    <t>Helen Lester: Learning a Lesson</t>
  </si>
  <si>
    <t>Hooway for Wodney Wat</t>
  </si>
  <si>
    <t>Listen Buddy</t>
  </si>
  <si>
    <t>All for Me and None for All</t>
  </si>
  <si>
    <t>Princess Penelope's Parrot</t>
  </si>
  <si>
    <t>Author: A True Story</t>
  </si>
  <si>
    <t>Facing Challenges</t>
  </si>
  <si>
    <t>Courage</t>
  </si>
  <si>
    <t>Bernard Waber</t>
  </si>
  <si>
    <t>Roller Coaster</t>
  </si>
  <si>
    <t>Maria Frazee</t>
  </si>
  <si>
    <t>Mirette on the Highwire</t>
  </si>
  <si>
    <t>Emily McCully</t>
  </si>
  <si>
    <t>Suki's Kimono</t>
  </si>
  <si>
    <t>Chieri Uegaki</t>
  </si>
  <si>
    <t>Abuela's Weave</t>
  </si>
  <si>
    <t>Omar Castenada</t>
  </si>
  <si>
    <t>The Importance of Determination</t>
  </si>
  <si>
    <t>Earrings!</t>
  </si>
  <si>
    <t>Brontorina</t>
  </si>
  <si>
    <t>Brave Irene</t>
  </si>
  <si>
    <t>William Steig</t>
  </si>
  <si>
    <t>Tia Isa Wants a Car</t>
  </si>
  <si>
    <t>Galimoto</t>
  </si>
  <si>
    <t>Karen Lynn Williams</t>
  </si>
  <si>
    <t>Simple Biography</t>
  </si>
  <si>
    <t>Zora Hurston and the Chinaberry Tree</t>
  </si>
  <si>
    <t>William Miller</t>
  </si>
  <si>
    <t>Celia Cruz, Queen of Salsa</t>
  </si>
  <si>
    <t>Veronica Chambers</t>
  </si>
  <si>
    <t>Manfish: A Story of Jacques Cousteau</t>
  </si>
  <si>
    <t>Jennifer Berne</t>
  </si>
  <si>
    <t>Snowflake Bentley</t>
  </si>
  <si>
    <t>Jacqueline Briggs Martin</t>
  </si>
  <si>
    <t>The Pot that Juan Built</t>
  </si>
  <si>
    <t>Nancy Andrews-Goebel</t>
  </si>
  <si>
    <t>Gail Gibbons: Exploring the World Through Nonfiction</t>
  </si>
  <si>
    <t>Penguins!</t>
  </si>
  <si>
    <t>Giant Pandas</t>
  </si>
  <si>
    <t>The Honey Makers</t>
  </si>
  <si>
    <t>The Moon Bank</t>
  </si>
  <si>
    <t>Exploring the Natural World: The Earth</t>
  </si>
  <si>
    <t>Our Big Home: An Earth Poem</t>
  </si>
  <si>
    <t>Linda Glaser</t>
  </si>
  <si>
    <t>On Earth</t>
  </si>
  <si>
    <t>G. Brian Karas</t>
  </si>
  <si>
    <t>River Story</t>
  </si>
  <si>
    <t>Meredith Hooper</t>
  </si>
  <si>
    <t>Volcano Rising</t>
  </si>
  <si>
    <t>Elizabeth Rusch</t>
  </si>
  <si>
    <t>Tiny Creatures: The World of Microbes</t>
  </si>
  <si>
    <t>Chinatown</t>
  </si>
  <si>
    <t>William Low</t>
  </si>
  <si>
    <t>For You are a Kenyan Child</t>
  </si>
  <si>
    <t>Kelly Cunnane</t>
  </si>
  <si>
    <t>Stella Louella's Runaway Book</t>
  </si>
  <si>
    <t>Lisa Campbell Ernst</t>
  </si>
  <si>
    <t>Armando and the Blue Tarp School</t>
  </si>
  <si>
    <t>Edith Fine &amp; Judith Pinkerton</t>
  </si>
  <si>
    <t>The Library</t>
  </si>
  <si>
    <t>Exploring the Natural World: Birds</t>
  </si>
  <si>
    <t>The Barn Owls</t>
  </si>
  <si>
    <t>Tony Johnston</t>
  </si>
  <si>
    <t>White Owl, Barn Owl</t>
  </si>
  <si>
    <t>Feathers: Not Just for Flying</t>
  </si>
  <si>
    <t>Melissa Stewart</t>
  </si>
  <si>
    <t>Bird Talk: What Birds are Saying and Why</t>
  </si>
  <si>
    <t>Lita Judge</t>
  </si>
  <si>
    <t>Rainbow Cow</t>
  </si>
  <si>
    <t>Nancy Van Laan</t>
  </si>
  <si>
    <t>Amazing Places: The World of Fantasy</t>
  </si>
  <si>
    <t>Cloudy with a Chance of Meatballs</t>
  </si>
  <si>
    <t>The Secret Shortcut</t>
  </si>
  <si>
    <t>Mark Teague</t>
  </si>
  <si>
    <t>The Magic Hut</t>
  </si>
  <si>
    <t>Hey, Al</t>
  </si>
  <si>
    <t>Arthur Yorinks</t>
  </si>
  <si>
    <t>June 29-1999</t>
  </si>
  <si>
    <t>Exploring Realistic Fiction</t>
  </si>
  <si>
    <t>Big Moon Tortilla</t>
  </si>
  <si>
    <t>Joy Cowley</t>
  </si>
  <si>
    <t>No Dogs Allowed!</t>
  </si>
  <si>
    <t>Sonia Manzano</t>
  </si>
  <si>
    <t>Happy Like Soccer</t>
  </si>
  <si>
    <t>Amelia's Road</t>
  </si>
  <si>
    <t>Linda Jacobs Altman</t>
  </si>
  <si>
    <t>Steve Jenkins: Exploring the Animal World</t>
  </si>
  <si>
    <t>Never Smile at a Monkey and 17 Other Important Things to Remember</t>
  </si>
  <si>
    <t>Animals in Flight</t>
  </si>
  <si>
    <t>Steve Jenkins &amp; Page Robin</t>
  </si>
  <si>
    <t xml:space="preserve">I See a Kookaburra! </t>
  </si>
  <si>
    <t>Biggest Strongest, Fastest</t>
  </si>
  <si>
    <t>Animal Dads</t>
  </si>
  <si>
    <t>Sneed B Collard</t>
  </si>
  <si>
    <t>Third Grade Interactive Read Aloud Kit includes the following:</t>
  </si>
  <si>
    <t>Enemy Pie</t>
  </si>
  <si>
    <t>Derek Munson</t>
  </si>
  <si>
    <t>Sophie's Masterpiece: A Spider's Tale</t>
  </si>
  <si>
    <t>Eileen Spinelli</t>
  </si>
  <si>
    <t>Last Day Blues</t>
  </si>
  <si>
    <t>Under the Lemon Moon</t>
  </si>
  <si>
    <t>Edith Hope Fine</t>
  </si>
  <si>
    <t>The Can Man</t>
  </si>
  <si>
    <t>Laura Williams</t>
  </si>
  <si>
    <t>Connecting Across Generations</t>
  </si>
  <si>
    <t>In My Momma's Kitchen</t>
  </si>
  <si>
    <t>Jerdine Nolen</t>
  </si>
  <si>
    <t>Sitti's Secrets</t>
  </si>
  <si>
    <t>Naomi Shihab Nye</t>
  </si>
  <si>
    <t>Mooncakes</t>
  </si>
  <si>
    <t xml:space="preserve"> Loretta Seto</t>
  </si>
  <si>
    <t>Knots on a Counting Rope</t>
  </si>
  <si>
    <t>Bill Jr Martin &amp; John Archambault</t>
  </si>
  <si>
    <t>Storm in the Night</t>
  </si>
  <si>
    <t>Mary Stolz</t>
  </si>
  <si>
    <t>Sharing Our World: Animals</t>
  </si>
  <si>
    <t>I Love Guinea Pigs</t>
  </si>
  <si>
    <t>A Friend for Lakota</t>
  </si>
  <si>
    <t>Jim &amp; Jamie Dutcher</t>
  </si>
  <si>
    <t>Moon Bear</t>
  </si>
  <si>
    <t>Brenda Guiberson</t>
  </si>
  <si>
    <t>Ape</t>
  </si>
  <si>
    <t>Martin Jenkins</t>
  </si>
  <si>
    <t>And So They Build</t>
  </si>
  <si>
    <t>Bert Kitchen</t>
  </si>
  <si>
    <t>Exploring Memory Stories</t>
  </si>
  <si>
    <t>My Rotten Redheaded Older Brother</t>
  </si>
  <si>
    <t>The Printer</t>
  </si>
  <si>
    <t>Myron Uhlberg</t>
  </si>
  <si>
    <t>Grandma's Records</t>
  </si>
  <si>
    <t>Eric Velasquez</t>
  </si>
  <si>
    <t>Saturdays and Teacakes</t>
  </si>
  <si>
    <t>Lester Laminak</t>
  </si>
  <si>
    <t>Family Pictures</t>
  </si>
  <si>
    <t>Carmen Lomas Garza</t>
  </si>
  <si>
    <t>Meteor!</t>
  </si>
  <si>
    <t>The Keeping Quilt</t>
  </si>
  <si>
    <t>Thunder Cake</t>
  </si>
  <si>
    <t>Some Birthday!</t>
  </si>
  <si>
    <t>The Bee Tree</t>
  </si>
  <si>
    <t>Expository Nonfiction</t>
  </si>
  <si>
    <t>Hottest, Coldest, Highest, Deepest</t>
  </si>
  <si>
    <t>Tornadoes!</t>
  </si>
  <si>
    <t>Knights in Shining Armor</t>
  </si>
  <si>
    <t>A Day and Night in the Desert</t>
  </si>
  <si>
    <t>Caroline Arnold</t>
  </si>
  <si>
    <t>Bats! Strange and Wonderful</t>
  </si>
  <si>
    <t>Laurence Pringle</t>
  </si>
  <si>
    <t>Shell, Beak, Tusk: Shared Traits and the Wonders of Adaptation</t>
  </si>
  <si>
    <t>Bridget Heos</t>
  </si>
  <si>
    <t>Janell Cannon</t>
  </si>
  <si>
    <t>Stellaluna</t>
  </si>
  <si>
    <t>Jannell Cannon</t>
  </si>
  <si>
    <t>Verdi</t>
  </si>
  <si>
    <t>Crickwig</t>
  </si>
  <si>
    <t>Pinduli</t>
  </si>
  <si>
    <t>Humorous Texts</t>
  </si>
  <si>
    <t>Bedhead</t>
  </si>
  <si>
    <t>Margie Palatini</t>
  </si>
  <si>
    <t>The Perfect Pet</t>
  </si>
  <si>
    <t>The Great Fuzz Frenzy</t>
  </si>
  <si>
    <t>Those Darn Squirrels!</t>
  </si>
  <si>
    <t>Adam Rubin</t>
  </si>
  <si>
    <t>Big Bad Bubble</t>
  </si>
  <si>
    <t>Realistic Fiction</t>
  </si>
  <si>
    <t>Owl Moon</t>
  </si>
  <si>
    <t>Jane Yolen</t>
  </si>
  <si>
    <t>Sky Sisters</t>
  </si>
  <si>
    <t>Jan Bourdeau Waboose</t>
  </si>
  <si>
    <t>Tomas and the Library Lady</t>
  </si>
  <si>
    <t>Dancing in the Wings</t>
  </si>
  <si>
    <t>Debbie Allen</t>
  </si>
  <si>
    <t>Dumpling Soup</t>
  </si>
  <si>
    <t>Jama Kin Rattigan</t>
  </si>
  <si>
    <t>Honoring Traditions</t>
  </si>
  <si>
    <t xml:space="preserve">Bintou's Braids </t>
  </si>
  <si>
    <t>Sylviane Diouf</t>
  </si>
  <si>
    <t>Deep in the Sahara</t>
  </si>
  <si>
    <t>Crane Boy</t>
  </si>
  <si>
    <t>Diana Cohn</t>
  </si>
  <si>
    <t>Crouching Tiger</t>
  </si>
  <si>
    <t>Ying Chang Compestine</t>
  </si>
  <si>
    <t>Nadia's Hands</t>
  </si>
  <si>
    <t>Karen English</t>
  </si>
  <si>
    <t>Ish</t>
  </si>
  <si>
    <t>Peter Reynolds</t>
  </si>
  <si>
    <t>First Day in Grapes</t>
  </si>
  <si>
    <t>L. King Perez</t>
  </si>
  <si>
    <t>Getting' Through Thursday</t>
  </si>
  <si>
    <t>Melrose Cooper</t>
  </si>
  <si>
    <t>Chin Chiang and the Dragon's Dance</t>
  </si>
  <si>
    <t>Ian Wallace</t>
  </si>
  <si>
    <t>Goal!</t>
  </si>
  <si>
    <t>Mina Javaherbin</t>
  </si>
  <si>
    <t>The Paperboy</t>
  </si>
  <si>
    <t>Dav Pilkey</t>
  </si>
  <si>
    <t xml:space="preserve">Ruby's Wish </t>
  </si>
  <si>
    <t>Shirin Yim Bridges</t>
  </si>
  <si>
    <t>Nothing But Trouble: The Story of Althea Gibson</t>
  </si>
  <si>
    <t>Sue Stauffacher</t>
  </si>
  <si>
    <t>Soccer Star</t>
  </si>
  <si>
    <t xml:space="preserve"> Mina Javherbin</t>
  </si>
  <si>
    <t>The Patchwork Quilt</t>
  </si>
  <si>
    <t>Valerie Flournoy</t>
  </si>
  <si>
    <t>Animal Journeys</t>
  </si>
  <si>
    <t>The Peregrine's Journey: A Story of Migration</t>
  </si>
  <si>
    <t>Madeleine Dunphy</t>
  </si>
  <si>
    <t>A Mother's Journey</t>
  </si>
  <si>
    <t>North: The Amazing Story of Arctic Migration</t>
  </si>
  <si>
    <t>Nick Dowson</t>
  </si>
  <si>
    <t>Hachiko: The True Story of a Loyal Dog</t>
  </si>
  <si>
    <t>Pamela Turner</t>
  </si>
  <si>
    <t>Biography</t>
  </si>
  <si>
    <t>Nobody Owns the Sky: The Story of "Brave Bessie" Coleman</t>
  </si>
  <si>
    <t>Odd Boy Out: Young Albert Einstein</t>
  </si>
  <si>
    <t>Don Brown</t>
  </si>
  <si>
    <t>Magic Trash:  A Story of Tyree Guyton and His Art</t>
  </si>
  <si>
    <t>J.H. Shapiro</t>
  </si>
  <si>
    <t>The Tree Lady</t>
  </si>
  <si>
    <t>H. Joseph Hopkins</t>
  </si>
  <si>
    <t xml:space="preserve"> NF</t>
  </si>
  <si>
    <t>Wangari Maathai: The Woman Who Planted Millions of Trees</t>
  </si>
  <si>
    <t>Franck Prevot</t>
  </si>
  <si>
    <t>Dianna Hutts Aston and Sylvia Long</t>
  </si>
  <si>
    <t>An Egg is Quiet</t>
  </si>
  <si>
    <t>Dianna Hutts Aston</t>
  </si>
  <si>
    <t>A Seed is Sleepy</t>
  </si>
  <si>
    <t>A Butterfly is Patient</t>
  </si>
  <si>
    <t>A Rock is Lively</t>
  </si>
  <si>
    <t>The Passage of Time</t>
  </si>
  <si>
    <t>The Quilt Story</t>
  </si>
  <si>
    <t>Tony Johnston &amp; Tomie dePaola</t>
  </si>
  <si>
    <t>And Still the Turtle Watched</t>
  </si>
  <si>
    <t>Sheila MacGill-Callahan</t>
  </si>
  <si>
    <t>Our Seasons</t>
  </si>
  <si>
    <t>Grace Lin and Ranida McKneally</t>
  </si>
  <si>
    <t>The Sunsets of Miss Olivia Wiggins</t>
  </si>
  <si>
    <t>Author's Point of View</t>
  </si>
  <si>
    <t>Oil Spill!</t>
  </si>
  <si>
    <t>Melvin Berger</t>
  </si>
  <si>
    <t>What's so Bad About Gasoline?</t>
  </si>
  <si>
    <t>Anne Rockwell</t>
  </si>
  <si>
    <t>Energy Island: How One Community Harnessed the Wind and Change Their World</t>
  </si>
  <si>
    <t>Allan Drummond</t>
  </si>
  <si>
    <t>Meadowlands: A Wetlands Survival Story</t>
  </si>
  <si>
    <t>Thomas F Yezerski</t>
  </si>
  <si>
    <t>Almost Gone: The World's Rarest Animals</t>
  </si>
  <si>
    <t>Fables</t>
  </si>
  <si>
    <t>Seven Blind Mice</t>
  </si>
  <si>
    <t>Ed Young</t>
  </si>
  <si>
    <t>Jerry Pinkney</t>
  </si>
  <si>
    <t>The Grasshopper and the Ants</t>
  </si>
  <si>
    <t>The Tortoise &amp; the Hare</t>
  </si>
  <si>
    <t>The Contest Between the Sun and the Wind: An Aesop's Fable</t>
  </si>
  <si>
    <t>Folktales</t>
  </si>
  <si>
    <t>Baby Rattlesnake</t>
  </si>
  <si>
    <t>Te and Mononey Ata</t>
  </si>
  <si>
    <t>Conejito: A Folktale From Panama</t>
  </si>
  <si>
    <t>Margarte MacDonald</t>
  </si>
  <si>
    <t>Ming Lo Moves the Mountain</t>
  </si>
  <si>
    <t>Arnold Lobel</t>
  </si>
  <si>
    <t>Babushka Baba Yaga</t>
  </si>
  <si>
    <t>Martina the Beautiful Cockroach: A Cuban Folktale</t>
  </si>
  <si>
    <t>Carmen Agra Deedy</t>
  </si>
  <si>
    <t>The Boy of the Three-Year Nap</t>
  </si>
  <si>
    <t>Dianne Snyder</t>
  </si>
  <si>
    <t>Exploring Pourquoit Tales</t>
  </si>
  <si>
    <t>Why Mosquitoes Buzz in People's Ears</t>
  </si>
  <si>
    <t>Cat and Rat: The Legend of the Chinese Zodiac</t>
  </si>
  <si>
    <t>The Legend of the Lady Slipper</t>
  </si>
  <si>
    <t>Lise Lunge-Larson</t>
  </si>
  <si>
    <t>Dragonfly's Tale</t>
  </si>
  <si>
    <t>Kristina Rodanas</t>
  </si>
  <si>
    <t>Fractured Fairy Tales</t>
  </si>
  <si>
    <t>Earthquack!</t>
  </si>
  <si>
    <t>The Frog Prince, Continued</t>
  </si>
  <si>
    <t>Jon Scieszka</t>
  </si>
  <si>
    <t>Kate and the Beanstalk</t>
  </si>
  <si>
    <t>Mary Pope Osborne</t>
  </si>
  <si>
    <t>Yours Truly, Goldilocks</t>
  </si>
  <si>
    <t>With Love, the Little Red Hen</t>
  </si>
  <si>
    <t>Poetry</t>
  </si>
  <si>
    <t>Splish Splash</t>
  </si>
  <si>
    <t>Joan Graham</t>
  </si>
  <si>
    <t>Flicker Flash</t>
  </si>
  <si>
    <t>Button Up!</t>
  </si>
  <si>
    <t>Old Elm Speaks: Tree Poems</t>
  </si>
  <si>
    <t>Kristine George</t>
  </si>
  <si>
    <t>Confetti: Poems for Children</t>
  </si>
  <si>
    <t>Exploring the World: Photo Essays</t>
  </si>
  <si>
    <t>Meet the Dogs of Bedlam Farm</t>
  </si>
  <si>
    <t>John Katz</t>
  </si>
  <si>
    <t>Mongolia: Vanishing Cultures</t>
  </si>
  <si>
    <t>Jan Reynolds</t>
  </si>
  <si>
    <t>Down Under: Vanishing Cultures</t>
  </si>
  <si>
    <t>It's Our Garden: From Seeds to Harvest in a School Garden</t>
  </si>
  <si>
    <t>George Ancona</t>
  </si>
  <si>
    <t>Hybrid Texts: Fiction and Nonfiction</t>
  </si>
  <si>
    <t>Flight of the Honey Bee</t>
  </si>
  <si>
    <t>Raymond Huber</t>
  </si>
  <si>
    <t>F/NF</t>
  </si>
  <si>
    <t>Caterpillar, Caterpillar</t>
  </si>
  <si>
    <t>Vivian French</t>
  </si>
  <si>
    <t>Yucky Worms</t>
  </si>
  <si>
    <t>Python</t>
  </si>
  <si>
    <t>Christopher Cheng</t>
  </si>
  <si>
    <t>Sea Horse: The Shyest Fish in the Sea</t>
  </si>
  <si>
    <t>Chris Butterworth</t>
  </si>
  <si>
    <t>Home Place</t>
  </si>
  <si>
    <t>Crescent Dragonwagon</t>
  </si>
  <si>
    <t xml:space="preserve">Back Home </t>
  </si>
  <si>
    <t>Gloria Jean Pinkney</t>
  </si>
  <si>
    <t>A Starlit Snowfall</t>
  </si>
  <si>
    <t>Nancy Willard</t>
  </si>
  <si>
    <t>Puss in Boots</t>
  </si>
  <si>
    <t>Fourth Grade Interactive Read Aloud Kits includes the following:</t>
  </si>
  <si>
    <t>Small teacher box (collection guide, lesson folders)</t>
  </si>
  <si>
    <t>2 large boxes that house the text sets</t>
  </si>
  <si>
    <t>120 books, 120 lesson cards, 25 text set cards</t>
  </si>
  <si>
    <t>Grade</t>
  </si>
  <si>
    <t>Text Set / Title</t>
  </si>
  <si>
    <t>Author</t>
  </si>
  <si>
    <t>ISBN</t>
  </si>
  <si>
    <t>Fifth Grade Interactive Read Aloud Kit includes the following: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</si>
</sst>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-0\-000\-00000\-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1" fillId="0" borderId="0" xfId="1" applyAlignment="1">
      <alignment wrapText="1"/>
    </xf>
    <xf numFmtId="15" fontId="1" fillId="0" borderId="0" xfId="1" applyNumberFormat="1"/>
    <xf numFmtId="0" fontId="1" fillId="0" borderId="0" xfId="1" applyAlignment="1">
      <alignment horizontal="left" wrapText="1"/>
    </xf>
    <xf numFmtId="0" fontId="2" fillId="0" borderId="0" xfId="1" applyFont="1"/>
    <xf numFmtId="0" fontId="2" fillId="0" borderId="0" xfId="1" applyFont="1" applyAlignment="1">
      <alignment wrapText="1"/>
    </xf>
    <xf numFmtId="0" fontId="3" fillId="0" borderId="0" xfId="2"/>
    <xf numFmtId="0" fontId="4" fillId="0" borderId="0" xfId="2" applyFont="1" applyAlignment="1">
      <alignment horizontal="center" vertical="top"/>
    </xf>
    <xf numFmtId="0" fontId="4" fillId="0" borderId="0" xfId="2" applyFont="1" applyAlignment="1">
      <alignment vertical="top" wrapText="1"/>
    </xf>
    <xf numFmtId="164" fontId="4" fillId="0" borderId="0" xfId="2" applyNumberFormat="1" applyFont="1" applyAlignment="1">
      <alignment horizontal="center" vertical="top"/>
    </xf>
    <xf numFmtId="0" fontId="5" fillId="0" borderId="0" xfId="2" applyFont="1" applyAlignment="1">
      <alignment horizontal="center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center" wrapText="1"/>
    </xf>
    <xf numFmtId="0" fontId="5" fillId="0" borderId="0" xfId="2" applyFont="1" applyAlignment="1">
      <alignment horizontal="center" vertical="top"/>
    </xf>
    <xf numFmtId="0" fontId="6" fillId="0" borderId="0" xfId="2" applyFont="1" applyAlignment="1">
      <alignment vertical="top"/>
    </xf>
    <xf numFmtId="0" fontId="5" fillId="0" borderId="0" xfId="2" applyFont="1" applyAlignment="1">
      <alignment vertical="top" wrapText="1"/>
    </xf>
    <xf numFmtId="0" fontId="6" fillId="0" borderId="0" xfId="2" applyFont="1" applyAlignment="1">
      <alignment vertical="top"/>
    </xf>
  </cellXfs>
  <cellStyles count="3">
    <cellStyle name="Normal" xfId="0" builtinId="0"/>
    <cellStyle name="Normal 2" xfId="1" xr:uid="{EE0E15C7-0BAA-4251-ADD6-017DA74BA5B1}"/>
    <cellStyle name="Normal 2 2" xfId="2" xr:uid="{989CBF09-9064-4072-AA22-6EE55C7659A4}"/>
  </cellStyles>
  <dxfs count="6">
    <dxf>
      <font>
        <b/>
        <color rgb="FF6D9EEB"/>
      </font>
      <fill>
        <patternFill patternType="none"/>
      </fill>
    </dxf>
    <dxf>
      <font>
        <b/>
        <color rgb="FF1155CC"/>
      </font>
      <fill>
        <patternFill patternType="none"/>
      </fill>
    </dxf>
    <dxf>
      <font>
        <b/>
        <color rgb="FF1155CC"/>
      </font>
      <fill>
        <patternFill patternType="none"/>
      </fill>
    </dxf>
    <dxf>
      <font>
        <b/>
        <color rgb="FF6D9EEB"/>
      </font>
      <fill>
        <patternFill patternType="none"/>
      </fill>
    </dxf>
    <dxf>
      <font>
        <b/>
        <color rgb="FF1155CC"/>
      </font>
      <fill>
        <patternFill patternType="none"/>
      </fill>
    </dxf>
    <dxf>
      <font>
        <b/>
        <color rgb="FF1155CC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74486-68FB-4D99-BBEE-747B9A0039B2}">
  <sheetPr>
    <tabColor rgb="FFFF0000"/>
  </sheetPr>
  <dimension ref="A1:G159"/>
  <sheetViews>
    <sheetView workbookViewId="0">
      <selection activeCell="H5" sqref="H5:I5"/>
    </sheetView>
  </sheetViews>
  <sheetFormatPr defaultColWidth="9.109375" defaultRowHeight="14.4" x14ac:dyDescent="0.3"/>
  <cols>
    <col min="1" max="1" width="27" style="1" customWidth="1"/>
    <col min="2" max="2" width="8.44140625" style="1" customWidth="1"/>
    <col min="3" max="3" width="32" style="1" customWidth="1"/>
    <col min="4" max="4" width="21" style="1" customWidth="1"/>
    <col min="5" max="5" width="9.109375" style="1"/>
    <col min="6" max="6" width="8.44140625" style="1" customWidth="1"/>
    <col min="7" max="7" width="9.109375" style="1"/>
    <col min="8" max="8" width="15.33203125" style="1" customWidth="1"/>
    <col min="9" max="16384" width="9.109375" style="1"/>
  </cols>
  <sheetData>
    <row r="1" spans="1:7" x14ac:dyDescent="0.3">
      <c r="A1" s="1" t="s">
        <v>0</v>
      </c>
    </row>
    <row r="2" spans="1:7" x14ac:dyDescent="0.3">
      <c r="A2" s="1" t="s">
        <v>1</v>
      </c>
    </row>
    <row r="3" spans="1:7" x14ac:dyDescent="0.3">
      <c r="A3" s="1" t="s">
        <v>2</v>
      </c>
    </row>
    <row r="4" spans="1:7" x14ac:dyDescent="0.3">
      <c r="A4" s="1" t="s">
        <v>3</v>
      </c>
    </row>
    <row r="5" spans="1:7" ht="43.2" x14ac:dyDescent="0.3">
      <c r="A5" s="6" t="s">
        <v>4</v>
      </c>
      <c r="B5" s="7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</row>
    <row r="6" spans="1:7" ht="28.8" x14ac:dyDescent="0.3">
      <c r="A6" s="3" t="s">
        <v>11</v>
      </c>
      <c r="B6" s="5">
        <v>5</v>
      </c>
      <c r="F6" s="2"/>
      <c r="G6" s="2">
        <v>1</v>
      </c>
    </row>
    <row r="7" spans="1:7" x14ac:dyDescent="0.3">
      <c r="B7" s="2"/>
      <c r="F7" s="2"/>
      <c r="G7" s="2"/>
    </row>
    <row r="8" spans="1:7" x14ac:dyDescent="0.3">
      <c r="B8" s="2"/>
      <c r="C8" s="1" t="s">
        <v>12</v>
      </c>
      <c r="D8" s="1" t="s">
        <v>13</v>
      </c>
      <c r="E8" s="1" t="s">
        <v>14</v>
      </c>
      <c r="F8" s="2">
        <v>1</v>
      </c>
      <c r="G8" s="2"/>
    </row>
    <row r="9" spans="1:7" x14ac:dyDescent="0.3">
      <c r="B9" s="2"/>
      <c r="C9" s="1" t="s">
        <v>15</v>
      </c>
      <c r="D9" s="1" t="s">
        <v>16</v>
      </c>
      <c r="E9" s="1" t="s">
        <v>14</v>
      </c>
      <c r="F9" s="2">
        <v>1</v>
      </c>
      <c r="G9" s="2"/>
    </row>
    <row r="10" spans="1:7" x14ac:dyDescent="0.3">
      <c r="B10" s="2"/>
      <c r="C10" s="1" t="s">
        <v>17</v>
      </c>
      <c r="D10" s="1" t="s">
        <v>16</v>
      </c>
      <c r="E10" s="1" t="s">
        <v>14</v>
      </c>
      <c r="F10" s="2">
        <v>1</v>
      </c>
      <c r="G10" s="2"/>
    </row>
    <row r="11" spans="1:7" x14ac:dyDescent="0.3">
      <c r="B11" s="2"/>
      <c r="C11" s="1" t="s">
        <v>18</v>
      </c>
      <c r="D11" s="1" t="s">
        <v>19</v>
      </c>
      <c r="E11" s="1" t="s">
        <v>14</v>
      </c>
      <c r="F11" s="2">
        <v>1</v>
      </c>
      <c r="G11" s="2"/>
    </row>
    <row r="12" spans="1:7" x14ac:dyDescent="0.3">
      <c r="B12" s="2"/>
      <c r="C12" s="1" t="s">
        <v>20</v>
      </c>
      <c r="D12" s="1" t="s">
        <v>21</v>
      </c>
      <c r="E12" s="1" t="s">
        <v>14</v>
      </c>
      <c r="F12" s="2">
        <v>1</v>
      </c>
      <c r="G12" s="2"/>
    </row>
    <row r="13" spans="1:7" ht="28.8" x14ac:dyDescent="0.3">
      <c r="A13" s="3" t="s">
        <v>22</v>
      </c>
      <c r="B13" s="2">
        <v>5</v>
      </c>
      <c r="F13" s="2"/>
      <c r="G13" s="2">
        <v>1</v>
      </c>
    </row>
    <row r="14" spans="1:7" x14ac:dyDescent="0.3">
      <c r="B14" s="2"/>
      <c r="C14" s="1" t="s">
        <v>23</v>
      </c>
      <c r="D14" s="1" t="s">
        <v>24</v>
      </c>
      <c r="E14" s="1" t="s">
        <v>14</v>
      </c>
      <c r="F14" s="2">
        <v>1</v>
      </c>
      <c r="G14" s="2"/>
    </row>
    <row r="15" spans="1:7" x14ac:dyDescent="0.3">
      <c r="B15" s="2"/>
      <c r="C15" s="1" t="s">
        <v>25</v>
      </c>
      <c r="D15" s="1" t="s">
        <v>26</v>
      </c>
      <c r="E15" s="1" t="s">
        <v>14</v>
      </c>
      <c r="F15" s="2">
        <v>1</v>
      </c>
      <c r="G15" s="2"/>
    </row>
    <row r="16" spans="1:7" x14ac:dyDescent="0.3">
      <c r="B16" s="2"/>
      <c r="C16" s="3" t="s">
        <v>27</v>
      </c>
      <c r="D16" s="1" t="s">
        <v>28</v>
      </c>
      <c r="E16" s="1" t="s">
        <v>14</v>
      </c>
      <c r="F16" s="2">
        <v>1</v>
      </c>
      <c r="G16" s="2"/>
    </row>
    <row r="17" spans="1:7" ht="28.8" x14ac:dyDescent="0.3">
      <c r="B17" s="2"/>
      <c r="C17" s="3" t="s">
        <v>29</v>
      </c>
      <c r="D17" s="1" t="s">
        <v>30</v>
      </c>
      <c r="E17" s="1" t="s">
        <v>14</v>
      </c>
      <c r="F17" s="2">
        <v>1</v>
      </c>
      <c r="G17" s="2"/>
    </row>
    <row r="18" spans="1:7" x14ac:dyDescent="0.3">
      <c r="B18" s="2"/>
      <c r="C18" s="1" t="s">
        <v>31</v>
      </c>
      <c r="D18" s="1" t="s">
        <v>32</v>
      </c>
      <c r="E18" s="1" t="s">
        <v>14</v>
      </c>
      <c r="F18" s="2">
        <v>1</v>
      </c>
      <c r="G18" s="2"/>
    </row>
    <row r="19" spans="1:7" x14ac:dyDescent="0.3">
      <c r="A19" s="3" t="s">
        <v>33</v>
      </c>
      <c r="B19" s="2">
        <v>5</v>
      </c>
      <c r="F19" s="2"/>
      <c r="G19" s="2">
        <v>1</v>
      </c>
    </row>
    <row r="20" spans="1:7" x14ac:dyDescent="0.3">
      <c r="B20" s="2"/>
      <c r="C20" s="1" t="s">
        <v>34</v>
      </c>
      <c r="D20" s="1" t="s">
        <v>35</v>
      </c>
      <c r="E20" s="1" t="s">
        <v>14</v>
      </c>
      <c r="F20" s="2">
        <v>1</v>
      </c>
      <c r="G20" s="2"/>
    </row>
    <row r="21" spans="1:7" x14ac:dyDescent="0.3">
      <c r="B21" s="2"/>
      <c r="C21" s="1" t="s">
        <v>36</v>
      </c>
      <c r="D21" s="1" t="s">
        <v>28</v>
      </c>
      <c r="E21" s="1" t="s">
        <v>37</v>
      </c>
      <c r="F21" s="2">
        <v>1</v>
      </c>
      <c r="G21" s="2"/>
    </row>
    <row r="22" spans="1:7" x14ac:dyDescent="0.3">
      <c r="B22" s="2"/>
      <c r="C22" s="1" t="s">
        <v>38</v>
      </c>
      <c r="D22" s="1" t="s">
        <v>39</v>
      </c>
      <c r="E22" s="1" t="s">
        <v>14</v>
      </c>
      <c r="F22" s="2">
        <v>1</v>
      </c>
      <c r="G22" s="2"/>
    </row>
    <row r="23" spans="1:7" x14ac:dyDescent="0.3">
      <c r="B23" s="2"/>
      <c r="C23" s="1" t="s">
        <v>40</v>
      </c>
      <c r="D23" s="1" t="s">
        <v>41</v>
      </c>
      <c r="E23" s="1" t="s">
        <v>14</v>
      </c>
      <c r="F23" s="2">
        <v>1</v>
      </c>
      <c r="G23" s="2"/>
    </row>
    <row r="24" spans="1:7" x14ac:dyDescent="0.3">
      <c r="B24" s="2"/>
      <c r="C24" s="1" t="s">
        <v>42</v>
      </c>
      <c r="D24" s="1" t="s">
        <v>43</v>
      </c>
      <c r="E24" s="1" t="s">
        <v>14</v>
      </c>
      <c r="F24" s="2">
        <v>1</v>
      </c>
      <c r="G24" s="2"/>
    </row>
    <row r="25" spans="1:7" x14ac:dyDescent="0.3">
      <c r="B25" s="2"/>
      <c r="F25" s="2"/>
      <c r="G25" s="2"/>
    </row>
    <row r="26" spans="1:7" x14ac:dyDescent="0.3">
      <c r="B26" s="2"/>
      <c r="F26" s="2"/>
      <c r="G26" s="2"/>
    </row>
    <row r="27" spans="1:7" x14ac:dyDescent="0.3">
      <c r="B27" s="2"/>
      <c r="F27" s="2"/>
      <c r="G27" s="2"/>
    </row>
    <row r="28" spans="1:7" ht="28.8" x14ac:dyDescent="0.3">
      <c r="A28" s="3" t="s">
        <v>44</v>
      </c>
      <c r="B28" s="2">
        <v>5</v>
      </c>
      <c r="F28" s="2"/>
      <c r="G28" s="2">
        <v>1</v>
      </c>
    </row>
    <row r="29" spans="1:7" x14ac:dyDescent="0.3">
      <c r="B29" s="2"/>
      <c r="C29" s="1" t="s">
        <v>45</v>
      </c>
      <c r="D29" s="1" t="s">
        <v>46</v>
      </c>
      <c r="E29" s="1" t="s">
        <v>14</v>
      </c>
      <c r="F29" s="2">
        <v>1</v>
      </c>
      <c r="G29" s="2"/>
    </row>
    <row r="30" spans="1:7" x14ac:dyDescent="0.3">
      <c r="B30" s="2"/>
      <c r="C30" s="1" t="s">
        <v>47</v>
      </c>
      <c r="D30" s="1" t="s">
        <v>48</v>
      </c>
      <c r="E30" s="1" t="s">
        <v>14</v>
      </c>
      <c r="F30" s="2">
        <v>1</v>
      </c>
      <c r="G30" s="2"/>
    </row>
    <row r="31" spans="1:7" x14ac:dyDescent="0.3">
      <c r="B31" s="2"/>
      <c r="C31" s="1" t="s">
        <v>49</v>
      </c>
      <c r="D31" s="1" t="s">
        <v>50</v>
      </c>
      <c r="E31" s="1" t="s">
        <v>14</v>
      </c>
      <c r="F31" s="2">
        <v>1</v>
      </c>
      <c r="G31" s="2"/>
    </row>
    <row r="32" spans="1:7" x14ac:dyDescent="0.3">
      <c r="B32" s="2"/>
      <c r="C32" s="1" t="s">
        <v>51</v>
      </c>
      <c r="D32" s="1" t="s">
        <v>52</v>
      </c>
      <c r="E32" s="1" t="s">
        <v>14</v>
      </c>
      <c r="F32" s="2">
        <v>1</v>
      </c>
      <c r="G32" s="2"/>
    </row>
    <row r="33" spans="1:7" x14ac:dyDescent="0.3">
      <c r="B33" s="2"/>
      <c r="C33" s="1" t="s">
        <v>53</v>
      </c>
      <c r="D33" s="1" t="s">
        <v>54</v>
      </c>
      <c r="E33" s="1" t="s">
        <v>14</v>
      </c>
      <c r="F33" s="2">
        <v>1</v>
      </c>
      <c r="G33" s="2"/>
    </row>
    <row r="34" spans="1:7" x14ac:dyDescent="0.3">
      <c r="A34" s="3" t="s">
        <v>55</v>
      </c>
      <c r="B34" s="2">
        <v>5</v>
      </c>
      <c r="F34" s="2"/>
      <c r="G34" s="2">
        <v>1</v>
      </c>
    </row>
    <row r="35" spans="1:7" x14ac:dyDescent="0.3">
      <c r="B35" s="2"/>
      <c r="C35" s="1" t="s">
        <v>56</v>
      </c>
      <c r="D35" s="1" t="s">
        <v>57</v>
      </c>
      <c r="E35" s="1" t="s">
        <v>14</v>
      </c>
      <c r="F35" s="2">
        <v>1</v>
      </c>
      <c r="G35" s="2"/>
    </row>
    <row r="36" spans="1:7" x14ac:dyDescent="0.3">
      <c r="B36" s="2"/>
      <c r="C36" s="1" t="s">
        <v>58</v>
      </c>
      <c r="D36" s="1" t="s">
        <v>59</v>
      </c>
      <c r="E36" s="1" t="s">
        <v>14</v>
      </c>
      <c r="F36" s="2">
        <v>1</v>
      </c>
      <c r="G36" s="2"/>
    </row>
    <row r="37" spans="1:7" x14ac:dyDescent="0.3">
      <c r="B37" s="2"/>
      <c r="C37" s="1" t="s">
        <v>60</v>
      </c>
      <c r="D37" s="1" t="s">
        <v>61</v>
      </c>
      <c r="E37" s="1" t="s">
        <v>14</v>
      </c>
      <c r="F37" s="2">
        <v>1</v>
      </c>
      <c r="G37" s="2"/>
    </row>
    <row r="38" spans="1:7" x14ac:dyDescent="0.3">
      <c r="B38" s="2"/>
      <c r="C38" s="1" t="s">
        <v>62</v>
      </c>
      <c r="D38" s="1" t="s">
        <v>26</v>
      </c>
      <c r="E38" s="1" t="s">
        <v>14</v>
      </c>
      <c r="F38" s="2">
        <v>1</v>
      </c>
      <c r="G38" s="2"/>
    </row>
    <row r="39" spans="1:7" x14ac:dyDescent="0.3">
      <c r="B39" s="2"/>
      <c r="C39" s="1" t="s">
        <v>63</v>
      </c>
      <c r="D39" s="1" t="s">
        <v>64</v>
      </c>
      <c r="E39" s="1" t="s">
        <v>14</v>
      </c>
      <c r="F39" s="2">
        <v>1</v>
      </c>
      <c r="G39" s="2"/>
    </row>
    <row r="40" spans="1:7" ht="28.8" x14ac:dyDescent="0.3">
      <c r="A40" s="3" t="s">
        <v>65</v>
      </c>
      <c r="B40" s="2">
        <v>4</v>
      </c>
      <c r="F40" s="2"/>
      <c r="G40" s="2">
        <v>1</v>
      </c>
    </row>
    <row r="41" spans="1:7" x14ac:dyDescent="0.3">
      <c r="B41" s="2"/>
      <c r="C41" s="1" t="s">
        <v>66</v>
      </c>
      <c r="D41" s="1" t="s">
        <v>67</v>
      </c>
      <c r="E41" s="1" t="s">
        <v>37</v>
      </c>
      <c r="F41" s="2">
        <v>1</v>
      </c>
      <c r="G41" s="2"/>
    </row>
    <row r="42" spans="1:7" x14ac:dyDescent="0.3">
      <c r="B42" s="2"/>
      <c r="C42" s="1" t="s">
        <v>68</v>
      </c>
      <c r="D42" s="1" t="s">
        <v>69</v>
      </c>
      <c r="E42" s="1" t="s">
        <v>14</v>
      </c>
      <c r="F42" s="2">
        <v>1</v>
      </c>
      <c r="G42" s="2"/>
    </row>
    <row r="43" spans="1:7" x14ac:dyDescent="0.3">
      <c r="B43" s="2"/>
      <c r="C43" s="1" t="s">
        <v>70</v>
      </c>
      <c r="D43" s="1" t="s">
        <v>71</v>
      </c>
      <c r="E43" s="1" t="s">
        <v>14</v>
      </c>
      <c r="F43" s="2">
        <v>1</v>
      </c>
      <c r="G43" s="2"/>
    </row>
    <row r="44" spans="1:7" x14ac:dyDescent="0.3">
      <c r="B44" s="2"/>
      <c r="C44" s="1" t="s">
        <v>72</v>
      </c>
      <c r="D44" s="1" t="s">
        <v>73</v>
      </c>
      <c r="E44" s="1" t="s">
        <v>14</v>
      </c>
      <c r="F44" s="2">
        <v>1</v>
      </c>
      <c r="G44" s="2"/>
    </row>
    <row r="45" spans="1:7" ht="28.8" x14ac:dyDescent="0.3">
      <c r="A45" s="3" t="s">
        <v>74</v>
      </c>
      <c r="B45" s="2">
        <v>5</v>
      </c>
      <c r="F45" s="2"/>
      <c r="G45" s="2">
        <v>1</v>
      </c>
    </row>
    <row r="46" spans="1:7" x14ac:dyDescent="0.3">
      <c r="B46" s="2"/>
      <c r="C46" s="1" t="s">
        <v>75</v>
      </c>
      <c r="D46" s="1" t="s">
        <v>76</v>
      </c>
      <c r="E46" s="1" t="s">
        <v>14</v>
      </c>
      <c r="F46" s="2">
        <v>1</v>
      </c>
      <c r="G46" s="2"/>
    </row>
    <row r="47" spans="1:7" x14ac:dyDescent="0.3">
      <c r="B47" s="2"/>
      <c r="C47" s="1" t="s">
        <v>77</v>
      </c>
      <c r="D47" s="1" t="s">
        <v>78</v>
      </c>
      <c r="E47" s="1" t="s">
        <v>14</v>
      </c>
      <c r="F47" s="2">
        <v>1</v>
      </c>
      <c r="G47" s="2"/>
    </row>
    <row r="48" spans="1:7" x14ac:dyDescent="0.3">
      <c r="B48" s="2"/>
      <c r="C48" s="1" t="s">
        <v>79</v>
      </c>
      <c r="D48" s="1" t="s">
        <v>78</v>
      </c>
      <c r="E48" s="1" t="s">
        <v>14</v>
      </c>
      <c r="F48" s="2">
        <v>1</v>
      </c>
      <c r="G48" s="2"/>
    </row>
    <row r="49" spans="1:7" x14ac:dyDescent="0.3">
      <c r="B49" s="2"/>
      <c r="C49" s="1" t="s">
        <v>80</v>
      </c>
      <c r="D49" s="1" t="s">
        <v>81</v>
      </c>
      <c r="E49" s="1" t="s">
        <v>14</v>
      </c>
      <c r="F49" s="2">
        <v>1</v>
      </c>
      <c r="G49" s="2"/>
    </row>
    <row r="50" spans="1:7" x14ac:dyDescent="0.3">
      <c r="B50" s="2"/>
      <c r="C50" s="1" t="s">
        <v>82</v>
      </c>
      <c r="D50" s="1" t="s">
        <v>83</v>
      </c>
      <c r="E50" s="1" t="s">
        <v>14</v>
      </c>
      <c r="F50" s="2">
        <v>1</v>
      </c>
      <c r="G50" s="2"/>
    </row>
    <row r="51" spans="1:7" x14ac:dyDescent="0.3">
      <c r="A51" s="3" t="s">
        <v>84</v>
      </c>
      <c r="B51" s="2">
        <v>4</v>
      </c>
      <c r="F51" s="2"/>
      <c r="G51" s="2">
        <v>1</v>
      </c>
    </row>
    <row r="52" spans="1:7" x14ac:dyDescent="0.3">
      <c r="B52" s="2"/>
      <c r="C52" s="1" t="s">
        <v>85</v>
      </c>
      <c r="D52" s="1" t="s">
        <v>86</v>
      </c>
      <c r="E52" s="1" t="s">
        <v>37</v>
      </c>
      <c r="F52" s="2">
        <v>1</v>
      </c>
      <c r="G52" s="2"/>
    </row>
    <row r="53" spans="1:7" x14ac:dyDescent="0.3">
      <c r="B53" s="2"/>
      <c r="C53" s="1" t="s">
        <v>87</v>
      </c>
      <c r="D53" s="1" t="s">
        <v>88</v>
      </c>
      <c r="E53" s="1" t="s">
        <v>14</v>
      </c>
      <c r="F53" s="2">
        <v>1</v>
      </c>
      <c r="G53" s="2"/>
    </row>
    <row r="54" spans="1:7" x14ac:dyDescent="0.3">
      <c r="B54" s="2"/>
      <c r="C54" s="1" t="s">
        <v>89</v>
      </c>
      <c r="D54" s="1" t="s">
        <v>90</v>
      </c>
      <c r="E54" s="1" t="s">
        <v>14</v>
      </c>
      <c r="F54" s="2">
        <v>1</v>
      </c>
      <c r="G54" s="2"/>
    </row>
    <row r="55" spans="1:7" x14ac:dyDescent="0.3">
      <c r="B55" s="2"/>
      <c r="C55" s="1" t="s">
        <v>91</v>
      </c>
      <c r="D55" s="1" t="s">
        <v>92</v>
      </c>
      <c r="E55" s="1" t="s">
        <v>14</v>
      </c>
      <c r="F55" s="2">
        <v>1</v>
      </c>
      <c r="G55" s="2"/>
    </row>
    <row r="56" spans="1:7" x14ac:dyDescent="0.3">
      <c r="B56" s="2"/>
      <c r="F56" s="2"/>
      <c r="G56" s="2"/>
    </row>
    <row r="57" spans="1:7" x14ac:dyDescent="0.3">
      <c r="B57" s="2"/>
      <c r="F57" s="2"/>
      <c r="G57" s="2"/>
    </row>
    <row r="58" spans="1:7" x14ac:dyDescent="0.3">
      <c r="A58" s="1" t="s">
        <v>93</v>
      </c>
      <c r="B58" s="2">
        <v>5</v>
      </c>
      <c r="C58" s="1" t="s">
        <v>94</v>
      </c>
      <c r="D58" s="1" t="s">
        <v>95</v>
      </c>
      <c r="E58" s="1" t="s">
        <v>14</v>
      </c>
      <c r="F58" s="2">
        <v>1</v>
      </c>
      <c r="G58" s="2">
        <v>1</v>
      </c>
    </row>
    <row r="59" spans="1:7" x14ac:dyDescent="0.3">
      <c r="B59" s="2"/>
      <c r="C59" s="1" t="s">
        <v>96</v>
      </c>
      <c r="D59" s="1" t="s">
        <v>97</v>
      </c>
      <c r="E59" s="1" t="s">
        <v>14</v>
      </c>
      <c r="F59" s="2">
        <v>1</v>
      </c>
      <c r="G59" s="2"/>
    </row>
    <row r="60" spans="1:7" x14ac:dyDescent="0.3">
      <c r="B60" s="2"/>
      <c r="C60" s="1" t="s">
        <v>98</v>
      </c>
      <c r="D60" s="1" t="s">
        <v>99</v>
      </c>
      <c r="E60" s="1" t="s">
        <v>14</v>
      </c>
      <c r="F60" s="2">
        <v>1</v>
      </c>
      <c r="G60" s="2"/>
    </row>
    <row r="61" spans="1:7" x14ac:dyDescent="0.3">
      <c r="B61" s="2"/>
      <c r="C61" s="1" t="s">
        <v>100</v>
      </c>
      <c r="D61" s="1" t="s">
        <v>95</v>
      </c>
      <c r="E61" s="1" t="s">
        <v>14</v>
      </c>
      <c r="F61" s="2">
        <v>1</v>
      </c>
      <c r="G61" s="2"/>
    </row>
    <row r="62" spans="1:7" x14ac:dyDescent="0.3">
      <c r="B62" s="2"/>
      <c r="C62" s="1" t="s">
        <v>101</v>
      </c>
      <c r="D62" s="1" t="s">
        <v>102</v>
      </c>
      <c r="E62" s="1" t="s">
        <v>14</v>
      </c>
      <c r="F62" s="2">
        <v>1</v>
      </c>
      <c r="G62" s="2"/>
    </row>
    <row r="63" spans="1:7" ht="28.8" x14ac:dyDescent="0.3">
      <c r="A63" s="3" t="s">
        <v>103</v>
      </c>
      <c r="B63" s="2">
        <v>5</v>
      </c>
      <c r="F63" s="2"/>
      <c r="G63" s="2">
        <v>1</v>
      </c>
    </row>
    <row r="64" spans="1:7" x14ac:dyDescent="0.3">
      <c r="B64" s="2"/>
      <c r="C64" s="1" t="s">
        <v>104</v>
      </c>
      <c r="D64" s="1" t="s">
        <v>86</v>
      </c>
      <c r="E64" s="1" t="s">
        <v>37</v>
      </c>
      <c r="F64" s="2">
        <v>1</v>
      </c>
      <c r="G64" s="2"/>
    </row>
    <row r="65" spans="1:7" x14ac:dyDescent="0.3">
      <c r="B65" s="2"/>
      <c r="C65" s="1" t="s">
        <v>105</v>
      </c>
      <c r="D65" s="1" t="s">
        <v>86</v>
      </c>
      <c r="E65" s="1" t="s">
        <v>37</v>
      </c>
      <c r="F65" s="2">
        <v>1</v>
      </c>
      <c r="G65" s="2"/>
    </row>
    <row r="66" spans="1:7" x14ac:dyDescent="0.3">
      <c r="B66" s="2"/>
      <c r="C66" s="1" t="s">
        <v>106</v>
      </c>
      <c r="D66" s="1" t="s">
        <v>86</v>
      </c>
      <c r="E66" s="1" t="s">
        <v>14</v>
      </c>
      <c r="F66" s="2">
        <v>1</v>
      </c>
      <c r="G66" s="2"/>
    </row>
    <row r="67" spans="1:7" x14ac:dyDescent="0.3">
      <c r="B67" s="2"/>
      <c r="C67" s="1" t="s">
        <v>107</v>
      </c>
      <c r="D67" s="1" t="s">
        <v>86</v>
      </c>
      <c r="E67" s="1" t="s">
        <v>14</v>
      </c>
      <c r="F67" s="2">
        <v>1</v>
      </c>
      <c r="G67" s="2"/>
    </row>
    <row r="68" spans="1:7" x14ac:dyDescent="0.3">
      <c r="B68" s="2"/>
      <c r="C68" s="1" t="s">
        <v>108</v>
      </c>
      <c r="D68" s="1" t="s">
        <v>86</v>
      </c>
      <c r="E68" s="1" t="s">
        <v>14</v>
      </c>
      <c r="F68" s="2">
        <v>1</v>
      </c>
      <c r="G68" s="2"/>
    </row>
    <row r="69" spans="1:7" x14ac:dyDescent="0.3">
      <c r="A69" s="1" t="s">
        <v>109</v>
      </c>
      <c r="B69" s="2">
        <v>4</v>
      </c>
      <c r="F69" s="2"/>
      <c r="G69" s="2">
        <v>1</v>
      </c>
    </row>
    <row r="70" spans="1:7" x14ac:dyDescent="0.3">
      <c r="B70" s="2"/>
      <c r="C70" s="1" t="s">
        <v>110</v>
      </c>
      <c r="D70" s="1" t="s">
        <v>13</v>
      </c>
      <c r="E70" s="1" t="s">
        <v>14</v>
      </c>
      <c r="F70" s="2">
        <v>1</v>
      </c>
      <c r="G70" s="2"/>
    </row>
    <row r="71" spans="1:7" x14ac:dyDescent="0.3">
      <c r="B71" s="2"/>
      <c r="C71" s="1" t="s">
        <v>111</v>
      </c>
      <c r="D71" s="1" t="s">
        <v>112</v>
      </c>
      <c r="E71" s="1" t="s">
        <v>37</v>
      </c>
      <c r="F71" s="2">
        <v>1</v>
      </c>
      <c r="G71" s="2"/>
    </row>
    <row r="72" spans="1:7" x14ac:dyDescent="0.3">
      <c r="B72" s="2"/>
      <c r="C72" s="1" t="s">
        <v>113</v>
      </c>
      <c r="D72" s="1" t="s">
        <v>114</v>
      </c>
      <c r="E72" s="1" t="s">
        <v>14</v>
      </c>
      <c r="F72" s="2">
        <v>1</v>
      </c>
      <c r="G72" s="2"/>
    </row>
    <row r="73" spans="1:7" x14ac:dyDescent="0.3">
      <c r="B73" s="2"/>
      <c r="C73" s="1" t="s">
        <v>115</v>
      </c>
      <c r="D73" s="1" t="s">
        <v>116</v>
      </c>
      <c r="E73" s="1" t="s">
        <v>14</v>
      </c>
      <c r="F73" s="2">
        <v>1</v>
      </c>
      <c r="G73" s="2"/>
    </row>
    <row r="74" spans="1:7" ht="28.8" x14ac:dyDescent="0.3">
      <c r="A74" s="3" t="s">
        <v>117</v>
      </c>
      <c r="B74" s="2">
        <v>5</v>
      </c>
      <c r="F74" s="2"/>
      <c r="G74" s="2">
        <v>1</v>
      </c>
    </row>
    <row r="75" spans="1:7" x14ac:dyDescent="0.3">
      <c r="B75" s="2"/>
      <c r="C75" s="1" t="s">
        <v>118</v>
      </c>
      <c r="D75" s="1" t="s">
        <v>119</v>
      </c>
      <c r="E75" s="1" t="s">
        <v>14</v>
      </c>
      <c r="F75" s="2">
        <v>1</v>
      </c>
      <c r="G75" s="2"/>
    </row>
    <row r="76" spans="1:7" x14ac:dyDescent="0.3">
      <c r="B76" s="2"/>
      <c r="C76" s="1" t="s">
        <v>120</v>
      </c>
      <c r="D76" s="1" t="s">
        <v>121</v>
      </c>
      <c r="E76" s="1" t="s">
        <v>14</v>
      </c>
      <c r="F76" s="2">
        <v>1</v>
      </c>
      <c r="G76" s="2"/>
    </row>
    <row r="77" spans="1:7" x14ac:dyDescent="0.3">
      <c r="B77" s="2"/>
      <c r="C77" s="1" t="s">
        <v>122</v>
      </c>
      <c r="D77" s="1" t="s">
        <v>123</v>
      </c>
      <c r="E77" s="1" t="s">
        <v>14</v>
      </c>
      <c r="F77" s="2">
        <v>1</v>
      </c>
      <c r="G77" s="2"/>
    </row>
    <row r="78" spans="1:7" x14ac:dyDescent="0.3">
      <c r="B78" s="2"/>
      <c r="C78" s="1" t="s">
        <v>124</v>
      </c>
      <c r="D78" s="1" t="s">
        <v>125</v>
      </c>
      <c r="E78" s="1" t="s">
        <v>14</v>
      </c>
      <c r="F78" s="2">
        <v>1</v>
      </c>
      <c r="G78" s="2"/>
    </row>
    <row r="79" spans="1:7" x14ac:dyDescent="0.3">
      <c r="B79" s="2"/>
      <c r="C79" s="1" t="s">
        <v>126</v>
      </c>
      <c r="D79" s="1" t="s">
        <v>127</v>
      </c>
      <c r="E79" s="1" t="s">
        <v>14</v>
      </c>
      <c r="F79" s="2">
        <v>1</v>
      </c>
      <c r="G79" s="2"/>
    </row>
    <row r="80" spans="1:7" x14ac:dyDescent="0.3">
      <c r="A80" s="3" t="s">
        <v>128</v>
      </c>
      <c r="B80" s="2">
        <v>6</v>
      </c>
      <c r="F80" s="2"/>
      <c r="G80" s="2">
        <v>1</v>
      </c>
    </row>
    <row r="81" spans="1:7" x14ac:dyDescent="0.3">
      <c r="B81" s="2"/>
      <c r="C81" s="1" t="s">
        <v>129</v>
      </c>
      <c r="D81" s="1" t="s">
        <v>130</v>
      </c>
      <c r="E81" s="1" t="s">
        <v>14</v>
      </c>
      <c r="F81" s="2">
        <v>1</v>
      </c>
      <c r="G81" s="2"/>
    </row>
    <row r="82" spans="1:7" x14ac:dyDescent="0.3">
      <c r="B82" s="2"/>
      <c r="C82" s="1" t="s">
        <v>131</v>
      </c>
      <c r="D82" s="1" t="s">
        <v>112</v>
      </c>
      <c r="E82" s="1" t="s">
        <v>37</v>
      </c>
      <c r="F82" s="2">
        <v>1</v>
      </c>
      <c r="G82" s="2"/>
    </row>
    <row r="83" spans="1:7" x14ac:dyDescent="0.3">
      <c r="B83" s="2"/>
      <c r="C83" s="1" t="s">
        <v>132</v>
      </c>
      <c r="D83" s="1" t="s">
        <v>133</v>
      </c>
      <c r="E83" s="1" t="s">
        <v>14</v>
      </c>
      <c r="F83" s="2">
        <v>1</v>
      </c>
      <c r="G83" s="2"/>
    </row>
    <row r="84" spans="1:7" x14ac:dyDescent="0.3">
      <c r="B84" s="2"/>
      <c r="C84" s="1" t="s">
        <v>134</v>
      </c>
      <c r="D84" s="1" t="s">
        <v>135</v>
      </c>
      <c r="E84" s="1" t="s">
        <v>37</v>
      </c>
      <c r="F84" s="2">
        <v>1</v>
      </c>
      <c r="G84" s="2"/>
    </row>
    <row r="85" spans="1:7" x14ac:dyDescent="0.3">
      <c r="B85" s="2"/>
      <c r="C85" s="1" t="s">
        <v>136</v>
      </c>
      <c r="D85" s="1" t="s">
        <v>137</v>
      </c>
      <c r="E85" s="1" t="s">
        <v>14</v>
      </c>
      <c r="F85" s="2">
        <v>1</v>
      </c>
      <c r="G85" s="2"/>
    </row>
    <row r="86" spans="1:7" x14ac:dyDescent="0.3">
      <c r="B86" s="2"/>
      <c r="C86" s="1" t="s">
        <v>138</v>
      </c>
      <c r="D86" s="1" t="s">
        <v>139</v>
      </c>
      <c r="E86" s="1" t="s">
        <v>37</v>
      </c>
      <c r="F86" s="2">
        <v>1</v>
      </c>
      <c r="G86" s="2"/>
    </row>
    <row r="87" spans="1:7" x14ac:dyDescent="0.3">
      <c r="B87" s="2"/>
      <c r="F87" s="2"/>
      <c r="G87" s="2"/>
    </row>
    <row r="88" spans="1:7" x14ac:dyDescent="0.3">
      <c r="B88" s="2"/>
      <c r="F88" s="2"/>
      <c r="G88" s="2"/>
    </row>
    <row r="89" spans="1:7" x14ac:dyDescent="0.3">
      <c r="A89" s="1" t="s">
        <v>140</v>
      </c>
      <c r="B89" s="2">
        <v>4</v>
      </c>
      <c r="F89" s="2"/>
      <c r="G89" s="2">
        <v>1</v>
      </c>
    </row>
    <row r="90" spans="1:7" x14ac:dyDescent="0.3">
      <c r="B90" s="2"/>
      <c r="C90" s="1" t="s">
        <v>141</v>
      </c>
      <c r="D90" s="1" t="s">
        <v>88</v>
      </c>
      <c r="E90" s="1" t="s">
        <v>14</v>
      </c>
      <c r="F90" s="2">
        <v>1</v>
      </c>
      <c r="G90" s="2"/>
    </row>
    <row r="91" spans="1:7" x14ac:dyDescent="0.3">
      <c r="B91" s="2"/>
      <c r="C91" s="1" t="s">
        <v>142</v>
      </c>
      <c r="D91" s="1" t="s">
        <v>88</v>
      </c>
      <c r="E91" s="1" t="s">
        <v>14</v>
      </c>
      <c r="F91" s="2">
        <v>1</v>
      </c>
      <c r="G91" s="2"/>
    </row>
    <row r="92" spans="1:7" x14ac:dyDescent="0.3">
      <c r="B92" s="2"/>
      <c r="C92" s="1" t="s">
        <v>143</v>
      </c>
      <c r="D92" s="1" t="s">
        <v>144</v>
      </c>
      <c r="E92" s="1" t="s">
        <v>14</v>
      </c>
      <c r="F92" s="2">
        <v>1</v>
      </c>
      <c r="G92" s="2"/>
    </row>
    <row r="93" spans="1:7" x14ac:dyDescent="0.3">
      <c r="B93" s="2"/>
      <c r="C93" s="1" t="s">
        <v>145</v>
      </c>
      <c r="D93" s="1" t="s">
        <v>64</v>
      </c>
      <c r="E93" s="1" t="s">
        <v>37</v>
      </c>
      <c r="F93" s="2">
        <v>1</v>
      </c>
      <c r="G93" s="2"/>
    </row>
    <row r="94" spans="1:7" x14ac:dyDescent="0.3">
      <c r="A94" s="1" t="s">
        <v>146</v>
      </c>
      <c r="B94" s="2">
        <v>4</v>
      </c>
      <c r="F94" s="2"/>
      <c r="G94" s="2">
        <v>1</v>
      </c>
    </row>
    <row r="95" spans="1:7" x14ac:dyDescent="0.3">
      <c r="B95" s="2"/>
      <c r="C95" s="1" t="s">
        <v>147</v>
      </c>
      <c r="D95" s="1" t="s">
        <v>148</v>
      </c>
      <c r="E95" s="1" t="s">
        <v>14</v>
      </c>
      <c r="F95" s="2">
        <v>1</v>
      </c>
      <c r="G95" s="2"/>
    </row>
    <row r="96" spans="1:7" x14ac:dyDescent="0.3">
      <c r="B96" s="2"/>
      <c r="C96" s="1" t="s">
        <v>149</v>
      </c>
      <c r="D96" s="1" t="s">
        <v>148</v>
      </c>
      <c r="E96" s="1" t="s">
        <v>14</v>
      </c>
      <c r="F96" s="2">
        <v>1</v>
      </c>
      <c r="G96" s="2"/>
    </row>
    <row r="97" spans="1:7" x14ac:dyDescent="0.3">
      <c r="B97" s="2"/>
      <c r="C97" s="1" t="s">
        <v>150</v>
      </c>
      <c r="D97" s="1" t="s">
        <v>151</v>
      </c>
      <c r="E97" s="1" t="s">
        <v>14</v>
      </c>
      <c r="F97" s="2">
        <v>1</v>
      </c>
      <c r="G97" s="2"/>
    </row>
    <row r="98" spans="1:7" x14ac:dyDescent="0.3">
      <c r="B98" s="2"/>
      <c r="C98" s="1" t="s">
        <v>152</v>
      </c>
      <c r="D98" s="1" t="s">
        <v>153</v>
      </c>
      <c r="E98" s="1" t="s">
        <v>14</v>
      </c>
      <c r="F98" s="2">
        <v>1</v>
      </c>
      <c r="G98" s="2"/>
    </row>
    <row r="99" spans="1:7" x14ac:dyDescent="0.3">
      <c r="A99" s="1" t="s">
        <v>154</v>
      </c>
      <c r="B99" s="2">
        <v>5</v>
      </c>
      <c r="F99" s="2"/>
      <c r="G99" s="2">
        <v>1</v>
      </c>
    </row>
    <row r="100" spans="1:7" x14ac:dyDescent="0.3">
      <c r="B100" s="2"/>
      <c r="C100" s="1" t="s">
        <v>155</v>
      </c>
      <c r="D100" s="1" t="s">
        <v>148</v>
      </c>
      <c r="E100" s="1" t="s">
        <v>14</v>
      </c>
      <c r="F100" s="2">
        <v>1</v>
      </c>
      <c r="G100" s="2"/>
    </row>
    <row r="101" spans="1:7" x14ac:dyDescent="0.3">
      <c r="B101" s="2"/>
      <c r="C101" s="1" t="s">
        <v>156</v>
      </c>
      <c r="D101" s="1" t="s">
        <v>148</v>
      </c>
      <c r="E101" s="1" t="s">
        <v>14</v>
      </c>
      <c r="F101" s="2">
        <v>1</v>
      </c>
      <c r="G101" s="2"/>
    </row>
    <row r="102" spans="1:7" x14ac:dyDescent="0.3">
      <c r="B102" s="2"/>
      <c r="C102" s="1" t="s">
        <v>157</v>
      </c>
      <c r="D102" s="1" t="s">
        <v>158</v>
      </c>
      <c r="E102" s="1" t="s">
        <v>14</v>
      </c>
      <c r="F102" s="2">
        <v>1</v>
      </c>
      <c r="G102" s="2"/>
    </row>
    <row r="103" spans="1:7" x14ac:dyDescent="0.3">
      <c r="B103" s="2"/>
      <c r="C103" s="1" t="s">
        <v>159</v>
      </c>
      <c r="D103" s="1" t="s">
        <v>160</v>
      </c>
      <c r="E103" s="1" t="s">
        <v>14</v>
      </c>
      <c r="F103" s="2">
        <v>1</v>
      </c>
      <c r="G103" s="2"/>
    </row>
    <row r="104" spans="1:7" x14ac:dyDescent="0.3">
      <c r="B104" s="2"/>
      <c r="C104" s="1" t="s">
        <v>159</v>
      </c>
      <c r="D104" s="1" t="s">
        <v>161</v>
      </c>
      <c r="E104" s="1" t="s">
        <v>14</v>
      </c>
      <c r="F104" s="2">
        <v>1</v>
      </c>
      <c r="G104" s="2"/>
    </row>
    <row r="105" spans="1:7" x14ac:dyDescent="0.3">
      <c r="A105" s="1" t="s">
        <v>162</v>
      </c>
      <c r="B105" s="2">
        <v>4</v>
      </c>
      <c r="F105" s="2"/>
      <c r="G105" s="2">
        <v>1</v>
      </c>
    </row>
    <row r="106" spans="1:7" x14ac:dyDescent="0.3">
      <c r="B106" s="2"/>
      <c r="C106" s="1" t="s">
        <v>163</v>
      </c>
      <c r="D106" s="1" t="s">
        <v>164</v>
      </c>
      <c r="E106" s="1" t="s">
        <v>14</v>
      </c>
      <c r="F106" s="2">
        <v>1</v>
      </c>
      <c r="G106" s="2"/>
    </row>
    <row r="107" spans="1:7" x14ac:dyDescent="0.3">
      <c r="B107" s="2"/>
      <c r="C107" s="1" t="s">
        <v>165</v>
      </c>
      <c r="D107" s="1" t="s">
        <v>166</v>
      </c>
      <c r="E107" s="1" t="s">
        <v>37</v>
      </c>
      <c r="F107" s="2">
        <v>1</v>
      </c>
      <c r="G107" s="2"/>
    </row>
    <row r="108" spans="1:7" x14ac:dyDescent="0.3">
      <c r="B108" s="2"/>
      <c r="C108" s="1" t="s">
        <v>167</v>
      </c>
      <c r="D108" s="1" t="s">
        <v>168</v>
      </c>
      <c r="E108" s="1" t="s">
        <v>37</v>
      </c>
      <c r="F108" s="2">
        <v>1</v>
      </c>
      <c r="G108" s="2"/>
    </row>
    <row r="109" spans="1:7" x14ac:dyDescent="0.3">
      <c r="B109" s="2"/>
      <c r="C109" s="1" t="s">
        <v>169</v>
      </c>
      <c r="D109" s="1" t="s">
        <v>170</v>
      </c>
      <c r="E109" s="1" t="s">
        <v>14</v>
      </c>
      <c r="F109" s="2">
        <v>1</v>
      </c>
      <c r="G109" s="2"/>
    </row>
    <row r="110" spans="1:7" ht="28.8" x14ac:dyDescent="0.3">
      <c r="A110" s="3" t="s">
        <v>171</v>
      </c>
      <c r="B110" s="2">
        <v>5</v>
      </c>
      <c r="F110" s="2"/>
      <c r="G110" s="2">
        <v>1</v>
      </c>
    </row>
    <row r="111" spans="1:7" x14ac:dyDescent="0.3">
      <c r="B111" s="2"/>
      <c r="C111" s="1" t="s">
        <v>172</v>
      </c>
      <c r="D111" s="1" t="s">
        <v>90</v>
      </c>
      <c r="E111" s="1" t="s">
        <v>14</v>
      </c>
      <c r="F111" s="2">
        <v>1</v>
      </c>
      <c r="G111" s="2"/>
    </row>
    <row r="112" spans="1:7" x14ac:dyDescent="0.3">
      <c r="B112" s="2"/>
      <c r="C112" s="1" t="s">
        <v>173</v>
      </c>
      <c r="D112" s="1" t="s">
        <v>90</v>
      </c>
      <c r="E112" s="1" t="s">
        <v>14</v>
      </c>
      <c r="F112" s="2">
        <v>1</v>
      </c>
      <c r="G112" s="2"/>
    </row>
    <row r="113" spans="1:7" x14ac:dyDescent="0.3">
      <c r="B113" s="2"/>
      <c r="C113" s="1" t="s">
        <v>174</v>
      </c>
      <c r="D113" s="1" t="s">
        <v>90</v>
      </c>
      <c r="E113" s="1" t="s">
        <v>14</v>
      </c>
      <c r="F113" s="2">
        <v>1</v>
      </c>
      <c r="G113" s="2"/>
    </row>
    <row r="114" spans="1:7" x14ac:dyDescent="0.3">
      <c r="B114" s="2"/>
      <c r="C114" s="1" t="s">
        <v>175</v>
      </c>
      <c r="D114" s="1" t="s">
        <v>90</v>
      </c>
      <c r="E114" s="1" t="s">
        <v>14</v>
      </c>
      <c r="F114" s="2">
        <v>1</v>
      </c>
      <c r="G114" s="2"/>
    </row>
    <row r="115" spans="1:7" x14ac:dyDescent="0.3">
      <c r="B115" s="2"/>
      <c r="C115" s="1" t="s">
        <v>176</v>
      </c>
      <c r="D115" s="1" t="s">
        <v>90</v>
      </c>
      <c r="E115" s="1" t="s">
        <v>14</v>
      </c>
      <c r="F115" s="2">
        <v>1</v>
      </c>
      <c r="G115" s="2"/>
    </row>
    <row r="116" spans="1:7" x14ac:dyDescent="0.3">
      <c r="A116" s="1" t="s">
        <v>177</v>
      </c>
      <c r="B116" s="2">
        <v>5</v>
      </c>
      <c r="F116" s="2"/>
      <c r="G116" s="2">
        <v>1</v>
      </c>
    </row>
    <row r="117" spans="1:7" x14ac:dyDescent="0.3">
      <c r="B117" s="2"/>
      <c r="C117" s="1" t="s">
        <v>178</v>
      </c>
      <c r="D117" s="1" t="s">
        <v>179</v>
      </c>
      <c r="E117" s="1" t="s">
        <v>14</v>
      </c>
      <c r="F117" s="2">
        <v>1</v>
      </c>
      <c r="G117" s="2"/>
    </row>
    <row r="118" spans="1:7" x14ac:dyDescent="0.3">
      <c r="B118" s="2"/>
      <c r="C118" s="1" t="s">
        <v>180</v>
      </c>
      <c r="D118" s="1" t="s">
        <v>181</v>
      </c>
      <c r="E118" s="1" t="s">
        <v>14</v>
      </c>
      <c r="F118" s="2">
        <v>1</v>
      </c>
      <c r="G118" s="2"/>
    </row>
    <row r="119" spans="1:7" x14ac:dyDescent="0.3">
      <c r="B119" s="2"/>
      <c r="C119" s="1" t="s">
        <v>182</v>
      </c>
      <c r="D119" s="1" t="s">
        <v>183</v>
      </c>
      <c r="E119" s="1" t="s">
        <v>14</v>
      </c>
      <c r="F119" s="2">
        <v>1</v>
      </c>
      <c r="G119" s="2"/>
    </row>
    <row r="120" spans="1:7" x14ac:dyDescent="0.3">
      <c r="B120" s="2"/>
      <c r="C120" s="1" t="s">
        <v>184</v>
      </c>
      <c r="D120" s="1" t="s">
        <v>185</v>
      </c>
      <c r="E120" s="1" t="s">
        <v>14</v>
      </c>
      <c r="F120" s="2">
        <v>1</v>
      </c>
      <c r="G120" s="2"/>
    </row>
    <row r="121" spans="1:7" x14ac:dyDescent="0.3">
      <c r="B121" s="2"/>
      <c r="C121" s="1" t="s">
        <v>186</v>
      </c>
      <c r="D121" s="1" t="s">
        <v>28</v>
      </c>
      <c r="E121" s="1" t="s">
        <v>14</v>
      </c>
      <c r="F121" s="2">
        <v>1</v>
      </c>
      <c r="G121" s="2"/>
    </row>
    <row r="122" spans="1:7" x14ac:dyDescent="0.3">
      <c r="A122" s="1" t="s">
        <v>187</v>
      </c>
      <c r="B122" s="2">
        <v>5</v>
      </c>
      <c r="F122" s="2"/>
      <c r="G122" s="2">
        <v>1</v>
      </c>
    </row>
    <row r="123" spans="1:7" x14ac:dyDescent="0.3">
      <c r="B123" s="2"/>
      <c r="C123" s="1" t="s">
        <v>188</v>
      </c>
      <c r="D123" s="1" t="s">
        <v>189</v>
      </c>
      <c r="E123" s="1" t="s">
        <v>14</v>
      </c>
      <c r="F123" s="2">
        <v>1</v>
      </c>
      <c r="G123" s="2"/>
    </row>
    <row r="124" spans="1:7" x14ac:dyDescent="0.3">
      <c r="B124" s="2"/>
      <c r="C124" s="1" t="s">
        <v>190</v>
      </c>
      <c r="D124" s="1" t="s">
        <v>191</v>
      </c>
      <c r="E124" s="1" t="s">
        <v>14</v>
      </c>
      <c r="F124" s="2">
        <v>1</v>
      </c>
      <c r="G124" s="2"/>
    </row>
    <row r="125" spans="1:7" ht="28.8" x14ac:dyDescent="0.3">
      <c r="B125" s="2"/>
      <c r="C125" s="3" t="s">
        <v>192</v>
      </c>
      <c r="D125" s="1" t="s">
        <v>193</v>
      </c>
      <c r="E125" s="1" t="s">
        <v>14</v>
      </c>
      <c r="F125" s="2">
        <v>1</v>
      </c>
      <c r="G125" s="2"/>
    </row>
    <row r="126" spans="1:7" x14ac:dyDescent="0.3">
      <c r="B126" s="2"/>
      <c r="C126" s="1" t="s">
        <v>194</v>
      </c>
      <c r="D126" s="1" t="s">
        <v>195</v>
      </c>
      <c r="E126" s="1" t="s">
        <v>14</v>
      </c>
      <c r="F126" s="2">
        <v>1</v>
      </c>
      <c r="G126" s="2"/>
    </row>
    <row r="127" spans="1:7" x14ac:dyDescent="0.3">
      <c r="B127" s="2"/>
      <c r="C127" s="1" t="s">
        <v>196</v>
      </c>
      <c r="D127" s="1" t="s">
        <v>195</v>
      </c>
      <c r="E127" s="1" t="s">
        <v>14</v>
      </c>
      <c r="F127" s="2">
        <v>1</v>
      </c>
      <c r="G127" s="2"/>
    </row>
    <row r="128" spans="1:7" x14ac:dyDescent="0.3">
      <c r="A128" s="1" t="s">
        <v>197</v>
      </c>
      <c r="B128" s="2">
        <v>5</v>
      </c>
      <c r="F128" s="2"/>
      <c r="G128" s="2">
        <v>1</v>
      </c>
    </row>
    <row r="129" spans="1:7" x14ac:dyDescent="0.3">
      <c r="B129" s="2"/>
      <c r="C129" s="1" t="s">
        <v>198</v>
      </c>
      <c r="D129" s="1" t="s">
        <v>112</v>
      </c>
      <c r="E129" s="1" t="s">
        <v>37</v>
      </c>
      <c r="F129" s="2">
        <v>1</v>
      </c>
      <c r="G129" s="2"/>
    </row>
    <row r="130" spans="1:7" x14ac:dyDescent="0.3">
      <c r="B130" s="2"/>
      <c r="C130" s="1" t="s">
        <v>199</v>
      </c>
      <c r="D130" s="1" t="s">
        <v>200</v>
      </c>
      <c r="E130" s="1" t="s">
        <v>37</v>
      </c>
      <c r="F130" s="2">
        <v>1</v>
      </c>
      <c r="G130" s="2"/>
    </row>
    <row r="131" spans="1:7" x14ac:dyDescent="0.3">
      <c r="B131" s="2"/>
      <c r="C131" s="1" t="s">
        <v>201</v>
      </c>
      <c r="D131" s="1" t="s">
        <v>139</v>
      </c>
      <c r="E131" s="1" t="s">
        <v>37</v>
      </c>
      <c r="F131" s="2">
        <v>1</v>
      </c>
      <c r="G131" s="2"/>
    </row>
    <row r="132" spans="1:7" x14ac:dyDescent="0.3">
      <c r="B132" s="2"/>
      <c r="C132" s="1" t="s">
        <v>202</v>
      </c>
      <c r="D132" s="1" t="s">
        <v>203</v>
      </c>
      <c r="E132" s="1" t="s">
        <v>37</v>
      </c>
      <c r="F132" s="2">
        <v>1</v>
      </c>
      <c r="G132" s="2"/>
    </row>
    <row r="133" spans="1:7" x14ac:dyDescent="0.3">
      <c r="B133" s="2"/>
      <c r="C133" s="1" t="s">
        <v>204</v>
      </c>
      <c r="D133" s="1" t="s">
        <v>205</v>
      </c>
      <c r="E133" s="1" t="s">
        <v>37</v>
      </c>
      <c r="F133" s="2">
        <v>1</v>
      </c>
      <c r="G133" s="2"/>
    </row>
    <row r="134" spans="1:7" ht="28.8" x14ac:dyDescent="0.3">
      <c r="A134" s="3" t="s">
        <v>206</v>
      </c>
      <c r="B134" s="2">
        <v>5</v>
      </c>
      <c r="F134" s="2"/>
      <c r="G134" s="2">
        <v>1</v>
      </c>
    </row>
    <row r="135" spans="1:7" x14ac:dyDescent="0.3">
      <c r="B135" s="2"/>
      <c r="C135" s="1" t="s">
        <v>207</v>
      </c>
      <c r="D135" s="1" t="s">
        <v>208</v>
      </c>
      <c r="E135" s="1" t="s">
        <v>14</v>
      </c>
      <c r="F135" s="2">
        <v>1</v>
      </c>
      <c r="G135" s="2"/>
    </row>
    <row r="136" spans="1:7" x14ac:dyDescent="0.3">
      <c r="B136" s="2"/>
      <c r="C136" s="1" t="s">
        <v>209</v>
      </c>
      <c r="D136" s="1" t="s">
        <v>210</v>
      </c>
      <c r="E136" s="1" t="s">
        <v>14</v>
      </c>
      <c r="F136" s="2">
        <v>1</v>
      </c>
      <c r="G136" s="2"/>
    </row>
    <row r="137" spans="1:7" x14ac:dyDescent="0.3">
      <c r="B137" s="2"/>
      <c r="C137" s="1" t="s">
        <v>211</v>
      </c>
      <c r="D137" s="1" t="s">
        <v>212</v>
      </c>
      <c r="E137" s="1" t="s">
        <v>14</v>
      </c>
      <c r="F137" s="2">
        <v>1</v>
      </c>
      <c r="G137" s="2"/>
    </row>
    <row r="138" spans="1:7" x14ac:dyDescent="0.3">
      <c r="B138" s="2"/>
      <c r="C138" s="1" t="s">
        <v>213</v>
      </c>
      <c r="D138" s="1" t="s">
        <v>214</v>
      </c>
      <c r="E138" s="1" t="s">
        <v>14</v>
      </c>
      <c r="F138" s="2">
        <v>1</v>
      </c>
      <c r="G138" s="2"/>
    </row>
    <row r="139" spans="1:7" x14ac:dyDescent="0.3">
      <c r="B139" s="2"/>
      <c r="C139" s="1" t="s">
        <v>215</v>
      </c>
      <c r="D139" s="1" t="s">
        <v>195</v>
      </c>
      <c r="E139" s="1" t="s">
        <v>14</v>
      </c>
      <c r="F139" s="2">
        <v>1</v>
      </c>
      <c r="G139" s="2"/>
    </row>
    <row r="140" spans="1:7" ht="28.8" x14ac:dyDescent="0.3">
      <c r="A140" s="3" t="s">
        <v>216</v>
      </c>
      <c r="B140" s="2">
        <v>5</v>
      </c>
      <c r="F140" s="2"/>
      <c r="G140" s="2">
        <v>1</v>
      </c>
    </row>
    <row r="141" spans="1:7" x14ac:dyDescent="0.3">
      <c r="B141" s="2"/>
      <c r="C141" s="1" t="s">
        <v>217</v>
      </c>
      <c r="D141" s="1" t="s">
        <v>218</v>
      </c>
      <c r="E141" s="1" t="s">
        <v>14</v>
      </c>
      <c r="F141" s="2">
        <v>1</v>
      </c>
      <c r="G141" s="2"/>
    </row>
    <row r="142" spans="1:7" x14ac:dyDescent="0.3">
      <c r="B142" s="2"/>
      <c r="C142" s="1" t="s">
        <v>219</v>
      </c>
      <c r="D142" s="1" t="s">
        <v>218</v>
      </c>
      <c r="E142" s="1" t="s">
        <v>14</v>
      </c>
      <c r="F142" s="2">
        <v>1</v>
      </c>
      <c r="G142" s="2"/>
    </row>
    <row r="143" spans="1:7" x14ac:dyDescent="0.3">
      <c r="B143" s="2"/>
      <c r="C143" s="1" t="s">
        <v>220</v>
      </c>
      <c r="D143" s="1" t="s">
        <v>218</v>
      </c>
      <c r="E143" s="1" t="s">
        <v>14</v>
      </c>
      <c r="F143" s="2">
        <v>1</v>
      </c>
      <c r="G143" s="2"/>
    </row>
    <row r="144" spans="1:7" x14ac:dyDescent="0.3">
      <c r="B144" s="2"/>
      <c r="C144" s="1" t="s">
        <v>221</v>
      </c>
      <c r="D144" s="1" t="s">
        <v>218</v>
      </c>
      <c r="E144" s="1" t="s">
        <v>14</v>
      </c>
      <c r="F144" s="2">
        <v>1</v>
      </c>
      <c r="G144" s="2"/>
    </row>
    <row r="145" spans="1:7" x14ac:dyDescent="0.3">
      <c r="B145" s="2"/>
      <c r="C145" s="1" t="s">
        <v>222</v>
      </c>
      <c r="D145" s="1" t="s">
        <v>218</v>
      </c>
      <c r="E145" s="1" t="s">
        <v>14</v>
      </c>
      <c r="F145" s="2">
        <v>1</v>
      </c>
      <c r="G145" s="2"/>
    </row>
    <row r="146" spans="1:7" x14ac:dyDescent="0.3">
      <c r="A146" s="1" t="s">
        <v>223</v>
      </c>
      <c r="B146" s="2">
        <v>5</v>
      </c>
      <c r="F146" s="2"/>
      <c r="G146" s="2">
        <v>1</v>
      </c>
    </row>
    <row r="147" spans="1:7" x14ac:dyDescent="0.3">
      <c r="B147" s="2"/>
      <c r="C147" s="1" t="s">
        <v>224</v>
      </c>
      <c r="D147" s="1" t="s">
        <v>189</v>
      </c>
      <c r="E147" s="1" t="s">
        <v>14</v>
      </c>
      <c r="F147" s="2">
        <v>1</v>
      </c>
      <c r="G147" s="2"/>
    </row>
    <row r="148" spans="1:7" x14ac:dyDescent="0.3">
      <c r="B148" s="2"/>
      <c r="C148" s="1" t="s">
        <v>225</v>
      </c>
      <c r="D148" s="1" t="s">
        <v>226</v>
      </c>
      <c r="E148" s="1" t="s">
        <v>14</v>
      </c>
      <c r="F148" s="2">
        <v>1</v>
      </c>
      <c r="G148" s="2"/>
    </row>
    <row r="149" spans="1:7" x14ac:dyDescent="0.3">
      <c r="B149" s="2"/>
      <c r="C149" s="1" t="s">
        <v>227</v>
      </c>
      <c r="D149" s="1" t="s">
        <v>54</v>
      </c>
      <c r="E149" s="1" t="s">
        <v>14</v>
      </c>
      <c r="F149" s="2">
        <v>1</v>
      </c>
      <c r="G149" s="2"/>
    </row>
    <row r="150" spans="1:7" x14ac:dyDescent="0.3">
      <c r="B150" s="2"/>
      <c r="C150" s="1" t="s">
        <v>228</v>
      </c>
      <c r="D150" s="1" t="s">
        <v>229</v>
      </c>
      <c r="E150" s="1" t="s">
        <v>14</v>
      </c>
      <c r="F150" s="2">
        <v>1</v>
      </c>
      <c r="G150" s="2"/>
    </row>
    <row r="151" spans="1:7" x14ac:dyDescent="0.3">
      <c r="B151" s="2"/>
      <c r="C151" s="1" t="s">
        <v>230</v>
      </c>
      <c r="D151" s="1" t="s">
        <v>59</v>
      </c>
      <c r="E151" s="1" t="s">
        <v>14</v>
      </c>
      <c r="F151" s="2">
        <v>1</v>
      </c>
      <c r="G151" s="2"/>
    </row>
    <row r="152" spans="1:7" x14ac:dyDescent="0.3">
      <c r="B152" s="2"/>
      <c r="F152" s="2"/>
      <c r="G152" s="2"/>
    </row>
    <row r="153" spans="1:7" ht="28.8" x14ac:dyDescent="0.3">
      <c r="A153" s="3" t="s">
        <v>231</v>
      </c>
      <c r="B153" s="2">
        <v>5</v>
      </c>
      <c r="F153" s="2"/>
      <c r="G153" s="2">
        <v>1</v>
      </c>
    </row>
    <row r="154" spans="1:7" x14ac:dyDescent="0.3">
      <c r="B154" s="2"/>
      <c r="C154" s="1" t="s">
        <v>232</v>
      </c>
      <c r="D154" s="1" t="s">
        <v>195</v>
      </c>
      <c r="E154" s="1" t="s">
        <v>14</v>
      </c>
      <c r="F154" s="2">
        <v>1</v>
      </c>
      <c r="G154" s="2"/>
    </row>
    <row r="155" spans="1:7" x14ac:dyDescent="0.3">
      <c r="B155" s="2"/>
      <c r="C155" s="1" t="s">
        <v>233</v>
      </c>
      <c r="D155" s="1" t="s">
        <v>148</v>
      </c>
      <c r="E155" s="1" t="s">
        <v>14</v>
      </c>
      <c r="F155" s="2">
        <v>1</v>
      </c>
      <c r="G155" s="2"/>
    </row>
    <row r="156" spans="1:7" x14ac:dyDescent="0.3">
      <c r="B156" s="2"/>
      <c r="C156" s="1" t="s">
        <v>234</v>
      </c>
      <c r="D156" s="1" t="s">
        <v>235</v>
      </c>
      <c r="E156" s="1" t="s">
        <v>14</v>
      </c>
      <c r="F156" s="2">
        <v>1</v>
      </c>
      <c r="G156" s="2"/>
    </row>
    <row r="157" spans="1:7" x14ac:dyDescent="0.3">
      <c r="B157" s="2"/>
      <c r="C157" s="1" t="s">
        <v>236</v>
      </c>
      <c r="D157" s="1" t="s">
        <v>237</v>
      </c>
      <c r="E157" s="1" t="s">
        <v>14</v>
      </c>
      <c r="F157" s="2">
        <v>1</v>
      </c>
      <c r="G157" s="2"/>
    </row>
    <row r="158" spans="1:7" x14ac:dyDescent="0.3">
      <c r="B158" s="2"/>
      <c r="C158" s="1" t="s">
        <v>238</v>
      </c>
      <c r="D158" s="1" t="s">
        <v>239</v>
      </c>
      <c r="E158" s="1" t="s">
        <v>14</v>
      </c>
      <c r="F158" s="2">
        <v>1</v>
      </c>
      <c r="G158" s="2"/>
    </row>
    <row r="159" spans="1:7" x14ac:dyDescent="0.3">
      <c r="B159" s="2">
        <f>SUM(B6:B158)</f>
        <v>120</v>
      </c>
      <c r="F159" s="2">
        <f>SUM(F8:F158)</f>
        <v>120</v>
      </c>
      <c r="G159" s="2">
        <f>SUM(G6:G158)</f>
        <v>25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25E12-379A-4B23-8342-E213EFCBF319}">
  <sheetPr>
    <tabColor rgb="FFFF0000"/>
  </sheetPr>
  <dimension ref="A1:G163"/>
  <sheetViews>
    <sheetView topLeftCell="A96" workbookViewId="0">
      <selection activeCell="I6" sqref="I6"/>
    </sheetView>
  </sheetViews>
  <sheetFormatPr defaultColWidth="9.109375" defaultRowHeight="14.4" x14ac:dyDescent="0.3"/>
  <cols>
    <col min="1" max="1" width="27" style="1" customWidth="1"/>
    <col min="2" max="2" width="8.44140625" style="1" customWidth="1"/>
    <col min="3" max="3" width="32" style="1" customWidth="1"/>
    <col min="4" max="4" width="21" style="1" customWidth="1"/>
    <col min="5" max="5" width="9.109375" style="1"/>
    <col min="6" max="6" width="8.44140625" style="1" customWidth="1"/>
    <col min="7" max="7" width="9.109375" style="1"/>
    <col min="8" max="8" width="15.33203125" style="1" customWidth="1"/>
    <col min="9" max="16384" width="9.109375" style="1"/>
  </cols>
  <sheetData>
    <row r="1" spans="1:7" x14ac:dyDescent="0.3">
      <c r="A1" s="1" t="s">
        <v>240</v>
      </c>
    </row>
    <row r="2" spans="1:7" x14ac:dyDescent="0.3">
      <c r="A2" s="1" t="s">
        <v>1</v>
      </c>
    </row>
    <row r="3" spans="1:7" x14ac:dyDescent="0.3">
      <c r="A3" s="1" t="s">
        <v>2</v>
      </c>
    </row>
    <row r="4" spans="1:7" x14ac:dyDescent="0.3">
      <c r="A4" s="1" t="s">
        <v>3</v>
      </c>
    </row>
    <row r="5" spans="1:7" ht="43.2" x14ac:dyDescent="0.3">
      <c r="A5" s="6" t="s">
        <v>4</v>
      </c>
      <c r="B5" s="7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</row>
    <row r="6" spans="1:7" ht="28.8" x14ac:dyDescent="0.3">
      <c r="A6" s="3" t="s">
        <v>241</v>
      </c>
      <c r="B6" s="5">
        <v>5</v>
      </c>
      <c r="F6" s="2"/>
      <c r="G6" s="2">
        <v>1</v>
      </c>
    </row>
    <row r="7" spans="1:7" x14ac:dyDescent="0.3">
      <c r="B7" s="2"/>
      <c r="F7" s="2"/>
      <c r="G7" s="2"/>
    </row>
    <row r="8" spans="1:7" x14ac:dyDescent="0.3">
      <c r="B8" s="2"/>
      <c r="C8" s="1" t="s">
        <v>242</v>
      </c>
      <c r="D8" s="1" t="s">
        <v>243</v>
      </c>
      <c r="E8" s="1" t="s">
        <v>14</v>
      </c>
      <c r="F8" s="2">
        <v>1</v>
      </c>
      <c r="G8" s="2"/>
    </row>
    <row r="9" spans="1:7" x14ac:dyDescent="0.3">
      <c r="B9" s="2"/>
      <c r="C9" s="1" t="s">
        <v>244</v>
      </c>
      <c r="D9" s="1" t="s">
        <v>52</v>
      </c>
      <c r="E9" s="1" t="s">
        <v>14</v>
      </c>
      <c r="F9" s="2">
        <v>1</v>
      </c>
      <c r="G9" s="2"/>
    </row>
    <row r="10" spans="1:7" x14ac:dyDescent="0.3">
      <c r="B10" s="2"/>
      <c r="C10" s="1" t="s">
        <v>245</v>
      </c>
      <c r="D10" s="1" t="s">
        <v>246</v>
      </c>
      <c r="E10" s="1" t="s">
        <v>14</v>
      </c>
      <c r="F10" s="2">
        <v>1</v>
      </c>
      <c r="G10" s="2"/>
    </row>
    <row r="11" spans="1:7" x14ac:dyDescent="0.3">
      <c r="B11" s="2"/>
      <c r="C11" s="1" t="s">
        <v>247</v>
      </c>
      <c r="D11" s="1" t="s">
        <v>99</v>
      </c>
      <c r="E11" s="1" t="s">
        <v>14</v>
      </c>
      <c r="F11" s="2">
        <v>1</v>
      </c>
      <c r="G11" s="2"/>
    </row>
    <row r="12" spans="1:7" x14ac:dyDescent="0.3">
      <c r="B12" s="2"/>
      <c r="C12" s="1" t="s">
        <v>248</v>
      </c>
      <c r="D12" s="1" t="s">
        <v>249</v>
      </c>
      <c r="E12" s="1" t="s">
        <v>14</v>
      </c>
      <c r="F12" s="2">
        <v>1</v>
      </c>
      <c r="G12" s="2"/>
    </row>
    <row r="13" spans="1:7" ht="28.8" x14ac:dyDescent="0.3">
      <c r="A13" s="3" t="s">
        <v>250</v>
      </c>
      <c r="B13" s="2">
        <v>5</v>
      </c>
      <c r="F13" s="2"/>
      <c r="G13" s="2">
        <v>1</v>
      </c>
    </row>
    <row r="14" spans="1:7" x14ac:dyDescent="0.3">
      <c r="B14" s="2"/>
      <c r="C14" s="1" t="s">
        <v>251</v>
      </c>
      <c r="D14" s="1" t="s">
        <v>252</v>
      </c>
      <c r="E14" s="1" t="s">
        <v>14</v>
      </c>
      <c r="F14" s="2">
        <v>1</v>
      </c>
      <c r="G14" s="2"/>
    </row>
    <row r="15" spans="1:7" x14ac:dyDescent="0.3">
      <c r="B15" s="2"/>
      <c r="C15" s="1" t="s">
        <v>253</v>
      </c>
      <c r="D15" s="1" t="s">
        <v>254</v>
      </c>
      <c r="E15" s="1" t="s">
        <v>14</v>
      </c>
      <c r="F15" s="2">
        <v>1</v>
      </c>
      <c r="G15" s="2"/>
    </row>
    <row r="16" spans="1:7" x14ac:dyDescent="0.3">
      <c r="B16" s="2"/>
      <c r="C16" s="1" t="s">
        <v>255</v>
      </c>
      <c r="D16" s="1" t="s">
        <v>256</v>
      </c>
      <c r="E16" s="1" t="s">
        <v>14</v>
      </c>
      <c r="F16" s="2">
        <v>1</v>
      </c>
      <c r="G16" s="2"/>
    </row>
    <row r="17" spans="1:7" x14ac:dyDescent="0.3">
      <c r="B17" s="2"/>
      <c r="C17" s="1" t="s">
        <v>257</v>
      </c>
      <c r="D17" s="1" t="s">
        <v>258</v>
      </c>
      <c r="E17" s="1" t="s">
        <v>14</v>
      </c>
      <c r="F17" s="2">
        <v>1</v>
      </c>
      <c r="G17" s="2"/>
    </row>
    <row r="18" spans="1:7" x14ac:dyDescent="0.3">
      <c r="B18" s="2"/>
      <c r="C18" s="1" t="s">
        <v>259</v>
      </c>
      <c r="D18" s="1" t="s">
        <v>13</v>
      </c>
      <c r="E18" s="1" t="s">
        <v>14</v>
      </c>
      <c r="F18" s="2">
        <v>1</v>
      </c>
      <c r="G18" s="2"/>
    </row>
    <row r="19" spans="1:7" x14ac:dyDescent="0.3">
      <c r="A19" s="1" t="s">
        <v>55</v>
      </c>
      <c r="B19" s="2">
        <v>5</v>
      </c>
      <c r="F19" s="2"/>
      <c r="G19" s="2">
        <v>1</v>
      </c>
    </row>
    <row r="20" spans="1:7" x14ac:dyDescent="0.3">
      <c r="B20" s="2"/>
      <c r="C20" s="1" t="s">
        <v>260</v>
      </c>
      <c r="D20" s="1" t="s">
        <v>261</v>
      </c>
      <c r="E20" s="1" t="s">
        <v>14</v>
      </c>
      <c r="F20" s="2">
        <v>1</v>
      </c>
      <c r="G20" s="2"/>
    </row>
    <row r="21" spans="1:7" x14ac:dyDescent="0.3">
      <c r="B21" s="2"/>
      <c r="C21" s="1" t="s">
        <v>262</v>
      </c>
      <c r="D21" s="1" t="s">
        <v>26</v>
      </c>
      <c r="E21" s="1" t="s">
        <v>14</v>
      </c>
      <c r="F21" s="2">
        <v>1</v>
      </c>
      <c r="G21" s="2"/>
    </row>
    <row r="22" spans="1:7" x14ac:dyDescent="0.3">
      <c r="B22" s="2"/>
      <c r="C22" s="3" t="s">
        <v>263</v>
      </c>
      <c r="D22" s="1" t="s">
        <v>264</v>
      </c>
      <c r="E22" s="1" t="s">
        <v>14</v>
      </c>
      <c r="F22" s="2">
        <v>1</v>
      </c>
      <c r="G22" s="2"/>
    </row>
    <row r="23" spans="1:7" x14ac:dyDescent="0.3">
      <c r="B23" s="2"/>
      <c r="C23" s="3" t="s">
        <v>265</v>
      </c>
      <c r="D23" s="1" t="s">
        <v>266</v>
      </c>
      <c r="E23" s="1" t="s">
        <v>14</v>
      </c>
      <c r="F23" s="2">
        <v>1</v>
      </c>
      <c r="G23" s="2"/>
    </row>
    <row r="24" spans="1:7" x14ac:dyDescent="0.3">
      <c r="B24" s="2"/>
      <c r="C24" s="1" t="s">
        <v>267</v>
      </c>
      <c r="D24" s="1" t="s">
        <v>48</v>
      </c>
      <c r="E24" s="1" t="s">
        <v>14</v>
      </c>
      <c r="F24" s="2">
        <v>1</v>
      </c>
      <c r="G24" s="2"/>
    </row>
    <row r="25" spans="1:7" ht="28.8" x14ac:dyDescent="0.3">
      <c r="A25" s="3" t="s">
        <v>268</v>
      </c>
      <c r="B25" s="2">
        <v>5</v>
      </c>
      <c r="F25" s="2"/>
      <c r="G25" s="2">
        <v>1</v>
      </c>
    </row>
    <row r="26" spans="1:7" x14ac:dyDescent="0.3">
      <c r="B26" s="2"/>
      <c r="C26" s="1" t="s">
        <v>269</v>
      </c>
      <c r="D26" s="1" t="s">
        <v>270</v>
      </c>
      <c r="E26" s="1" t="s">
        <v>14</v>
      </c>
      <c r="F26" s="2">
        <v>1</v>
      </c>
      <c r="G26" s="2"/>
    </row>
    <row r="27" spans="1:7" x14ac:dyDescent="0.3">
      <c r="B27" s="2"/>
      <c r="C27" s="1" t="s">
        <v>271</v>
      </c>
      <c r="D27" s="1" t="s">
        <v>272</v>
      </c>
      <c r="E27" s="1" t="s">
        <v>14</v>
      </c>
      <c r="F27" s="2">
        <v>1</v>
      </c>
      <c r="G27" s="2"/>
    </row>
    <row r="28" spans="1:7" x14ac:dyDescent="0.3">
      <c r="B28" s="2"/>
      <c r="C28" s="1" t="s">
        <v>273</v>
      </c>
      <c r="D28" s="1" t="s">
        <v>46</v>
      </c>
      <c r="E28" s="1" t="s">
        <v>14</v>
      </c>
      <c r="F28" s="2">
        <v>1</v>
      </c>
      <c r="G28" s="2"/>
    </row>
    <row r="29" spans="1:7" x14ac:dyDescent="0.3">
      <c r="B29" s="2"/>
      <c r="C29" s="1" t="s">
        <v>274</v>
      </c>
      <c r="D29" s="1" t="s">
        <v>275</v>
      </c>
      <c r="E29" s="1" t="s">
        <v>14</v>
      </c>
      <c r="F29" s="2">
        <v>1</v>
      </c>
      <c r="G29" s="2"/>
    </row>
    <row r="30" spans="1:7" x14ac:dyDescent="0.3">
      <c r="B30" s="2"/>
      <c r="C30" s="1" t="s">
        <v>276</v>
      </c>
      <c r="D30" s="1" t="s">
        <v>277</v>
      </c>
      <c r="E30" s="1" t="s">
        <v>14</v>
      </c>
      <c r="F30" s="2">
        <v>1</v>
      </c>
      <c r="G30" s="2"/>
    </row>
    <row r="31" spans="1:7" ht="28.8" x14ac:dyDescent="0.3">
      <c r="A31" s="3" t="s">
        <v>278</v>
      </c>
      <c r="B31" s="2">
        <v>4</v>
      </c>
      <c r="F31" s="2">
        <v>1</v>
      </c>
      <c r="G31" s="2">
        <v>1</v>
      </c>
    </row>
    <row r="32" spans="1:7" x14ac:dyDescent="0.3">
      <c r="C32" s="1" t="s">
        <v>279</v>
      </c>
      <c r="D32" s="1" t="s">
        <v>26</v>
      </c>
      <c r="E32" s="1" t="s">
        <v>14</v>
      </c>
      <c r="F32" s="2">
        <v>1</v>
      </c>
      <c r="G32" s="2"/>
    </row>
    <row r="33" spans="1:7" x14ac:dyDescent="0.3">
      <c r="B33" s="2"/>
      <c r="C33" s="1" t="s">
        <v>280</v>
      </c>
      <c r="D33" s="1" t="s">
        <v>26</v>
      </c>
      <c r="E33" s="1" t="s">
        <v>14</v>
      </c>
      <c r="F33" s="2">
        <v>1</v>
      </c>
      <c r="G33" s="2"/>
    </row>
    <row r="34" spans="1:7" x14ac:dyDescent="0.3">
      <c r="B34" s="2"/>
      <c r="C34" s="1" t="s">
        <v>281</v>
      </c>
      <c r="D34" s="1" t="s">
        <v>26</v>
      </c>
      <c r="E34" s="1" t="s">
        <v>14</v>
      </c>
      <c r="F34" s="2">
        <v>1</v>
      </c>
      <c r="G34" s="2"/>
    </row>
    <row r="35" spans="1:7" x14ac:dyDescent="0.3">
      <c r="B35" s="2"/>
      <c r="C35" s="1" t="s">
        <v>282</v>
      </c>
      <c r="D35" s="1" t="s">
        <v>26</v>
      </c>
      <c r="E35" s="1" t="s">
        <v>14</v>
      </c>
      <c r="F35" s="2">
        <v>1</v>
      </c>
      <c r="G35" s="2"/>
    </row>
    <row r="36" spans="1:7" x14ac:dyDescent="0.3">
      <c r="G36" s="2"/>
    </row>
    <row r="37" spans="1:7" x14ac:dyDescent="0.3">
      <c r="B37" s="2"/>
      <c r="G37" s="2"/>
    </row>
    <row r="38" spans="1:7" x14ac:dyDescent="0.3">
      <c r="B38" s="2"/>
      <c r="G38" s="2"/>
    </row>
    <row r="39" spans="1:7" x14ac:dyDescent="0.3">
      <c r="B39" s="2"/>
      <c r="G39" s="2"/>
    </row>
    <row r="40" spans="1:7" ht="28.8" x14ac:dyDescent="0.3">
      <c r="A40" s="3" t="s">
        <v>283</v>
      </c>
      <c r="B40" s="2">
        <v>5</v>
      </c>
      <c r="F40" s="2"/>
      <c r="G40" s="2">
        <v>1</v>
      </c>
    </row>
    <row r="41" spans="1:7" ht="28.8" x14ac:dyDescent="0.3">
      <c r="B41" s="2"/>
      <c r="C41" s="3" t="s">
        <v>284</v>
      </c>
      <c r="D41" s="1" t="s">
        <v>212</v>
      </c>
      <c r="E41" s="1" t="s">
        <v>14</v>
      </c>
      <c r="F41" s="2">
        <v>1</v>
      </c>
      <c r="G41" s="2"/>
    </row>
    <row r="42" spans="1:7" x14ac:dyDescent="0.3">
      <c r="B42" s="2"/>
      <c r="C42" s="1" t="s">
        <v>285</v>
      </c>
      <c r="D42" s="1" t="s">
        <v>286</v>
      </c>
      <c r="E42" s="1" t="s">
        <v>37</v>
      </c>
      <c r="F42" s="2">
        <v>1</v>
      </c>
      <c r="G42" s="2"/>
    </row>
    <row r="43" spans="1:7" x14ac:dyDescent="0.3">
      <c r="B43" s="2"/>
      <c r="C43" s="1" t="s">
        <v>287</v>
      </c>
      <c r="D43" s="1" t="s">
        <v>288</v>
      </c>
      <c r="E43" s="1" t="s">
        <v>14</v>
      </c>
      <c r="F43" s="2">
        <v>1</v>
      </c>
      <c r="G43" s="2"/>
    </row>
    <row r="44" spans="1:7" x14ac:dyDescent="0.3">
      <c r="B44" s="2"/>
      <c r="C44" s="1" t="s">
        <v>289</v>
      </c>
      <c r="D44" s="1" t="s">
        <v>290</v>
      </c>
      <c r="E44" s="1" t="s">
        <v>14</v>
      </c>
      <c r="F44" s="2">
        <v>1</v>
      </c>
      <c r="G44" s="2"/>
    </row>
    <row r="45" spans="1:7" x14ac:dyDescent="0.3">
      <c r="B45" s="2"/>
      <c r="C45" s="1" t="s">
        <v>291</v>
      </c>
      <c r="D45" s="1" t="s">
        <v>292</v>
      </c>
      <c r="E45" s="1" t="s">
        <v>14</v>
      </c>
      <c r="F45" s="2">
        <v>1</v>
      </c>
      <c r="G45" s="2"/>
    </row>
    <row r="46" spans="1:7" x14ac:dyDescent="0.3">
      <c r="A46" s="3" t="s">
        <v>293</v>
      </c>
      <c r="B46" s="2">
        <v>6</v>
      </c>
      <c r="F46" s="2"/>
      <c r="G46" s="2">
        <v>1</v>
      </c>
    </row>
    <row r="47" spans="1:7" x14ac:dyDescent="0.3">
      <c r="B47" s="2"/>
      <c r="C47" s="1" t="s">
        <v>294</v>
      </c>
      <c r="D47" s="1" t="s">
        <v>295</v>
      </c>
      <c r="E47" s="1" t="s">
        <v>14</v>
      </c>
      <c r="F47" s="2">
        <v>1</v>
      </c>
      <c r="G47" s="2"/>
    </row>
    <row r="48" spans="1:7" x14ac:dyDescent="0.3">
      <c r="B48" s="2"/>
      <c r="C48" s="1" t="s">
        <v>296</v>
      </c>
      <c r="D48" s="1" t="s">
        <v>297</v>
      </c>
      <c r="E48" s="1" t="s">
        <v>37</v>
      </c>
      <c r="F48" s="2">
        <v>1</v>
      </c>
      <c r="G48" s="2"/>
    </row>
    <row r="49" spans="1:7" x14ac:dyDescent="0.3">
      <c r="B49" s="2"/>
      <c r="C49" s="1" t="s">
        <v>298</v>
      </c>
      <c r="D49" s="1" t="s">
        <v>299</v>
      </c>
      <c r="E49" s="1" t="s">
        <v>37</v>
      </c>
      <c r="F49" s="2">
        <v>1</v>
      </c>
      <c r="G49" s="2"/>
    </row>
    <row r="50" spans="1:7" x14ac:dyDescent="0.3">
      <c r="B50" s="2"/>
      <c r="C50" s="1" t="s">
        <v>300</v>
      </c>
      <c r="D50" s="1" t="s">
        <v>301</v>
      </c>
      <c r="E50" s="1" t="s">
        <v>14</v>
      </c>
      <c r="F50" s="2">
        <v>1</v>
      </c>
      <c r="G50" s="2"/>
    </row>
    <row r="51" spans="1:7" x14ac:dyDescent="0.3">
      <c r="A51" s="3"/>
      <c r="B51" s="2"/>
      <c r="C51" s="1" t="s">
        <v>302</v>
      </c>
      <c r="D51" s="1" t="s">
        <v>112</v>
      </c>
      <c r="E51" s="1" t="s">
        <v>37</v>
      </c>
      <c r="F51" s="2">
        <v>1</v>
      </c>
      <c r="G51" s="2"/>
    </row>
    <row r="52" spans="1:7" x14ac:dyDescent="0.3">
      <c r="B52" s="2"/>
      <c r="C52" s="1" t="s">
        <v>303</v>
      </c>
      <c r="D52" s="1" t="s">
        <v>304</v>
      </c>
      <c r="E52" s="1" t="s">
        <v>14</v>
      </c>
      <c r="F52" s="2">
        <v>1</v>
      </c>
      <c r="G52" s="2"/>
    </row>
    <row r="53" spans="1:7" ht="28.8" x14ac:dyDescent="0.3">
      <c r="A53" s="3" t="s">
        <v>305</v>
      </c>
      <c r="B53" s="2">
        <v>5</v>
      </c>
      <c r="F53" s="2"/>
      <c r="G53" s="2">
        <v>1</v>
      </c>
    </row>
    <row r="54" spans="1:7" x14ac:dyDescent="0.3">
      <c r="B54" s="2"/>
      <c r="C54" s="1" t="s">
        <v>306</v>
      </c>
      <c r="D54" s="1" t="s">
        <v>307</v>
      </c>
      <c r="E54" s="1" t="s">
        <v>14</v>
      </c>
      <c r="F54" s="2">
        <v>1</v>
      </c>
      <c r="G54" s="2"/>
    </row>
    <row r="55" spans="1:7" x14ac:dyDescent="0.3">
      <c r="B55" s="2"/>
      <c r="C55" s="1" t="s">
        <v>308</v>
      </c>
      <c r="D55" s="1" t="s">
        <v>307</v>
      </c>
      <c r="E55" s="1" t="s">
        <v>14</v>
      </c>
      <c r="F55" s="2">
        <v>1</v>
      </c>
      <c r="G55" s="2"/>
    </row>
    <row r="56" spans="1:7" x14ac:dyDescent="0.3">
      <c r="B56" s="2"/>
      <c r="C56" s="1" t="s">
        <v>309</v>
      </c>
      <c r="D56" s="1" t="s">
        <v>307</v>
      </c>
      <c r="E56" s="1" t="s">
        <v>14</v>
      </c>
      <c r="F56" s="2">
        <v>1</v>
      </c>
      <c r="G56" s="2"/>
    </row>
    <row r="57" spans="1:7" x14ac:dyDescent="0.3">
      <c r="A57" s="3"/>
      <c r="B57" s="2"/>
      <c r="C57" s="1" t="s">
        <v>310</v>
      </c>
      <c r="D57" s="1" t="s">
        <v>307</v>
      </c>
      <c r="E57" s="1" t="s">
        <v>14</v>
      </c>
      <c r="F57" s="2">
        <v>1</v>
      </c>
      <c r="G57" s="2"/>
    </row>
    <row r="58" spans="1:7" x14ac:dyDescent="0.3">
      <c r="B58" s="2"/>
      <c r="C58" s="1" t="s">
        <v>311</v>
      </c>
      <c r="D58" s="1" t="s">
        <v>307</v>
      </c>
      <c r="E58" s="1" t="s">
        <v>14</v>
      </c>
      <c r="F58" s="2">
        <v>1</v>
      </c>
      <c r="G58" s="2"/>
    </row>
    <row r="59" spans="1:7" ht="28.8" x14ac:dyDescent="0.3">
      <c r="A59" s="3" t="s">
        <v>117</v>
      </c>
      <c r="B59" s="2">
        <v>5</v>
      </c>
      <c r="F59" s="2"/>
      <c r="G59" s="2">
        <v>1</v>
      </c>
    </row>
    <row r="60" spans="1:7" x14ac:dyDescent="0.3">
      <c r="B60" s="2"/>
      <c r="C60" s="1" t="s">
        <v>312</v>
      </c>
      <c r="D60" s="1" t="s">
        <v>313</v>
      </c>
      <c r="E60" s="1" t="s">
        <v>37</v>
      </c>
      <c r="F60" s="2">
        <v>1</v>
      </c>
      <c r="G60" s="2"/>
    </row>
    <row r="61" spans="1:7" x14ac:dyDescent="0.3">
      <c r="B61" s="2"/>
      <c r="C61" s="1" t="s">
        <v>314</v>
      </c>
      <c r="D61" s="1" t="s">
        <v>315</v>
      </c>
      <c r="E61" s="1" t="s">
        <v>14</v>
      </c>
      <c r="F61" s="2">
        <v>1</v>
      </c>
      <c r="G61" s="2"/>
    </row>
    <row r="62" spans="1:7" x14ac:dyDescent="0.3">
      <c r="B62" s="2"/>
      <c r="C62" s="1" t="s">
        <v>316</v>
      </c>
      <c r="D62" s="1" t="s">
        <v>317</v>
      </c>
      <c r="E62" s="1" t="s">
        <v>14</v>
      </c>
      <c r="F62" s="2">
        <v>1</v>
      </c>
      <c r="G62" s="2"/>
    </row>
    <row r="63" spans="1:7" x14ac:dyDescent="0.3">
      <c r="B63" s="2"/>
      <c r="C63" s="1" t="s">
        <v>318</v>
      </c>
      <c r="D63" s="1" t="s">
        <v>319</v>
      </c>
      <c r="E63" s="1" t="s">
        <v>14</v>
      </c>
      <c r="F63" s="2">
        <v>1</v>
      </c>
      <c r="G63" s="2"/>
    </row>
    <row r="64" spans="1:7" ht="28.8" x14ac:dyDescent="0.3">
      <c r="A64" s="3"/>
      <c r="B64" s="2"/>
      <c r="C64" s="3" t="s">
        <v>320</v>
      </c>
      <c r="D64" s="1" t="s">
        <v>321</v>
      </c>
      <c r="E64" s="1" t="s">
        <v>14</v>
      </c>
      <c r="F64" s="2">
        <v>1</v>
      </c>
      <c r="G64" s="2"/>
    </row>
    <row r="65" spans="1:7" x14ac:dyDescent="0.3">
      <c r="A65" s="1" t="s">
        <v>93</v>
      </c>
      <c r="B65" s="2">
        <v>5</v>
      </c>
      <c r="F65" s="2"/>
      <c r="G65" s="2">
        <v>1</v>
      </c>
    </row>
    <row r="66" spans="1:7" x14ac:dyDescent="0.3">
      <c r="B66" s="2"/>
      <c r="C66" s="1" t="s">
        <v>322</v>
      </c>
      <c r="D66" s="1" t="s">
        <v>99</v>
      </c>
      <c r="E66" s="1" t="s">
        <v>14</v>
      </c>
      <c r="F66" s="2">
        <v>1</v>
      </c>
      <c r="G66" s="2"/>
    </row>
    <row r="67" spans="1:7" x14ac:dyDescent="0.3">
      <c r="B67" s="2"/>
      <c r="C67" s="1" t="s">
        <v>323</v>
      </c>
      <c r="D67" s="1" t="s">
        <v>195</v>
      </c>
      <c r="E67" s="1" t="s">
        <v>14</v>
      </c>
      <c r="F67" s="2">
        <v>1</v>
      </c>
      <c r="G67" s="2"/>
    </row>
    <row r="68" spans="1:7" x14ac:dyDescent="0.3">
      <c r="B68" s="2"/>
      <c r="C68" s="1" t="s">
        <v>324</v>
      </c>
      <c r="D68" s="1" t="s">
        <v>325</v>
      </c>
      <c r="E68" s="1" t="s">
        <v>14</v>
      </c>
      <c r="F68" s="2">
        <v>1</v>
      </c>
      <c r="G68" s="2"/>
    </row>
    <row r="69" spans="1:7" x14ac:dyDescent="0.3">
      <c r="B69" s="2"/>
      <c r="C69" s="1" t="s">
        <v>326</v>
      </c>
      <c r="D69" s="1" t="s">
        <v>327</v>
      </c>
      <c r="E69" s="1" t="s">
        <v>14</v>
      </c>
      <c r="F69" s="2">
        <v>1</v>
      </c>
      <c r="G69" s="2"/>
    </row>
    <row r="70" spans="1:7" x14ac:dyDescent="0.3">
      <c r="B70" s="2"/>
      <c r="C70" s="1" t="s">
        <v>328</v>
      </c>
      <c r="D70" s="1" t="s">
        <v>329</v>
      </c>
      <c r="E70" s="1" t="s">
        <v>14</v>
      </c>
      <c r="F70" s="2">
        <v>1</v>
      </c>
      <c r="G70" s="2"/>
    </row>
    <row r="71" spans="1:7" x14ac:dyDescent="0.3">
      <c r="A71" s="1" t="s">
        <v>197</v>
      </c>
      <c r="B71" s="2">
        <v>5</v>
      </c>
      <c r="F71" s="2"/>
      <c r="G71" s="2">
        <v>1</v>
      </c>
    </row>
    <row r="72" spans="1:7" x14ac:dyDescent="0.3">
      <c r="B72" s="2"/>
      <c r="C72" s="1" t="s">
        <v>330</v>
      </c>
      <c r="D72" s="1" t="s">
        <v>112</v>
      </c>
      <c r="E72" s="1" t="s">
        <v>37</v>
      </c>
      <c r="F72" s="2">
        <v>1</v>
      </c>
      <c r="G72" s="2"/>
    </row>
    <row r="73" spans="1:7" x14ac:dyDescent="0.3">
      <c r="B73" s="2"/>
      <c r="C73" s="1" t="s">
        <v>331</v>
      </c>
      <c r="D73" s="1" t="s">
        <v>332</v>
      </c>
      <c r="E73" s="1" t="s">
        <v>37</v>
      </c>
      <c r="F73" s="2">
        <v>1</v>
      </c>
      <c r="G73" s="2"/>
    </row>
    <row r="74" spans="1:7" x14ac:dyDescent="0.3">
      <c r="B74" s="2"/>
      <c r="C74" s="1" t="s">
        <v>333</v>
      </c>
      <c r="D74" s="1" t="s">
        <v>334</v>
      </c>
      <c r="E74" s="1" t="s">
        <v>37</v>
      </c>
      <c r="F74" s="2">
        <v>1</v>
      </c>
      <c r="G74" s="2"/>
    </row>
    <row r="75" spans="1:7" x14ac:dyDescent="0.3">
      <c r="A75" s="3"/>
      <c r="B75" s="2"/>
      <c r="C75" s="1" t="s">
        <v>335</v>
      </c>
      <c r="D75" s="1" t="s">
        <v>299</v>
      </c>
      <c r="E75" s="1" t="s">
        <v>37</v>
      </c>
      <c r="F75" s="2">
        <v>1</v>
      </c>
      <c r="G75" s="2"/>
    </row>
    <row r="76" spans="1:7" ht="28.8" x14ac:dyDescent="0.3">
      <c r="B76" s="2"/>
      <c r="C76" s="3" t="s">
        <v>336</v>
      </c>
      <c r="D76" s="1" t="s">
        <v>166</v>
      </c>
      <c r="E76" s="1" t="s">
        <v>37</v>
      </c>
      <c r="F76" s="2">
        <v>1</v>
      </c>
      <c r="G76" s="2"/>
    </row>
    <row r="77" spans="1:7" ht="28.8" x14ac:dyDescent="0.3">
      <c r="A77" s="3" t="s">
        <v>337</v>
      </c>
      <c r="B77" s="2">
        <v>4</v>
      </c>
      <c r="F77" s="2"/>
      <c r="G77" s="2">
        <v>1</v>
      </c>
    </row>
    <row r="78" spans="1:7" x14ac:dyDescent="0.3">
      <c r="B78" s="2"/>
      <c r="C78" s="1" t="s">
        <v>338</v>
      </c>
      <c r="D78" s="1" t="s">
        <v>339</v>
      </c>
      <c r="E78" s="1" t="s">
        <v>37</v>
      </c>
      <c r="F78" s="2">
        <v>1</v>
      </c>
      <c r="G78" s="2"/>
    </row>
    <row r="79" spans="1:7" ht="28.8" x14ac:dyDescent="0.3">
      <c r="B79" s="2"/>
      <c r="C79" s="3" t="s">
        <v>340</v>
      </c>
      <c r="D79" s="1" t="s">
        <v>341</v>
      </c>
      <c r="E79" s="1" t="s">
        <v>37</v>
      </c>
      <c r="F79" s="2">
        <v>1</v>
      </c>
      <c r="G79" s="2"/>
    </row>
    <row r="80" spans="1:7" x14ac:dyDescent="0.3">
      <c r="B80" s="2"/>
      <c r="C80" s="1" t="s">
        <v>342</v>
      </c>
      <c r="D80" s="1" t="s">
        <v>343</v>
      </c>
      <c r="E80" s="1" t="s">
        <v>37</v>
      </c>
      <c r="F80" s="2">
        <v>1</v>
      </c>
      <c r="G80" s="2"/>
    </row>
    <row r="81" spans="1:7" x14ac:dyDescent="0.3">
      <c r="A81" s="3"/>
      <c r="B81" s="2"/>
      <c r="C81" s="1" t="s">
        <v>344</v>
      </c>
      <c r="D81" s="1" t="s">
        <v>166</v>
      </c>
      <c r="E81" s="1" t="s">
        <v>37</v>
      </c>
      <c r="F81" s="2">
        <v>1</v>
      </c>
      <c r="G81" s="2"/>
    </row>
    <row r="82" spans="1:7" x14ac:dyDescent="0.3">
      <c r="A82" s="1" t="s">
        <v>345</v>
      </c>
      <c r="B82" s="2">
        <v>5</v>
      </c>
      <c r="F82" s="2"/>
      <c r="G82" s="2">
        <v>1</v>
      </c>
    </row>
    <row r="83" spans="1:7" x14ac:dyDescent="0.3">
      <c r="B83" s="2"/>
      <c r="C83" s="1" t="s">
        <v>346</v>
      </c>
      <c r="D83" s="1" t="s">
        <v>347</v>
      </c>
      <c r="E83" s="1" t="s">
        <v>14</v>
      </c>
      <c r="F83" s="2">
        <v>1</v>
      </c>
      <c r="G83" s="2"/>
    </row>
    <row r="84" spans="1:7" x14ac:dyDescent="0.3">
      <c r="B84" s="2"/>
      <c r="C84" s="1" t="s">
        <v>348</v>
      </c>
      <c r="D84" s="1" t="s">
        <v>349</v>
      </c>
      <c r="E84" s="1" t="s">
        <v>14</v>
      </c>
      <c r="F84" s="2">
        <v>1</v>
      </c>
      <c r="G84" s="2"/>
    </row>
    <row r="85" spans="1:7" x14ac:dyDescent="0.3">
      <c r="B85" s="2"/>
      <c r="C85" s="1" t="s">
        <v>350</v>
      </c>
      <c r="D85" s="1" t="s">
        <v>351</v>
      </c>
      <c r="E85" s="1" t="s">
        <v>14</v>
      </c>
      <c r="F85" s="2">
        <v>1</v>
      </c>
      <c r="G85" s="2"/>
    </row>
    <row r="86" spans="1:7" x14ac:dyDescent="0.3">
      <c r="B86" s="2"/>
      <c r="C86" s="1" t="s">
        <v>352</v>
      </c>
      <c r="D86" s="1" t="s">
        <v>353</v>
      </c>
      <c r="E86" s="1" t="s">
        <v>14</v>
      </c>
      <c r="F86" s="2">
        <v>1</v>
      </c>
      <c r="G86" s="2"/>
    </row>
    <row r="87" spans="1:7" x14ac:dyDescent="0.3">
      <c r="B87" s="2"/>
      <c r="C87" s="1" t="s">
        <v>354</v>
      </c>
      <c r="D87" s="1" t="s">
        <v>355</v>
      </c>
      <c r="E87" s="1" t="s">
        <v>14</v>
      </c>
      <c r="F87" s="2">
        <v>1</v>
      </c>
      <c r="G87" s="2"/>
    </row>
    <row r="88" spans="1:7" ht="28.8" x14ac:dyDescent="0.3">
      <c r="A88" s="3" t="s">
        <v>356</v>
      </c>
      <c r="B88" s="2">
        <v>4</v>
      </c>
      <c r="G88" s="2">
        <v>1</v>
      </c>
    </row>
    <row r="89" spans="1:7" x14ac:dyDescent="0.3">
      <c r="B89" s="2"/>
      <c r="C89" s="1" t="s">
        <v>357</v>
      </c>
      <c r="D89" s="1" t="s">
        <v>299</v>
      </c>
      <c r="E89" s="1" t="s">
        <v>14</v>
      </c>
      <c r="F89" s="2">
        <v>1</v>
      </c>
      <c r="G89" s="2"/>
    </row>
    <row r="90" spans="1:7" x14ac:dyDescent="0.3">
      <c r="B90" s="2"/>
      <c r="C90" s="1" t="s">
        <v>358</v>
      </c>
      <c r="D90" s="1" t="s">
        <v>299</v>
      </c>
      <c r="E90" s="1" t="s">
        <v>37</v>
      </c>
      <c r="F90" s="2">
        <v>1</v>
      </c>
      <c r="G90" s="2"/>
    </row>
    <row r="91" spans="1:7" x14ac:dyDescent="0.3">
      <c r="B91" s="2"/>
      <c r="C91" s="1" t="s">
        <v>359</v>
      </c>
      <c r="D91" s="1" t="s">
        <v>299</v>
      </c>
      <c r="E91" s="1" t="s">
        <v>37</v>
      </c>
      <c r="F91" s="2">
        <v>1</v>
      </c>
      <c r="G91" s="2"/>
    </row>
    <row r="92" spans="1:7" x14ac:dyDescent="0.3">
      <c r="B92" s="2"/>
      <c r="C92" s="1" t="s">
        <v>360</v>
      </c>
      <c r="D92" s="1" t="s">
        <v>299</v>
      </c>
      <c r="E92" s="1" t="s">
        <v>37</v>
      </c>
      <c r="F92" s="2">
        <v>1</v>
      </c>
      <c r="G92" s="2"/>
    </row>
    <row r="93" spans="1:7" x14ac:dyDescent="0.3">
      <c r="A93" s="1" t="s">
        <v>361</v>
      </c>
      <c r="B93" s="2">
        <v>5</v>
      </c>
      <c r="F93" s="2"/>
      <c r="G93" s="2">
        <v>1</v>
      </c>
    </row>
    <row r="94" spans="1:7" x14ac:dyDescent="0.3">
      <c r="B94" s="2"/>
      <c r="C94" s="1" t="s">
        <v>362</v>
      </c>
      <c r="D94" s="1" t="s">
        <v>26</v>
      </c>
      <c r="E94" s="1" t="s">
        <v>14</v>
      </c>
      <c r="F94" s="2">
        <v>1</v>
      </c>
      <c r="G94" s="2"/>
    </row>
    <row r="95" spans="1:7" x14ac:dyDescent="0.3">
      <c r="B95" s="2"/>
      <c r="C95" s="1" t="s">
        <v>363</v>
      </c>
      <c r="D95" s="1" t="s">
        <v>364</v>
      </c>
      <c r="E95" s="1" t="s">
        <v>14</v>
      </c>
      <c r="F95" s="2">
        <v>1</v>
      </c>
      <c r="G95" s="2"/>
    </row>
    <row r="96" spans="1:7" x14ac:dyDescent="0.3">
      <c r="B96" s="2"/>
      <c r="C96" s="1" t="s">
        <v>365</v>
      </c>
      <c r="D96" s="1" t="s">
        <v>275</v>
      </c>
      <c r="E96" s="1" t="s">
        <v>14</v>
      </c>
      <c r="F96" s="2">
        <v>1</v>
      </c>
      <c r="G96" s="2"/>
    </row>
    <row r="97" spans="1:7" x14ac:dyDescent="0.3">
      <c r="B97" s="2"/>
      <c r="C97" s="1" t="s">
        <v>366</v>
      </c>
      <c r="D97" s="1" t="s">
        <v>367</v>
      </c>
      <c r="E97" s="1" t="s">
        <v>14</v>
      </c>
      <c r="F97" s="2">
        <v>1</v>
      </c>
      <c r="G97" s="2"/>
    </row>
    <row r="98" spans="1:7" x14ac:dyDescent="0.3">
      <c r="B98" s="2"/>
      <c r="C98" s="1" t="s">
        <v>368</v>
      </c>
      <c r="D98" s="1" t="s">
        <v>369</v>
      </c>
      <c r="E98" s="1" t="s">
        <v>14</v>
      </c>
      <c r="F98" s="2">
        <v>1</v>
      </c>
      <c r="G98" s="2"/>
    </row>
    <row r="99" spans="1:7" x14ac:dyDescent="0.3">
      <c r="A99" s="1" t="s">
        <v>370</v>
      </c>
      <c r="B99" s="2">
        <v>5</v>
      </c>
      <c r="F99" s="2"/>
      <c r="G99" s="2">
        <v>1</v>
      </c>
    </row>
    <row r="100" spans="1:7" x14ac:dyDescent="0.3">
      <c r="B100" s="2"/>
      <c r="C100" s="1" t="s">
        <v>371</v>
      </c>
      <c r="D100" s="1" t="s">
        <v>372</v>
      </c>
      <c r="E100" s="1" t="s">
        <v>14</v>
      </c>
      <c r="F100" s="2">
        <v>1</v>
      </c>
      <c r="G100" s="2"/>
    </row>
    <row r="101" spans="1:7" x14ac:dyDescent="0.3">
      <c r="B101" s="2"/>
      <c r="C101" s="1" t="s">
        <v>373</v>
      </c>
      <c r="D101" s="1" t="s">
        <v>195</v>
      </c>
      <c r="E101" s="1" t="s">
        <v>14</v>
      </c>
      <c r="F101" s="2">
        <v>1</v>
      </c>
      <c r="G101" s="2"/>
    </row>
    <row r="102" spans="1:7" x14ac:dyDescent="0.3">
      <c r="B102" s="2"/>
      <c r="C102" s="1" t="s">
        <v>374</v>
      </c>
      <c r="D102" s="1" t="s">
        <v>313</v>
      </c>
      <c r="E102" s="1" t="s">
        <v>14</v>
      </c>
      <c r="F102" s="2">
        <v>1</v>
      </c>
      <c r="G102" s="2"/>
    </row>
    <row r="103" spans="1:7" x14ac:dyDescent="0.3">
      <c r="B103" s="2"/>
      <c r="C103" s="1" t="s">
        <v>375</v>
      </c>
      <c r="D103" s="1" t="s">
        <v>376</v>
      </c>
      <c r="E103" s="1" t="s">
        <v>14</v>
      </c>
      <c r="F103" s="2">
        <v>1</v>
      </c>
      <c r="G103" s="2"/>
    </row>
    <row r="104" spans="1:7" x14ac:dyDescent="0.3">
      <c r="B104" s="2"/>
      <c r="C104" s="1" t="s">
        <v>377</v>
      </c>
      <c r="D104" s="1" t="s">
        <v>378</v>
      </c>
      <c r="E104" s="1" t="s">
        <v>14</v>
      </c>
      <c r="F104" s="2">
        <v>1</v>
      </c>
      <c r="G104" s="2"/>
    </row>
    <row r="105" spans="1:7" x14ac:dyDescent="0.3">
      <c r="A105" s="1" t="s">
        <v>379</v>
      </c>
      <c r="B105" s="2">
        <v>4</v>
      </c>
      <c r="F105" s="2"/>
      <c r="G105" s="2">
        <v>1</v>
      </c>
    </row>
    <row r="106" spans="1:7" x14ac:dyDescent="0.3">
      <c r="B106" s="2"/>
      <c r="C106" s="1" t="s">
        <v>380</v>
      </c>
      <c r="D106" s="1" t="s">
        <v>381</v>
      </c>
      <c r="E106" s="1" t="s">
        <v>14</v>
      </c>
      <c r="F106" s="2">
        <v>1</v>
      </c>
      <c r="G106" s="2"/>
    </row>
    <row r="107" spans="1:7" x14ac:dyDescent="0.3">
      <c r="B107" s="2"/>
      <c r="C107" s="1" t="s">
        <v>382</v>
      </c>
      <c r="D107" s="1" t="s">
        <v>383</v>
      </c>
      <c r="E107" s="1" t="s">
        <v>14</v>
      </c>
      <c r="F107" s="2">
        <v>1</v>
      </c>
      <c r="G107" s="2"/>
    </row>
    <row r="108" spans="1:7" x14ac:dyDescent="0.3">
      <c r="B108" s="2"/>
      <c r="C108" s="1" t="s">
        <v>384</v>
      </c>
      <c r="D108" s="1" t="s">
        <v>385</v>
      </c>
      <c r="E108" s="1" t="s">
        <v>14</v>
      </c>
      <c r="F108" s="2">
        <v>1</v>
      </c>
      <c r="G108" s="2"/>
    </row>
    <row r="109" spans="1:7" x14ac:dyDescent="0.3">
      <c r="B109" s="2"/>
      <c r="C109" s="1" t="s">
        <v>386</v>
      </c>
      <c r="D109" s="1" t="s">
        <v>161</v>
      </c>
      <c r="E109" s="1" t="s">
        <v>14</v>
      </c>
      <c r="F109" s="2"/>
      <c r="G109" s="2"/>
    </row>
    <row r="110" spans="1:7" ht="28.8" x14ac:dyDescent="0.3">
      <c r="A110" s="3" t="s">
        <v>387</v>
      </c>
      <c r="B110" s="2">
        <v>6</v>
      </c>
      <c r="F110" s="2"/>
      <c r="G110" s="2">
        <v>1</v>
      </c>
    </row>
    <row r="111" spans="1:7" x14ac:dyDescent="0.3">
      <c r="A111" s="3"/>
      <c r="B111" s="2"/>
      <c r="C111" s="1" t="s">
        <v>388</v>
      </c>
      <c r="D111" s="1" t="s">
        <v>389</v>
      </c>
      <c r="E111" s="1" t="s">
        <v>14</v>
      </c>
      <c r="F111" s="2">
        <v>1</v>
      </c>
      <c r="G111" s="2"/>
    </row>
    <row r="112" spans="1:7" x14ac:dyDescent="0.3">
      <c r="B112" s="2"/>
      <c r="C112" s="1" t="s">
        <v>155</v>
      </c>
      <c r="D112" s="1" t="s">
        <v>390</v>
      </c>
      <c r="E112" s="1" t="s">
        <v>14</v>
      </c>
      <c r="F112" s="2">
        <v>1</v>
      </c>
      <c r="G112" s="2"/>
    </row>
    <row r="113" spans="1:7" x14ac:dyDescent="0.3">
      <c r="B113" s="2"/>
      <c r="C113" s="1" t="s">
        <v>147</v>
      </c>
      <c r="D113" s="1" t="s">
        <v>391</v>
      </c>
      <c r="E113" s="1" t="s">
        <v>14</v>
      </c>
      <c r="F113" s="2">
        <v>1</v>
      </c>
      <c r="G113" s="2"/>
    </row>
    <row r="114" spans="1:7" x14ac:dyDescent="0.3">
      <c r="B114" s="2"/>
      <c r="C114" s="1" t="s">
        <v>392</v>
      </c>
      <c r="D114" s="1" t="s">
        <v>160</v>
      </c>
      <c r="E114" s="1" t="s">
        <v>14</v>
      </c>
      <c r="F114" s="2">
        <v>1</v>
      </c>
      <c r="G114" s="2"/>
    </row>
    <row r="115" spans="1:7" x14ac:dyDescent="0.3">
      <c r="B115" s="2"/>
      <c r="C115" s="1" t="s">
        <v>393</v>
      </c>
      <c r="D115" s="1" t="s">
        <v>394</v>
      </c>
      <c r="E115" s="1" t="s">
        <v>14</v>
      </c>
      <c r="F115" s="2">
        <v>1</v>
      </c>
      <c r="G115" s="2"/>
    </row>
    <row r="116" spans="1:7" x14ac:dyDescent="0.3">
      <c r="B116" s="2"/>
      <c r="C116" s="1" t="s">
        <v>395</v>
      </c>
      <c r="D116" s="1" t="s">
        <v>394</v>
      </c>
      <c r="E116" s="1" t="s">
        <v>14</v>
      </c>
      <c r="F116" s="2">
        <v>1</v>
      </c>
      <c r="G116" s="2"/>
    </row>
    <row r="117" spans="1:7" x14ac:dyDescent="0.3">
      <c r="B117" s="2"/>
      <c r="F117" s="2"/>
      <c r="G117" s="2"/>
    </row>
    <row r="118" spans="1:7" x14ac:dyDescent="0.3">
      <c r="B118" s="2"/>
      <c r="F118" s="2"/>
      <c r="G118" s="2"/>
    </row>
    <row r="119" spans="1:7" x14ac:dyDescent="0.3">
      <c r="B119" s="2"/>
      <c r="F119" s="2"/>
      <c r="G119" s="2"/>
    </row>
    <row r="120" spans="1:7" ht="28.8" x14ac:dyDescent="0.3">
      <c r="A120" s="3" t="s">
        <v>396</v>
      </c>
      <c r="B120" s="2">
        <v>4</v>
      </c>
      <c r="F120" s="2"/>
      <c r="G120" s="2">
        <v>1</v>
      </c>
    </row>
    <row r="121" spans="1:7" x14ac:dyDescent="0.3">
      <c r="B121" s="2"/>
      <c r="C121" s="1" t="s">
        <v>397</v>
      </c>
      <c r="D121" s="1" t="s">
        <v>315</v>
      </c>
      <c r="E121" s="1" t="s">
        <v>14</v>
      </c>
      <c r="F121" s="2">
        <v>1</v>
      </c>
      <c r="G121" s="2"/>
    </row>
    <row r="122" spans="1:7" x14ac:dyDescent="0.3">
      <c r="B122" s="2"/>
      <c r="C122" s="1" t="s">
        <v>398</v>
      </c>
      <c r="D122" s="1" t="s">
        <v>315</v>
      </c>
      <c r="E122" s="1" t="s">
        <v>14</v>
      </c>
      <c r="F122" s="2">
        <v>1</v>
      </c>
      <c r="G122" s="2"/>
    </row>
    <row r="123" spans="1:7" x14ac:dyDescent="0.3">
      <c r="B123" s="2"/>
      <c r="C123" s="1" t="s">
        <v>399</v>
      </c>
      <c r="D123" s="1" t="s">
        <v>315</v>
      </c>
      <c r="E123" s="1" t="s">
        <v>14</v>
      </c>
      <c r="F123" s="2">
        <v>1</v>
      </c>
      <c r="G123" s="2"/>
    </row>
    <row r="124" spans="1:7" x14ac:dyDescent="0.3">
      <c r="B124" s="2"/>
      <c r="C124" s="1" t="s">
        <v>400</v>
      </c>
      <c r="D124" s="1" t="s">
        <v>315</v>
      </c>
      <c r="E124" s="1" t="s">
        <v>14</v>
      </c>
      <c r="F124" s="2">
        <v>1</v>
      </c>
      <c r="G124" s="2"/>
    </row>
    <row r="125" spans="1:7" x14ac:dyDescent="0.3">
      <c r="A125" s="1" t="s">
        <v>401</v>
      </c>
      <c r="B125" s="2">
        <v>5</v>
      </c>
      <c r="F125" s="2"/>
      <c r="G125" s="2">
        <v>1</v>
      </c>
    </row>
    <row r="126" spans="1:7" x14ac:dyDescent="0.3">
      <c r="B126" s="2"/>
      <c r="C126" s="3" t="s">
        <v>402</v>
      </c>
      <c r="D126" s="1" t="s">
        <v>403</v>
      </c>
      <c r="E126" s="1" t="s">
        <v>14</v>
      </c>
      <c r="F126" s="2">
        <v>1</v>
      </c>
      <c r="G126" s="2"/>
    </row>
    <row r="127" spans="1:7" x14ac:dyDescent="0.3">
      <c r="B127" s="2"/>
      <c r="C127" s="1" t="s">
        <v>404</v>
      </c>
      <c r="D127" s="1" t="s">
        <v>405</v>
      </c>
      <c r="E127" s="1" t="s">
        <v>14</v>
      </c>
      <c r="F127" s="2">
        <v>1</v>
      </c>
      <c r="G127" s="2"/>
    </row>
    <row r="128" spans="1:7" x14ac:dyDescent="0.3">
      <c r="B128" s="2"/>
      <c r="C128" s="1" t="s">
        <v>406</v>
      </c>
      <c r="D128" s="1" t="s">
        <v>407</v>
      </c>
      <c r="E128" s="1" t="s">
        <v>14</v>
      </c>
      <c r="F128" s="2">
        <v>1</v>
      </c>
      <c r="G128" s="2"/>
    </row>
    <row r="129" spans="1:7" x14ac:dyDescent="0.3">
      <c r="B129" s="2"/>
      <c r="C129" s="1" t="s">
        <v>408</v>
      </c>
      <c r="D129" s="1" t="s">
        <v>409</v>
      </c>
      <c r="E129" s="1" t="s">
        <v>14</v>
      </c>
      <c r="F129" s="2">
        <v>1</v>
      </c>
      <c r="G129" s="2"/>
    </row>
    <row r="130" spans="1:7" x14ac:dyDescent="0.3">
      <c r="B130" s="2"/>
      <c r="C130" s="1" t="s">
        <v>410</v>
      </c>
      <c r="D130" s="1" t="s">
        <v>385</v>
      </c>
      <c r="E130" s="1" t="s">
        <v>14</v>
      </c>
      <c r="F130" s="2">
        <v>1</v>
      </c>
      <c r="G130" s="2"/>
    </row>
    <row r="131" spans="1:7" ht="28.8" x14ac:dyDescent="0.3">
      <c r="A131" s="3" t="s">
        <v>411</v>
      </c>
      <c r="B131" s="2">
        <v>5</v>
      </c>
      <c r="F131" s="2"/>
      <c r="G131" s="2">
        <v>1</v>
      </c>
    </row>
    <row r="132" spans="1:7" x14ac:dyDescent="0.3">
      <c r="B132" s="2"/>
      <c r="C132" s="1" t="s">
        <v>412</v>
      </c>
      <c r="D132" s="1" t="s">
        <v>413</v>
      </c>
      <c r="E132" s="1" t="s">
        <v>14</v>
      </c>
      <c r="F132" s="2">
        <v>1</v>
      </c>
      <c r="G132" s="2"/>
    </row>
    <row r="133" spans="1:7" x14ac:dyDescent="0.3">
      <c r="B133" s="2"/>
      <c r="C133" s="1" t="s">
        <v>414</v>
      </c>
      <c r="D133" s="1" t="s">
        <v>277</v>
      </c>
      <c r="E133" s="1" t="s">
        <v>14</v>
      </c>
      <c r="F133" s="2">
        <v>1</v>
      </c>
      <c r="G133" s="2"/>
    </row>
    <row r="134" spans="1:7" x14ac:dyDescent="0.3">
      <c r="B134" s="2"/>
      <c r="C134" s="1" t="s">
        <v>415</v>
      </c>
      <c r="D134" s="1" t="s">
        <v>416</v>
      </c>
      <c r="E134" s="1" t="s">
        <v>14</v>
      </c>
      <c r="F134" s="2">
        <v>1</v>
      </c>
      <c r="G134" s="2"/>
    </row>
    <row r="135" spans="1:7" x14ac:dyDescent="0.3">
      <c r="B135" s="2"/>
      <c r="C135" s="1" t="s">
        <v>417</v>
      </c>
      <c r="D135" s="1" t="s">
        <v>418</v>
      </c>
      <c r="E135" s="1" t="s">
        <v>37</v>
      </c>
      <c r="F135" s="2">
        <v>1</v>
      </c>
      <c r="G135" s="2"/>
    </row>
    <row r="136" spans="1:7" x14ac:dyDescent="0.3">
      <c r="A136" s="3"/>
      <c r="B136" s="2"/>
      <c r="C136" s="1" t="s">
        <v>419</v>
      </c>
      <c r="D136" s="1" t="s">
        <v>420</v>
      </c>
      <c r="E136" s="1" t="s">
        <v>37</v>
      </c>
      <c r="F136" s="2">
        <v>1</v>
      </c>
      <c r="G136" s="2"/>
    </row>
    <row r="137" spans="1:7" x14ac:dyDescent="0.3">
      <c r="A137" s="1" t="s">
        <v>421</v>
      </c>
      <c r="B137" s="2">
        <v>4</v>
      </c>
      <c r="F137" s="2"/>
      <c r="G137" s="2">
        <v>1</v>
      </c>
    </row>
    <row r="138" spans="1:7" x14ac:dyDescent="0.3">
      <c r="B138" s="2"/>
      <c r="C138" s="1" t="s">
        <v>422</v>
      </c>
      <c r="D138" s="1" t="s">
        <v>423</v>
      </c>
      <c r="E138" s="1" t="s">
        <v>14</v>
      </c>
      <c r="F138" s="2">
        <v>1</v>
      </c>
      <c r="G138" s="2"/>
    </row>
    <row r="139" spans="1:7" ht="28.8" x14ac:dyDescent="0.3">
      <c r="B139" s="2"/>
      <c r="C139" s="3" t="s">
        <v>424</v>
      </c>
      <c r="D139" s="1" t="s">
        <v>425</v>
      </c>
      <c r="E139" s="1" t="s">
        <v>14</v>
      </c>
      <c r="F139" s="2">
        <v>1</v>
      </c>
      <c r="G139" s="2"/>
    </row>
    <row r="140" spans="1:7" x14ac:dyDescent="0.3">
      <c r="B140" s="2"/>
      <c r="C140" s="1" t="s">
        <v>426</v>
      </c>
      <c r="D140" s="1" t="s">
        <v>427</v>
      </c>
      <c r="E140" s="1" t="s">
        <v>14</v>
      </c>
      <c r="F140" s="2">
        <v>1</v>
      </c>
      <c r="G140" s="2"/>
    </row>
    <row r="141" spans="1:7" x14ac:dyDescent="0.3">
      <c r="B141" s="2"/>
      <c r="C141" s="1" t="s">
        <v>428</v>
      </c>
      <c r="D141" s="1" t="s">
        <v>429</v>
      </c>
      <c r="E141" s="1" t="s">
        <v>14</v>
      </c>
      <c r="F141" s="2">
        <v>1</v>
      </c>
      <c r="G141" s="2"/>
    </row>
    <row r="142" spans="1:7" x14ac:dyDescent="0.3">
      <c r="A142" s="3" t="s">
        <v>430</v>
      </c>
      <c r="B142" s="2">
        <v>5</v>
      </c>
      <c r="F142" s="2"/>
      <c r="G142" s="2">
        <v>1</v>
      </c>
    </row>
    <row r="143" spans="1:7" x14ac:dyDescent="0.3">
      <c r="B143" s="2"/>
      <c r="C143" s="1" t="s">
        <v>431</v>
      </c>
      <c r="D143" s="1" t="s">
        <v>432</v>
      </c>
      <c r="E143" s="1" t="s">
        <v>14</v>
      </c>
      <c r="F143" s="2">
        <v>1</v>
      </c>
      <c r="G143" s="2"/>
    </row>
    <row r="144" spans="1:7" x14ac:dyDescent="0.3">
      <c r="B144" s="2"/>
      <c r="C144" s="1" t="s">
        <v>433</v>
      </c>
      <c r="D144" s="1" t="s">
        <v>394</v>
      </c>
      <c r="E144" s="1" t="s">
        <v>14</v>
      </c>
      <c r="F144" s="2">
        <v>1</v>
      </c>
      <c r="G144" s="2"/>
    </row>
    <row r="145" spans="1:7" x14ac:dyDescent="0.3">
      <c r="B145" s="2"/>
      <c r="C145" s="1" t="s">
        <v>434</v>
      </c>
      <c r="D145" s="1" t="s">
        <v>435</v>
      </c>
      <c r="E145" s="1" t="s">
        <v>14</v>
      </c>
      <c r="F145" s="2">
        <v>1</v>
      </c>
      <c r="G145" s="2"/>
    </row>
    <row r="146" spans="1:7" x14ac:dyDescent="0.3">
      <c r="B146" s="2"/>
      <c r="C146" s="1" t="s">
        <v>436</v>
      </c>
      <c r="D146" s="1" t="s">
        <v>437</v>
      </c>
      <c r="E146" s="1" t="s">
        <v>14</v>
      </c>
      <c r="F146" s="2">
        <v>1</v>
      </c>
      <c r="G146" s="2"/>
    </row>
    <row r="147" spans="1:7" x14ac:dyDescent="0.3">
      <c r="B147" s="2"/>
      <c r="C147" s="1" t="s">
        <v>438</v>
      </c>
      <c r="D147" s="1" t="s">
        <v>439</v>
      </c>
      <c r="E147" s="1" t="s">
        <v>14</v>
      </c>
      <c r="F147" s="2">
        <v>1</v>
      </c>
      <c r="G147" s="2"/>
    </row>
    <row r="148" spans="1:7" x14ac:dyDescent="0.3">
      <c r="B148" s="2"/>
      <c r="F148" s="2"/>
      <c r="G148" s="2"/>
    </row>
    <row r="149" spans="1:7" x14ac:dyDescent="0.3">
      <c r="B149" s="2"/>
      <c r="F149" s="2"/>
      <c r="G149" s="2"/>
    </row>
    <row r="150" spans="1:7" x14ac:dyDescent="0.3">
      <c r="B150" s="2"/>
      <c r="F150" s="2"/>
      <c r="G150" s="2"/>
    </row>
    <row r="151" spans="1:7" x14ac:dyDescent="0.3">
      <c r="B151" s="2"/>
      <c r="F151" s="2"/>
      <c r="G151" s="2"/>
    </row>
    <row r="152" spans="1:7" ht="28.8" x14ac:dyDescent="0.3">
      <c r="A152" s="3" t="s">
        <v>440</v>
      </c>
      <c r="B152" s="2">
        <v>5</v>
      </c>
      <c r="F152" s="2"/>
      <c r="G152" s="2">
        <v>1</v>
      </c>
    </row>
    <row r="153" spans="1:7" x14ac:dyDescent="0.3">
      <c r="B153" s="2"/>
      <c r="C153" s="1" t="s">
        <v>441</v>
      </c>
      <c r="D153" s="1" t="s">
        <v>325</v>
      </c>
      <c r="E153" s="1" t="s">
        <v>14</v>
      </c>
      <c r="F153" s="2">
        <v>1</v>
      </c>
      <c r="G153" s="2"/>
    </row>
    <row r="154" spans="1:7" x14ac:dyDescent="0.3">
      <c r="B154" s="2"/>
      <c r="C154" s="1" t="s">
        <v>442</v>
      </c>
      <c r="D154" s="1" t="s">
        <v>443</v>
      </c>
      <c r="E154" s="1" t="s">
        <v>14</v>
      </c>
      <c r="F154" s="2">
        <v>1</v>
      </c>
      <c r="G154" s="2"/>
    </row>
    <row r="155" spans="1:7" x14ac:dyDescent="0.3">
      <c r="A155" s="3"/>
      <c r="B155" s="2"/>
      <c r="C155" s="1" t="s">
        <v>444</v>
      </c>
      <c r="D155" s="1" t="s">
        <v>420</v>
      </c>
      <c r="E155" s="1" t="s">
        <v>37</v>
      </c>
      <c r="F155" s="2">
        <v>1</v>
      </c>
      <c r="G155" s="2"/>
    </row>
    <row r="156" spans="1:7" x14ac:dyDescent="0.3">
      <c r="B156" s="2"/>
      <c r="C156" s="1" t="s">
        <v>445</v>
      </c>
      <c r="D156" s="1" t="s">
        <v>299</v>
      </c>
      <c r="E156" s="1" t="s">
        <v>37</v>
      </c>
      <c r="F156" s="2">
        <v>1</v>
      </c>
      <c r="G156" s="2"/>
    </row>
    <row r="157" spans="1:7" x14ac:dyDescent="0.3">
      <c r="B157" s="2"/>
      <c r="C157" s="1" t="s">
        <v>446</v>
      </c>
      <c r="D157" s="1" t="s">
        <v>447</v>
      </c>
      <c r="E157" s="1" t="s">
        <v>14</v>
      </c>
      <c r="F157" s="2">
        <v>1</v>
      </c>
      <c r="G157" s="2"/>
    </row>
    <row r="158" spans="1:7" ht="28.8" x14ac:dyDescent="0.3">
      <c r="A158" s="3" t="s">
        <v>448</v>
      </c>
      <c r="B158" s="2">
        <v>4</v>
      </c>
      <c r="F158" s="2"/>
      <c r="G158" s="2">
        <v>1</v>
      </c>
    </row>
    <row r="159" spans="1:7" x14ac:dyDescent="0.3">
      <c r="B159" s="2"/>
      <c r="C159" s="1" t="s">
        <v>449</v>
      </c>
      <c r="D159" s="1" t="s">
        <v>450</v>
      </c>
      <c r="E159" s="1" t="s">
        <v>14</v>
      </c>
      <c r="F159" s="2">
        <v>1</v>
      </c>
      <c r="G159" s="2"/>
    </row>
    <row r="160" spans="1:7" x14ac:dyDescent="0.3">
      <c r="B160" s="2"/>
      <c r="C160" s="1" t="s">
        <v>451</v>
      </c>
      <c r="D160" s="1" t="s">
        <v>450</v>
      </c>
      <c r="E160" s="1" t="s">
        <v>14</v>
      </c>
      <c r="F160" s="2">
        <v>1</v>
      </c>
      <c r="G160" s="2"/>
    </row>
    <row r="161" spans="2:7" x14ac:dyDescent="0.3">
      <c r="B161" s="2"/>
      <c r="C161" s="1" t="s">
        <v>452</v>
      </c>
      <c r="D161" s="1" t="s">
        <v>450</v>
      </c>
      <c r="E161" s="1" t="s">
        <v>14</v>
      </c>
      <c r="F161" s="2">
        <v>1</v>
      </c>
      <c r="G161" s="2"/>
    </row>
    <row r="162" spans="2:7" x14ac:dyDescent="0.3">
      <c r="C162" s="1" t="s">
        <v>453</v>
      </c>
      <c r="D162" s="1" t="s">
        <v>450</v>
      </c>
      <c r="E162" s="1" t="s">
        <v>14</v>
      </c>
      <c r="F162" s="2">
        <v>1</v>
      </c>
      <c r="G162" s="2"/>
    </row>
    <row r="163" spans="2:7" x14ac:dyDescent="0.3">
      <c r="B163" s="1">
        <f>SUM(B6:B162)</f>
        <v>120</v>
      </c>
      <c r="F163" s="1">
        <f>SUM(F8:F162)</f>
        <v>120</v>
      </c>
      <c r="G163" s="2">
        <f>SUM(G6:G162)</f>
        <v>25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5DB10-6CFC-4A6A-B064-1FA43B5AF596}">
  <sheetPr>
    <tabColor rgb="FFFF0000"/>
  </sheetPr>
  <dimension ref="A1:G151"/>
  <sheetViews>
    <sheetView workbookViewId="0">
      <selection activeCell="F7" sqref="F7"/>
    </sheetView>
  </sheetViews>
  <sheetFormatPr defaultColWidth="9.109375" defaultRowHeight="14.4" x14ac:dyDescent="0.3"/>
  <cols>
    <col min="1" max="1" width="27" style="1" customWidth="1"/>
    <col min="2" max="2" width="8.44140625" style="1" customWidth="1"/>
    <col min="3" max="3" width="32" style="1" customWidth="1"/>
    <col min="4" max="4" width="21" style="1" customWidth="1"/>
    <col min="5" max="5" width="9.109375" style="1"/>
    <col min="6" max="6" width="8.44140625" style="1" customWidth="1"/>
    <col min="7" max="7" width="9.109375" style="1"/>
    <col min="8" max="8" width="15.33203125" style="1" customWidth="1"/>
    <col min="9" max="16384" width="9.109375" style="1"/>
  </cols>
  <sheetData>
    <row r="1" spans="1:7" x14ac:dyDescent="0.3">
      <c r="A1" s="1" t="s">
        <v>454</v>
      </c>
    </row>
    <row r="2" spans="1:7" x14ac:dyDescent="0.3">
      <c r="A2" s="1" t="s">
        <v>1</v>
      </c>
    </row>
    <row r="3" spans="1:7" x14ac:dyDescent="0.3">
      <c r="A3" s="1" t="s">
        <v>2</v>
      </c>
    </row>
    <row r="4" spans="1:7" x14ac:dyDescent="0.3">
      <c r="A4" s="1" t="s">
        <v>3</v>
      </c>
    </row>
    <row r="5" spans="1:7" ht="43.2" x14ac:dyDescent="0.3">
      <c r="A5" s="6" t="s">
        <v>4</v>
      </c>
      <c r="B5" s="7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455</v>
      </c>
    </row>
    <row r="6" spans="1:7" x14ac:dyDescent="0.3">
      <c r="A6" s="3" t="s">
        <v>55</v>
      </c>
      <c r="B6" s="5">
        <v>5</v>
      </c>
      <c r="F6" s="2"/>
      <c r="G6" s="2">
        <v>1</v>
      </c>
    </row>
    <row r="7" spans="1:7" x14ac:dyDescent="0.3">
      <c r="B7" s="2"/>
      <c r="C7" s="1" t="s">
        <v>456</v>
      </c>
      <c r="D7" s="1" t="s">
        <v>26</v>
      </c>
      <c r="E7" s="1" t="s">
        <v>14</v>
      </c>
      <c r="F7" s="2">
        <v>1</v>
      </c>
      <c r="G7" s="2">
        <v>1</v>
      </c>
    </row>
    <row r="8" spans="1:7" x14ac:dyDescent="0.3">
      <c r="B8" s="2"/>
      <c r="C8" s="1" t="s">
        <v>457</v>
      </c>
      <c r="D8" s="1" t="s">
        <v>458</v>
      </c>
      <c r="E8" s="1" t="s">
        <v>14</v>
      </c>
      <c r="F8" s="2">
        <v>1</v>
      </c>
      <c r="G8" s="2">
        <v>1</v>
      </c>
    </row>
    <row r="9" spans="1:7" x14ac:dyDescent="0.3">
      <c r="B9" s="2"/>
      <c r="C9" s="1" t="s">
        <v>459</v>
      </c>
      <c r="D9" s="1" t="s">
        <v>460</v>
      </c>
      <c r="E9" s="1" t="s">
        <v>14</v>
      </c>
      <c r="F9" s="2">
        <v>1</v>
      </c>
      <c r="G9" s="2">
        <v>1</v>
      </c>
    </row>
    <row r="10" spans="1:7" x14ac:dyDescent="0.3">
      <c r="B10" s="2"/>
      <c r="C10" s="1" t="s">
        <v>461</v>
      </c>
      <c r="D10" s="1" t="s">
        <v>462</v>
      </c>
      <c r="E10" s="1" t="s">
        <v>14</v>
      </c>
      <c r="F10" s="2">
        <v>1</v>
      </c>
      <c r="G10" s="2">
        <v>1</v>
      </c>
    </row>
    <row r="11" spans="1:7" x14ac:dyDescent="0.3">
      <c r="B11" s="2"/>
      <c r="C11" s="1" t="s">
        <v>463</v>
      </c>
      <c r="D11" s="1" t="s">
        <v>277</v>
      </c>
      <c r="E11" s="1" t="s">
        <v>14</v>
      </c>
      <c r="F11" s="2">
        <v>1</v>
      </c>
      <c r="G11" s="2">
        <v>1</v>
      </c>
    </row>
    <row r="12" spans="1:7" x14ac:dyDescent="0.3">
      <c r="A12" s="1" t="s">
        <v>464</v>
      </c>
      <c r="B12" s="2">
        <v>5</v>
      </c>
      <c r="F12" s="2"/>
      <c r="G12" s="2">
        <v>1</v>
      </c>
    </row>
    <row r="13" spans="1:7" x14ac:dyDescent="0.3">
      <c r="A13" s="3"/>
      <c r="B13" s="2"/>
      <c r="C13" s="1" t="s">
        <v>465</v>
      </c>
      <c r="D13" s="1" t="s">
        <v>466</v>
      </c>
      <c r="E13" s="1" t="s">
        <v>14</v>
      </c>
      <c r="F13" s="2">
        <v>1</v>
      </c>
      <c r="G13" s="2">
        <v>1</v>
      </c>
    </row>
    <row r="14" spans="1:7" x14ac:dyDescent="0.3">
      <c r="B14" s="2"/>
      <c r="C14" s="1" t="s">
        <v>467</v>
      </c>
      <c r="D14" s="1" t="s">
        <v>468</v>
      </c>
      <c r="E14" s="1" t="s">
        <v>14</v>
      </c>
      <c r="F14" s="2">
        <v>1</v>
      </c>
      <c r="G14" s="2">
        <v>1</v>
      </c>
    </row>
    <row r="15" spans="1:7" x14ac:dyDescent="0.3">
      <c r="B15" s="2"/>
      <c r="C15" s="1" t="s">
        <v>469</v>
      </c>
      <c r="D15" s="1" t="s">
        <v>470</v>
      </c>
      <c r="E15" s="1" t="s">
        <v>14</v>
      </c>
      <c r="F15" s="2">
        <v>1</v>
      </c>
      <c r="G15" s="2">
        <v>1</v>
      </c>
    </row>
    <row r="16" spans="1:7" x14ac:dyDescent="0.3">
      <c r="B16" s="2"/>
      <c r="C16" s="1" t="s">
        <v>471</v>
      </c>
      <c r="D16" s="1" t="s">
        <v>472</v>
      </c>
      <c r="E16" s="1" t="s">
        <v>14</v>
      </c>
      <c r="F16" s="2">
        <v>1</v>
      </c>
      <c r="G16" s="2">
        <v>1</v>
      </c>
    </row>
    <row r="17" spans="1:7" x14ac:dyDescent="0.3">
      <c r="B17" s="2"/>
      <c r="C17" s="1" t="s">
        <v>473</v>
      </c>
      <c r="D17" s="1" t="s">
        <v>97</v>
      </c>
      <c r="E17" s="1" t="s">
        <v>14</v>
      </c>
      <c r="F17" s="2">
        <v>1</v>
      </c>
      <c r="G17" s="2">
        <v>1</v>
      </c>
    </row>
    <row r="18" spans="1:7" x14ac:dyDescent="0.3">
      <c r="A18" s="3" t="s">
        <v>474</v>
      </c>
      <c r="B18" s="2">
        <v>5</v>
      </c>
      <c r="F18" s="2"/>
      <c r="G18" s="2">
        <v>1</v>
      </c>
    </row>
    <row r="19" spans="1:7" x14ac:dyDescent="0.3">
      <c r="B19" s="2"/>
      <c r="C19" s="1" t="s">
        <v>475</v>
      </c>
      <c r="D19" s="1" t="s">
        <v>476</v>
      </c>
      <c r="E19" s="1" t="s">
        <v>14</v>
      </c>
      <c r="F19" s="2">
        <v>1</v>
      </c>
      <c r="G19" s="2">
        <v>1</v>
      </c>
    </row>
    <row r="20" spans="1:7" x14ac:dyDescent="0.3">
      <c r="B20" s="2"/>
      <c r="C20" s="1" t="s">
        <v>477</v>
      </c>
      <c r="D20" s="1" t="s">
        <v>478</v>
      </c>
      <c r="E20" s="1" t="s">
        <v>14</v>
      </c>
      <c r="F20" s="2">
        <v>1</v>
      </c>
      <c r="G20" s="2">
        <v>1</v>
      </c>
    </row>
    <row r="21" spans="1:7" x14ac:dyDescent="0.3">
      <c r="B21" s="2"/>
      <c r="C21" s="1" t="s">
        <v>479</v>
      </c>
      <c r="D21" s="1" t="s">
        <v>480</v>
      </c>
      <c r="E21" s="1" t="s">
        <v>14</v>
      </c>
      <c r="F21" s="2">
        <v>1</v>
      </c>
      <c r="G21" s="2">
        <v>1</v>
      </c>
    </row>
    <row r="22" spans="1:7" x14ac:dyDescent="0.3">
      <c r="B22" s="2"/>
      <c r="C22" s="3" t="s">
        <v>481</v>
      </c>
      <c r="D22" s="1" t="s">
        <v>482</v>
      </c>
      <c r="E22" s="1" t="s">
        <v>14</v>
      </c>
      <c r="F22" s="2">
        <v>1</v>
      </c>
      <c r="G22" s="2">
        <v>1</v>
      </c>
    </row>
    <row r="23" spans="1:7" x14ac:dyDescent="0.3">
      <c r="B23" s="2"/>
      <c r="C23" s="3" t="s">
        <v>483</v>
      </c>
      <c r="D23" s="1" t="s">
        <v>484</v>
      </c>
      <c r="E23" s="1" t="s">
        <v>14</v>
      </c>
      <c r="F23" s="2">
        <v>1</v>
      </c>
      <c r="G23" s="2">
        <v>1</v>
      </c>
    </row>
    <row r="24" spans="1:7" x14ac:dyDescent="0.3">
      <c r="A24" s="1" t="s">
        <v>485</v>
      </c>
      <c r="B24" s="2">
        <v>5</v>
      </c>
      <c r="F24" s="2"/>
      <c r="G24" s="2">
        <v>1</v>
      </c>
    </row>
    <row r="25" spans="1:7" x14ac:dyDescent="0.3">
      <c r="A25" s="3"/>
      <c r="B25" s="2"/>
      <c r="C25" s="1" t="s">
        <v>486</v>
      </c>
      <c r="D25" s="1" t="s">
        <v>277</v>
      </c>
      <c r="E25" s="1" t="s">
        <v>14</v>
      </c>
      <c r="F25" s="2">
        <v>1</v>
      </c>
      <c r="G25" s="2">
        <v>1</v>
      </c>
    </row>
    <row r="26" spans="1:7" x14ac:dyDescent="0.3">
      <c r="B26" s="2"/>
      <c r="C26" s="1" t="s">
        <v>487</v>
      </c>
      <c r="D26" s="1" t="s">
        <v>488</v>
      </c>
      <c r="E26" s="1" t="s">
        <v>14</v>
      </c>
      <c r="F26" s="2">
        <v>1</v>
      </c>
      <c r="G26" s="2">
        <v>1</v>
      </c>
    </row>
    <row r="27" spans="1:7" x14ac:dyDescent="0.3">
      <c r="B27" s="2"/>
      <c r="C27" s="1" t="s">
        <v>489</v>
      </c>
      <c r="D27" s="1" t="s">
        <v>490</v>
      </c>
      <c r="E27" s="1" t="s">
        <v>14</v>
      </c>
      <c r="F27" s="2">
        <v>1</v>
      </c>
      <c r="G27" s="2">
        <v>1</v>
      </c>
    </row>
    <row r="28" spans="1:7" x14ac:dyDescent="0.3">
      <c r="B28" s="2"/>
      <c r="C28" s="1" t="s">
        <v>491</v>
      </c>
      <c r="D28" s="1" t="s">
        <v>492</v>
      </c>
      <c r="E28" s="1" t="s">
        <v>14</v>
      </c>
      <c r="F28" s="2">
        <v>1</v>
      </c>
      <c r="G28" s="2">
        <v>1</v>
      </c>
    </row>
    <row r="29" spans="1:7" x14ac:dyDescent="0.3">
      <c r="B29" s="2"/>
      <c r="C29" s="1" t="s">
        <v>493</v>
      </c>
      <c r="D29" s="1" t="s">
        <v>270</v>
      </c>
      <c r="E29" s="1" t="s">
        <v>14</v>
      </c>
      <c r="F29" s="2">
        <v>1</v>
      </c>
      <c r="G29" s="2">
        <v>1</v>
      </c>
    </row>
    <row r="30" spans="1:7" ht="28.8" x14ac:dyDescent="0.3">
      <c r="A30" s="3" t="s">
        <v>494</v>
      </c>
      <c r="B30" s="2">
        <v>5</v>
      </c>
      <c r="F30" s="2"/>
      <c r="G30" s="2">
        <v>1</v>
      </c>
    </row>
    <row r="31" spans="1:7" x14ac:dyDescent="0.3">
      <c r="A31" s="3"/>
      <c r="B31" s="2"/>
      <c r="C31" s="1" t="s">
        <v>495</v>
      </c>
      <c r="D31" s="1" t="s">
        <v>496</v>
      </c>
      <c r="E31" s="1" t="s">
        <v>14</v>
      </c>
      <c r="F31" s="2">
        <v>1</v>
      </c>
      <c r="G31" s="2">
        <v>1</v>
      </c>
    </row>
    <row r="32" spans="1:7" x14ac:dyDescent="0.3">
      <c r="C32" s="1" t="s">
        <v>497</v>
      </c>
      <c r="D32" s="1" t="s">
        <v>496</v>
      </c>
      <c r="E32" s="1" t="s">
        <v>14</v>
      </c>
      <c r="F32" s="2">
        <v>1</v>
      </c>
      <c r="G32" s="2">
        <v>1</v>
      </c>
    </row>
    <row r="33" spans="1:7" x14ac:dyDescent="0.3">
      <c r="B33" s="2"/>
      <c r="C33" s="1" t="s">
        <v>498</v>
      </c>
      <c r="D33" s="1" t="s">
        <v>496</v>
      </c>
      <c r="E33" s="1" t="s">
        <v>14</v>
      </c>
      <c r="F33" s="2">
        <v>1</v>
      </c>
      <c r="G33" s="2">
        <v>1</v>
      </c>
    </row>
    <row r="34" spans="1:7" x14ac:dyDescent="0.3">
      <c r="B34" s="2"/>
      <c r="C34" s="1" t="s">
        <v>499</v>
      </c>
      <c r="D34" s="1" t="s">
        <v>496</v>
      </c>
      <c r="E34" s="1" t="s">
        <v>14</v>
      </c>
      <c r="F34" s="2">
        <v>1</v>
      </c>
      <c r="G34" s="2">
        <v>1</v>
      </c>
    </row>
    <row r="35" spans="1:7" x14ac:dyDescent="0.3">
      <c r="B35" s="2"/>
      <c r="C35" s="1" t="s">
        <v>500</v>
      </c>
      <c r="D35" s="1" t="s">
        <v>496</v>
      </c>
      <c r="E35" s="1" t="s">
        <v>14</v>
      </c>
      <c r="F35" s="2">
        <v>1</v>
      </c>
      <c r="G35" s="2">
        <v>1</v>
      </c>
    </row>
    <row r="36" spans="1:7" ht="28.8" x14ac:dyDescent="0.3">
      <c r="A36" s="3" t="s">
        <v>501</v>
      </c>
      <c r="B36" s="1">
        <v>4</v>
      </c>
      <c r="G36" s="2">
        <v>1</v>
      </c>
    </row>
    <row r="37" spans="1:7" x14ac:dyDescent="0.3">
      <c r="B37" s="2"/>
      <c r="C37" s="1" t="s">
        <v>502</v>
      </c>
      <c r="D37" s="1" t="s">
        <v>503</v>
      </c>
      <c r="E37" s="1" t="s">
        <v>37</v>
      </c>
      <c r="F37" s="2">
        <v>1</v>
      </c>
      <c r="G37" s="2">
        <v>1</v>
      </c>
    </row>
    <row r="38" spans="1:7" x14ac:dyDescent="0.3">
      <c r="B38" s="2"/>
      <c r="C38" s="1" t="s">
        <v>504</v>
      </c>
      <c r="D38" s="1" t="s">
        <v>505</v>
      </c>
      <c r="E38" s="1" t="s">
        <v>14</v>
      </c>
      <c r="F38" s="2">
        <v>1</v>
      </c>
      <c r="G38" s="2">
        <v>1</v>
      </c>
    </row>
    <row r="39" spans="1:7" x14ac:dyDescent="0.3">
      <c r="B39" s="2"/>
      <c r="C39" s="1" t="s">
        <v>506</v>
      </c>
      <c r="D39" s="1" t="s">
        <v>507</v>
      </c>
      <c r="E39" s="1" t="s">
        <v>37</v>
      </c>
      <c r="F39" s="2">
        <v>1</v>
      </c>
      <c r="G39" s="2">
        <v>1</v>
      </c>
    </row>
    <row r="40" spans="1:7" x14ac:dyDescent="0.3">
      <c r="A40" s="3"/>
      <c r="B40" s="2"/>
      <c r="C40" s="1" t="s">
        <v>508</v>
      </c>
      <c r="D40" s="1" t="s">
        <v>423</v>
      </c>
      <c r="E40" s="1" t="s">
        <v>14</v>
      </c>
      <c r="F40" s="2">
        <v>1</v>
      </c>
      <c r="G40" s="2">
        <v>1</v>
      </c>
    </row>
    <row r="41" spans="1:7" ht="28.8" x14ac:dyDescent="0.3">
      <c r="A41" s="3" t="s">
        <v>509</v>
      </c>
      <c r="B41" s="2">
        <v>4</v>
      </c>
      <c r="C41" s="3"/>
      <c r="F41" s="2"/>
      <c r="G41" s="2">
        <v>1</v>
      </c>
    </row>
    <row r="42" spans="1:7" x14ac:dyDescent="0.3">
      <c r="B42" s="2"/>
      <c r="C42" s="1" t="s">
        <v>510</v>
      </c>
      <c r="D42" s="1" t="s">
        <v>511</v>
      </c>
      <c r="E42" s="1" t="s">
        <v>37</v>
      </c>
      <c r="F42" s="2">
        <v>1</v>
      </c>
      <c r="G42" s="2">
        <v>1</v>
      </c>
    </row>
    <row r="43" spans="1:7" x14ac:dyDescent="0.3">
      <c r="B43" s="2"/>
      <c r="C43" s="1" t="s">
        <v>512</v>
      </c>
      <c r="D43" s="1" t="s">
        <v>513</v>
      </c>
      <c r="E43" s="1" t="s">
        <v>37</v>
      </c>
      <c r="F43" s="2">
        <v>1</v>
      </c>
      <c r="G43" s="2">
        <v>1</v>
      </c>
    </row>
    <row r="44" spans="1:7" x14ac:dyDescent="0.3">
      <c r="B44" s="2"/>
      <c r="C44" s="1" t="s">
        <v>514</v>
      </c>
      <c r="D44" s="1" t="s">
        <v>515</v>
      </c>
      <c r="E44" s="1" t="s">
        <v>37</v>
      </c>
      <c r="F44" s="2">
        <v>1</v>
      </c>
      <c r="G44" s="2">
        <v>1</v>
      </c>
    </row>
    <row r="45" spans="1:7" x14ac:dyDescent="0.3">
      <c r="B45" s="2"/>
      <c r="C45" s="1" t="s">
        <v>516</v>
      </c>
      <c r="D45" s="1" t="s">
        <v>517</v>
      </c>
      <c r="E45" s="1" t="s">
        <v>37</v>
      </c>
      <c r="F45" s="2">
        <v>1</v>
      </c>
      <c r="G45" s="2">
        <v>1</v>
      </c>
    </row>
    <row r="46" spans="1:7" x14ac:dyDescent="0.3">
      <c r="A46" s="3" t="s">
        <v>518</v>
      </c>
      <c r="B46" s="2">
        <v>5</v>
      </c>
      <c r="F46" s="2"/>
      <c r="G46" s="2">
        <v>1</v>
      </c>
    </row>
    <row r="47" spans="1:7" x14ac:dyDescent="0.3">
      <c r="B47" s="2"/>
      <c r="C47" s="1" t="s">
        <v>519</v>
      </c>
      <c r="D47" s="1" t="s">
        <v>520</v>
      </c>
      <c r="E47" s="1" t="s">
        <v>37</v>
      </c>
      <c r="F47" s="2">
        <v>1</v>
      </c>
      <c r="G47" s="2">
        <v>1</v>
      </c>
    </row>
    <row r="48" spans="1:7" x14ac:dyDescent="0.3">
      <c r="B48" s="2"/>
      <c r="C48" s="1" t="s">
        <v>521</v>
      </c>
      <c r="D48" s="1" t="s">
        <v>520</v>
      </c>
      <c r="E48" s="1" t="s">
        <v>37</v>
      </c>
      <c r="F48" s="2">
        <v>1</v>
      </c>
      <c r="G48" s="2">
        <v>1</v>
      </c>
    </row>
    <row r="49" spans="1:7" x14ac:dyDescent="0.3">
      <c r="B49" s="2"/>
      <c r="C49" s="1" t="s">
        <v>522</v>
      </c>
      <c r="D49" s="1" t="s">
        <v>520</v>
      </c>
      <c r="E49" s="1" t="s">
        <v>37</v>
      </c>
      <c r="F49" s="2">
        <v>1</v>
      </c>
      <c r="G49" s="2">
        <v>1</v>
      </c>
    </row>
    <row r="50" spans="1:7" x14ac:dyDescent="0.3">
      <c r="B50" s="2"/>
      <c r="C50" s="1" t="s">
        <v>523</v>
      </c>
      <c r="D50" s="1" t="s">
        <v>520</v>
      </c>
      <c r="E50" s="1" t="s">
        <v>37</v>
      </c>
      <c r="F50" s="2">
        <v>1</v>
      </c>
      <c r="G50" s="2">
        <v>1</v>
      </c>
    </row>
    <row r="51" spans="1:7" x14ac:dyDescent="0.3">
      <c r="A51" s="3"/>
      <c r="B51" s="2"/>
      <c r="C51" s="1" t="s">
        <v>524</v>
      </c>
      <c r="D51" s="1" t="s">
        <v>520</v>
      </c>
      <c r="E51" s="1" t="s">
        <v>37</v>
      </c>
      <c r="F51" s="2">
        <v>1</v>
      </c>
      <c r="G51" s="2">
        <v>1</v>
      </c>
    </row>
    <row r="52" spans="1:7" ht="28.8" x14ac:dyDescent="0.3">
      <c r="A52" s="3" t="s">
        <v>525</v>
      </c>
      <c r="B52" s="2">
        <v>5</v>
      </c>
      <c r="F52" s="2"/>
      <c r="G52" s="2">
        <v>1</v>
      </c>
    </row>
    <row r="53" spans="1:7" x14ac:dyDescent="0.3">
      <c r="A53" s="3"/>
      <c r="B53" s="2"/>
      <c r="C53" s="1" t="s">
        <v>526</v>
      </c>
      <c r="D53" s="1" t="s">
        <v>527</v>
      </c>
      <c r="E53" s="1" t="s">
        <v>14</v>
      </c>
      <c r="F53" s="2">
        <v>1</v>
      </c>
      <c r="G53" s="2">
        <v>1</v>
      </c>
    </row>
    <row r="54" spans="1:7" x14ac:dyDescent="0.3">
      <c r="B54" s="2"/>
      <c r="C54" s="1" t="s">
        <v>528</v>
      </c>
      <c r="D54" s="1" t="s">
        <v>529</v>
      </c>
      <c r="E54" s="1" t="s">
        <v>14</v>
      </c>
      <c r="F54" s="2">
        <v>1</v>
      </c>
      <c r="G54" s="2">
        <v>1</v>
      </c>
    </row>
    <row r="55" spans="1:7" x14ac:dyDescent="0.3">
      <c r="B55" s="2"/>
      <c r="C55" s="1" t="s">
        <v>530</v>
      </c>
      <c r="D55" s="1" t="s">
        <v>531</v>
      </c>
      <c r="E55" s="1" t="s">
        <v>14</v>
      </c>
      <c r="F55" s="2">
        <v>1</v>
      </c>
      <c r="G55" s="2">
        <v>1</v>
      </c>
    </row>
    <row r="56" spans="1:7" x14ac:dyDescent="0.3">
      <c r="B56" s="2"/>
      <c r="C56" s="1" t="s">
        <v>532</v>
      </c>
      <c r="D56" s="1" t="s">
        <v>48</v>
      </c>
      <c r="E56" s="1" t="s">
        <v>14</v>
      </c>
      <c r="F56" s="2">
        <v>1</v>
      </c>
      <c r="G56" s="2">
        <v>1</v>
      </c>
    </row>
    <row r="57" spans="1:7" x14ac:dyDescent="0.3">
      <c r="A57" s="3"/>
      <c r="B57" s="2"/>
      <c r="C57" s="1" t="s">
        <v>533</v>
      </c>
      <c r="D57" s="1" t="s">
        <v>534</v>
      </c>
      <c r="E57" s="1" t="s">
        <v>14</v>
      </c>
      <c r="F57" s="2">
        <v>1</v>
      </c>
      <c r="G57" s="2">
        <v>1</v>
      </c>
    </row>
    <row r="58" spans="1:7" x14ac:dyDescent="0.3">
      <c r="A58" s="1" t="s">
        <v>535</v>
      </c>
      <c r="B58" s="2">
        <v>4</v>
      </c>
      <c r="F58" s="2"/>
      <c r="G58" s="2">
        <v>1</v>
      </c>
    </row>
    <row r="59" spans="1:7" x14ac:dyDescent="0.3">
      <c r="A59" s="3"/>
      <c r="B59" s="2"/>
      <c r="C59" s="1" t="s">
        <v>536</v>
      </c>
      <c r="D59" s="1" t="s">
        <v>537</v>
      </c>
      <c r="E59" s="1" t="s">
        <v>14</v>
      </c>
      <c r="F59" s="2">
        <v>1</v>
      </c>
      <c r="G59" s="2">
        <v>1</v>
      </c>
    </row>
    <row r="60" spans="1:7" x14ac:dyDescent="0.3">
      <c r="B60" s="2"/>
      <c r="C60" s="1" t="s">
        <v>538</v>
      </c>
      <c r="D60" s="1" t="s">
        <v>539</v>
      </c>
      <c r="E60" s="1" t="s">
        <v>14</v>
      </c>
      <c r="F60" s="2">
        <v>1</v>
      </c>
      <c r="G60" s="2">
        <v>1</v>
      </c>
    </row>
    <row r="61" spans="1:7" x14ac:dyDescent="0.3">
      <c r="B61" s="2"/>
      <c r="C61" s="1" t="s">
        <v>540</v>
      </c>
      <c r="D61" s="1" t="s">
        <v>541</v>
      </c>
      <c r="E61" s="1" t="s">
        <v>14</v>
      </c>
      <c r="F61" s="2">
        <v>1</v>
      </c>
      <c r="G61" s="2">
        <v>1</v>
      </c>
    </row>
    <row r="62" spans="1:7" x14ac:dyDescent="0.3">
      <c r="B62" s="2"/>
      <c r="C62" s="1" t="s">
        <v>542</v>
      </c>
      <c r="D62" s="1" t="s">
        <v>543</v>
      </c>
      <c r="E62" s="1" t="s">
        <v>14</v>
      </c>
      <c r="F62" s="2">
        <v>1</v>
      </c>
      <c r="G62" s="2">
        <v>1</v>
      </c>
    </row>
    <row r="63" spans="1:7" x14ac:dyDescent="0.3">
      <c r="A63" s="1" t="s">
        <v>394</v>
      </c>
      <c r="B63" s="2">
        <v>4</v>
      </c>
      <c r="F63" s="2"/>
      <c r="G63" s="2">
        <v>1</v>
      </c>
    </row>
    <row r="64" spans="1:7" x14ac:dyDescent="0.3">
      <c r="A64" s="3"/>
      <c r="B64" s="2"/>
      <c r="C64" s="3" t="s">
        <v>544</v>
      </c>
      <c r="D64" s="1" t="s">
        <v>394</v>
      </c>
      <c r="E64" s="1" t="s">
        <v>14</v>
      </c>
      <c r="F64" s="2">
        <v>1</v>
      </c>
      <c r="G64" s="2">
        <v>1</v>
      </c>
    </row>
    <row r="65" spans="1:7" x14ac:dyDescent="0.3">
      <c r="B65" s="2"/>
      <c r="C65" s="1" t="s">
        <v>545</v>
      </c>
      <c r="D65" s="1" t="s">
        <v>394</v>
      </c>
      <c r="E65" s="1" t="s">
        <v>14</v>
      </c>
      <c r="F65" s="2">
        <v>1</v>
      </c>
      <c r="G65" s="2">
        <v>1</v>
      </c>
    </row>
    <row r="66" spans="1:7" x14ac:dyDescent="0.3">
      <c r="B66" s="2"/>
      <c r="C66" s="1" t="s">
        <v>546</v>
      </c>
      <c r="D66" s="1" t="s">
        <v>394</v>
      </c>
      <c r="E66" s="1" t="s">
        <v>14</v>
      </c>
      <c r="F66" s="2">
        <v>1</v>
      </c>
      <c r="G66" s="2">
        <v>1</v>
      </c>
    </row>
    <row r="67" spans="1:7" x14ac:dyDescent="0.3">
      <c r="B67" s="2"/>
      <c r="C67" s="1" t="s">
        <v>547</v>
      </c>
      <c r="D67" s="1" t="s">
        <v>394</v>
      </c>
      <c r="E67" s="1" t="s">
        <v>14</v>
      </c>
      <c r="F67" s="2">
        <v>1</v>
      </c>
      <c r="G67" s="2">
        <v>1</v>
      </c>
    </row>
    <row r="68" spans="1:7" ht="28.8" x14ac:dyDescent="0.3">
      <c r="A68" s="3" t="s">
        <v>548</v>
      </c>
      <c r="B68" s="2">
        <v>5</v>
      </c>
      <c r="F68" s="2"/>
      <c r="G68" s="2">
        <v>1</v>
      </c>
    </row>
    <row r="69" spans="1:7" x14ac:dyDescent="0.3">
      <c r="B69" s="2"/>
      <c r="C69" s="1" t="s">
        <v>549</v>
      </c>
      <c r="D69" s="1" t="s">
        <v>550</v>
      </c>
      <c r="E69" s="1" t="s">
        <v>14</v>
      </c>
      <c r="F69" s="2">
        <v>1</v>
      </c>
      <c r="G69" s="2">
        <v>1</v>
      </c>
    </row>
    <row r="70" spans="1:7" x14ac:dyDescent="0.3">
      <c r="B70" s="2"/>
      <c r="C70" s="1" t="s">
        <v>551</v>
      </c>
      <c r="D70" s="1" t="s">
        <v>552</v>
      </c>
      <c r="E70" s="1" t="s">
        <v>14</v>
      </c>
      <c r="F70" s="2">
        <v>1</v>
      </c>
      <c r="G70" s="2">
        <v>1</v>
      </c>
    </row>
    <row r="71" spans="1:7" x14ac:dyDescent="0.3">
      <c r="B71" s="2"/>
      <c r="C71" s="1" t="s">
        <v>553</v>
      </c>
      <c r="D71" s="1" t="s">
        <v>554</v>
      </c>
      <c r="E71" s="1" t="s">
        <v>14</v>
      </c>
      <c r="F71" s="2">
        <v>1</v>
      </c>
      <c r="G71" s="2">
        <v>1</v>
      </c>
    </row>
    <row r="72" spans="1:7" x14ac:dyDescent="0.3">
      <c r="B72" s="2"/>
      <c r="C72" s="1" t="s">
        <v>555</v>
      </c>
      <c r="D72" s="1" t="s">
        <v>556</v>
      </c>
      <c r="E72" s="1" t="s">
        <v>14</v>
      </c>
      <c r="F72" s="2">
        <v>1</v>
      </c>
      <c r="G72" s="2">
        <v>1</v>
      </c>
    </row>
    <row r="73" spans="1:7" ht="28.8" x14ac:dyDescent="0.3">
      <c r="B73" s="2"/>
      <c r="C73" s="3" t="s">
        <v>557</v>
      </c>
      <c r="D73" s="1" t="s">
        <v>558</v>
      </c>
      <c r="E73" s="1" t="s">
        <v>14</v>
      </c>
      <c r="F73" s="2">
        <v>1</v>
      </c>
      <c r="G73" s="2">
        <v>1</v>
      </c>
    </row>
    <row r="74" spans="1:7" x14ac:dyDescent="0.3">
      <c r="A74" s="1" t="s">
        <v>559</v>
      </c>
      <c r="B74" s="2">
        <v>5</v>
      </c>
      <c r="F74" s="2"/>
      <c r="G74" s="2">
        <v>1</v>
      </c>
    </row>
    <row r="75" spans="1:7" x14ac:dyDescent="0.3">
      <c r="A75" s="3"/>
      <c r="B75" s="2"/>
      <c r="C75" s="1" t="s">
        <v>560</v>
      </c>
      <c r="D75" s="1" t="s">
        <v>561</v>
      </c>
      <c r="E75" s="1" t="s">
        <v>14</v>
      </c>
      <c r="F75" s="2">
        <v>1</v>
      </c>
      <c r="G75" s="2">
        <v>1</v>
      </c>
    </row>
    <row r="76" spans="1:7" ht="28.8" x14ac:dyDescent="0.3">
      <c r="B76" s="2"/>
      <c r="C76" s="3" t="s">
        <v>562</v>
      </c>
      <c r="D76" s="1" t="s">
        <v>563</v>
      </c>
      <c r="E76" s="1" t="s">
        <v>14</v>
      </c>
      <c r="F76" s="2">
        <v>1</v>
      </c>
      <c r="G76" s="2">
        <v>1</v>
      </c>
    </row>
    <row r="77" spans="1:7" ht="28.8" x14ac:dyDescent="0.3">
      <c r="A77" s="3"/>
      <c r="B77" s="2"/>
      <c r="C77" s="3" t="s">
        <v>564</v>
      </c>
      <c r="D77" s="1" t="s">
        <v>563</v>
      </c>
      <c r="E77" s="1" t="s">
        <v>14</v>
      </c>
      <c r="F77" s="2">
        <v>1</v>
      </c>
      <c r="G77" s="2">
        <v>1</v>
      </c>
    </row>
    <row r="78" spans="1:7" x14ac:dyDescent="0.3">
      <c r="A78" s="3"/>
      <c r="B78" s="2"/>
      <c r="C78" s="3" t="s">
        <v>565</v>
      </c>
      <c r="D78" s="1" t="s">
        <v>148</v>
      </c>
      <c r="E78" s="1" t="s">
        <v>14</v>
      </c>
      <c r="F78" s="2">
        <v>1</v>
      </c>
      <c r="G78" s="2">
        <v>1</v>
      </c>
    </row>
    <row r="79" spans="1:7" x14ac:dyDescent="0.3">
      <c r="B79" s="2"/>
      <c r="C79" s="3" t="s">
        <v>566</v>
      </c>
      <c r="D79" s="1" t="s">
        <v>567</v>
      </c>
      <c r="E79" s="1" t="s">
        <v>14</v>
      </c>
      <c r="F79" s="2">
        <v>1</v>
      </c>
      <c r="G79" s="2">
        <v>1</v>
      </c>
    </row>
    <row r="80" spans="1:7" x14ac:dyDescent="0.3">
      <c r="A80" s="1" t="s">
        <v>568</v>
      </c>
      <c r="B80" s="2">
        <v>6</v>
      </c>
      <c r="C80" s="3"/>
      <c r="F80" s="2"/>
      <c r="G80" s="2">
        <v>1</v>
      </c>
    </row>
    <row r="81" spans="1:7" x14ac:dyDescent="0.3">
      <c r="B81" s="2"/>
      <c r="C81" s="3" t="s">
        <v>569</v>
      </c>
      <c r="D81" s="1" t="s">
        <v>570</v>
      </c>
      <c r="E81" s="1" t="s">
        <v>14</v>
      </c>
      <c r="F81" s="2">
        <v>1</v>
      </c>
      <c r="G81" s="2">
        <v>1</v>
      </c>
    </row>
    <row r="82" spans="1:7" x14ac:dyDescent="0.3">
      <c r="A82" s="3"/>
      <c r="B82" s="2"/>
      <c r="C82" s="3" t="s">
        <v>571</v>
      </c>
      <c r="D82" s="1" t="s">
        <v>570</v>
      </c>
      <c r="E82" s="1" t="s">
        <v>14</v>
      </c>
      <c r="F82" s="2">
        <v>1</v>
      </c>
      <c r="G82" s="2">
        <v>1</v>
      </c>
    </row>
    <row r="83" spans="1:7" x14ac:dyDescent="0.3">
      <c r="B83" s="2"/>
      <c r="C83" s="3" t="s">
        <v>572</v>
      </c>
      <c r="D83" s="1" t="s">
        <v>573</v>
      </c>
      <c r="E83" s="1" t="s">
        <v>14</v>
      </c>
      <c r="F83" s="2">
        <v>1</v>
      </c>
      <c r="G83" s="2">
        <v>1</v>
      </c>
    </row>
    <row r="84" spans="1:7" x14ac:dyDescent="0.3">
      <c r="B84" s="2"/>
      <c r="C84" s="3" t="s">
        <v>574</v>
      </c>
      <c r="D84" s="1" t="s">
        <v>573</v>
      </c>
      <c r="E84" s="1" t="s">
        <v>14</v>
      </c>
      <c r="F84" s="2">
        <v>1</v>
      </c>
      <c r="G84" s="2">
        <v>1</v>
      </c>
    </row>
    <row r="85" spans="1:7" x14ac:dyDescent="0.3">
      <c r="B85" s="2"/>
      <c r="C85" s="3" t="s">
        <v>575</v>
      </c>
      <c r="D85" s="1" t="s">
        <v>576</v>
      </c>
      <c r="E85" s="1" t="s">
        <v>14</v>
      </c>
      <c r="F85" s="2">
        <v>1</v>
      </c>
      <c r="G85" s="2">
        <v>1</v>
      </c>
    </row>
    <row r="86" spans="1:7" x14ac:dyDescent="0.3">
      <c r="B86" s="2"/>
      <c r="C86" s="3" t="s">
        <v>577</v>
      </c>
      <c r="D86" s="1" t="s">
        <v>576</v>
      </c>
      <c r="E86" s="1" t="s">
        <v>14</v>
      </c>
      <c r="F86" s="2">
        <v>1</v>
      </c>
      <c r="G86" s="2">
        <v>1</v>
      </c>
    </row>
    <row r="87" spans="1:7" x14ac:dyDescent="0.3">
      <c r="A87" s="1" t="s">
        <v>578</v>
      </c>
      <c r="B87" s="2">
        <v>5</v>
      </c>
      <c r="F87" s="2"/>
      <c r="G87" s="2">
        <v>1</v>
      </c>
    </row>
    <row r="88" spans="1:7" x14ac:dyDescent="0.3">
      <c r="B88" s="2"/>
      <c r="C88" s="3" t="s">
        <v>579</v>
      </c>
      <c r="D88" s="1" t="s">
        <v>570</v>
      </c>
      <c r="E88" s="1" t="s">
        <v>14</v>
      </c>
      <c r="F88" s="2">
        <v>1</v>
      </c>
      <c r="G88" s="2">
        <v>1</v>
      </c>
    </row>
    <row r="89" spans="1:7" x14ac:dyDescent="0.3">
      <c r="A89" s="3"/>
      <c r="B89" s="2"/>
      <c r="C89" s="3" t="s">
        <v>580</v>
      </c>
      <c r="D89" s="1" t="s">
        <v>570</v>
      </c>
      <c r="E89" s="1" t="s">
        <v>14</v>
      </c>
      <c r="F89" s="2">
        <v>1</v>
      </c>
      <c r="G89" s="2">
        <v>1</v>
      </c>
    </row>
    <row r="90" spans="1:7" x14ac:dyDescent="0.3">
      <c r="B90" s="2"/>
      <c r="C90" s="3" t="s">
        <v>581</v>
      </c>
      <c r="D90" s="1" t="s">
        <v>570</v>
      </c>
      <c r="E90" s="1" t="s">
        <v>14</v>
      </c>
      <c r="F90" s="2">
        <v>1</v>
      </c>
      <c r="G90" s="2">
        <v>1</v>
      </c>
    </row>
    <row r="91" spans="1:7" x14ac:dyDescent="0.3">
      <c r="B91" s="2"/>
      <c r="C91" s="3" t="s">
        <v>582</v>
      </c>
      <c r="D91" s="1" t="s">
        <v>570</v>
      </c>
      <c r="E91" s="1" t="s">
        <v>14</v>
      </c>
      <c r="F91" s="2">
        <v>1</v>
      </c>
      <c r="G91" s="2">
        <v>1</v>
      </c>
    </row>
    <row r="92" spans="1:7" x14ac:dyDescent="0.3">
      <c r="B92" s="2"/>
      <c r="C92" s="3" t="s">
        <v>583</v>
      </c>
      <c r="D92" s="1" t="s">
        <v>570</v>
      </c>
      <c r="E92" s="1" t="s">
        <v>14</v>
      </c>
      <c r="F92" s="2">
        <v>1</v>
      </c>
      <c r="G92" s="2">
        <v>1</v>
      </c>
    </row>
    <row r="93" spans="1:7" x14ac:dyDescent="0.3">
      <c r="A93" s="1" t="s">
        <v>584</v>
      </c>
      <c r="B93" s="2">
        <v>5</v>
      </c>
      <c r="F93" s="2"/>
      <c r="G93" s="2">
        <v>1</v>
      </c>
    </row>
    <row r="94" spans="1:7" x14ac:dyDescent="0.3">
      <c r="B94" s="2"/>
      <c r="C94" s="3" t="s">
        <v>585</v>
      </c>
      <c r="D94" s="1" t="s">
        <v>586</v>
      </c>
      <c r="E94" s="1" t="s">
        <v>14</v>
      </c>
      <c r="F94" s="2">
        <v>1</v>
      </c>
      <c r="G94" s="2">
        <v>1</v>
      </c>
    </row>
    <row r="95" spans="1:7" x14ac:dyDescent="0.3">
      <c r="B95" s="2"/>
      <c r="C95" s="3" t="s">
        <v>587</v>
      </c>
      <c r="D95" s="1" t="s">
        <v>588</v>
      </c>
      <c r="E95" s="1" t="s">
        <v>14</v>
      </c>
      <c r="F95" s="2">
        <v>1</v>
      </c>
      <c r="G95" s="2">
        <v>1</v>
      </c>
    </row>
    <row r="96" spans="1:7" x14ac:dyDescent="0.3">
      <c r="B96" s="2"/>
      <c r="C96" s="3" t="s">
        <v>589</v>
      </c>
      <c r="D96" s="1" t="s">
        <v>590</v>
      </c>
      <c r="E96" s="1" t="s">
        <v>14</v>
      </c>
      <c r="F96" s="2">
        <v>1</v>
      </c>
      <c r="G96" s="2">
        <v>1</v>
      </c>
    </row>
    <row r="97" spans="1:7" x14ac:dyDescent="0.3">
      <c r="B97" s="2"/>
      <c r="C97" s="3" t="s">
        <v>591</v>
      </c>
      <c r="D97" s="1" t="s">
        <v>592</v>
      </c>
      <c r="E97" s="1" t="s">
        <v>14</v>
      </c>
      <c r="F97" s="2">
        <v>1</v>
      </c>
      <c r="G97" s="2">
        <v>1</v>
      </c>
    </row>
    <row r="98" spans="1:7" x14ac:dyDescent="0.3">
      <c r="B98" s="2"/>
      <c r="C98" s="3" t="s">
        <v>593</v>
      </c>
      <c r="D98" s="1" t="s">
        <v>594</v>
      </c>
      <c r="E98" s="1" t="s">
        <v>14</v>
      </c>
      <c r="F98" s="2">
        <v>1</v>
      </c>
      <c r="G98" s="2">
        <v>1</v>
      </c>
    </row>
    <row r="99" spans="1:7" ht="28.8" x14ac:dyDescent="0.3">
      <c r="A99" s="3" t="s">
        <v>595</v>
      </c>
      <c r="B99" s="2">
        <v>5</v>
      </c>
      <c r="F99" s="2"/>
      <c r="G99" s="2">
        <v>1</v>
      </c>
    </row>
    <row r="100" spans="1:7" x14ac:dyDescent="0.3">
      <c r="B100" s="2"/>
      <c r="C100" s="3" t="s">
        <v>596</v>
      </c>
      <c r="D100" s="1" t="s">
        <v>468</v>
      </c>
      <c r="E100" s="1" t="s">
        <v>14</v>
      </c>
      <c r="F100" s="2">
        <v>1</v>
      </c>
      <c r="G100" s="2">
        <v>1</v>
      </c>
    </row>
    <row r="101" spans="1:7" x14ac:dyDescent="0.3">
      <c r="B101" s="2"/>
      <c r="C101" s="3" t="s">
        <v>597</v>
      </c>
      <c r="D101" s="1" t="s">
        <v>458</v>
      </c>
      <c r="E101" s="1" t="s">
        <v>14</v>
      </c>
      <c r="F101" s="2">
        <v>1</v>
      </c>
      <c r="G101" s="2">
        <v>1</v>
      </c>
    </row>
    <row r="102" spans="1:7" x14ac:dyDescent="0.3">
      <c r="B102" s="2"/>
      <c r="C102" s="3" t="s">
        <v>598</v>
      </c>
      <c r="D102" s="1" t="s">
        <v>599</v>
      </c>
      <c r="E102" s="1" t="s">
        <v>14</v>
      </c>
      <c r="F102" s="2">
        <v>1</v>
      </c>
      <c r="G102" s="2">
        <v>1</v>
      </c>
    </row>
    <row r="103" spans="1:7" x14ac:dyDescent="0.3">
      <c r="B103" s="2"/>
      <c r="C103" s="3" t="s">
        <v>600</v>
      </c>
      <c r="D103" s="1" t="s">
        <v>484</v>
      </c>
      <c r="E103" s="1" t="s">
        <v>14</v>
      </c>
      <c r="F103" s="2">
        <v>1</v>
      </c>
      <c r="G103" s="2">
        <v>1</v>
      </c>
    </row>
    <row r="104" spans="1:7" x14ac:dyDescent="0.3">
      <c r="B104" s="2"/>
      <c r="C104" s="3" t="s">
        <v>601</v>
      </c>
      <c r="D104" s="1" t="s">
        <v>602</v>
      </c>
      <c r="E104" s="1" t="s">
        <v>14</v>
      </c>
      <c r="F104" s="2">
        <v>1</v>
      </c>
      <c r="G104" s="2">
        <v>1</v>
      </c>
    </row>
    <row r="105" spans="1:7" x14ac:dyDescent="0.3">
      <c r="A105" s="1" t="s">
        <v>603</v>
      </c>
      <c r="B105" s="2">
        <v>5</v>
      </c>
      <c r="F105" s="2"/>
      <c r="G105" s="2">
        <v>1</v>
      </c>
    </row>
    <row r="106" spans="1:7" x14ac:dyDescent="0.3">
      <c r="B106" s="2"/>
      <c r="C106" s="3" t="s">
        <v>604</v>
      </c>
      <c r="D106" s="1" t="s">
        <v>605</v>
      </c>
      <c r="E106" s="1" t="s">
        <v>37</v>
      </c>
      <c r="F106" s="2">
        <v>1</v>
      </c>
      <c r="G106" s="2">
        <v>1</v>
      </c>
    </row>
    <row r="107" spans="1:7" x14ac:dyDescent="0.3">
      <c r="B107" s="2"/>
      <c r="C107" s="3" t="s">
        <v>606</v>
      </c>
      <c r="D107" s="1" t="s">
        <v>607</v>
      </c>
      <c r="E107" s="1" t="s">
        <v>37</v>
      </c>
      <c r="F107" s="2">
        <v>1</v>
      </c>
      <c r="G107" s="2">
        <v>1</v>
      </c>
    </row>
    <row r="108" spans="1:7" x14ac:dyDescent="0.3">
      <c r="B108" s="2"/>
      <c r="C108" s="3" t="s">
        <v>608</v>
      </c>
      <c r="D108" s="1" t="s">
        <v>609</v>
      </c>
      <c r="E108" s="1" t="s">
        <v>37</v>
      </c>
      <c r="F108" s="2">
        <v>1</v>
      </c>
      <c r="G108" s="2">
        <v>1</v>
      </c>
    </row>
    <row r="109" spans="1:7" x14ac:dyDescent="0.3">
      <c r="B109" s="2"/>
      <c r="C109" s="3" t="s">
        <v>610</v>
      </c>
      <c r="D109" s="1" t="s">
        <v>611</v>
      </c>
      <c r="E109" s="1" t="s">
        <v>37</v>
      </c>
      <c r="F109" s="2">
        <v>1</v>
      </c>
      <c r="G109" s="2">
        <v>1</v>
      </c>
    </row>
    <row r="110" spans="1:7" x14ac:dyDescent="0.3">
      <c r="B110" s="2"/>
      <c r="C110" s="3" t="s">
        <v>612</v>
      </c>
      <c r="D110" s="1" t="s">
        <v>613</v>
      </c>
      <c r="E110" s="1" t="s">
        <v>37</v>
      </c>
      <c r="F110" s="2">
        <v>1</v>
      </c>
      <c r="G110" s="2">
        <v>1</v>
      </c>
    </row>
    <row r="111" spans="1:7" ht="28.8" x14ac:dyDescent="0.3">
      <c r="A111" s="3" t="s">
        <v>614</v>
      </c>
      <c r="B111" s="2">
        <v>4</v>
      </c>
      <c r="F111" s="2"/>
      <c r="G111" s="2">
        <v>1</v>
      </c>
    </row>
    <row r="112" spans="1:7" x14ac:dyDescent="0.3">
      <c r="A112" s="3"/>
      <c r="B112" s="2"/>
      <c r="C112" s="3" t="s">
        <v>615</v>
      </c>
      <c r="D112" s="1" t="s">
        <v>420</v>
      </c>
      <c r="E112" s="1" t="s">
        <v>37</v>
      </c>
      <c r="F112" s="2">
        <v>1</v>
      </c>
      <c r="G112" s="2">
        <v>1</v>
      </c>
    </row>
    <row r="113" spans="1:7" x14ac:dyDescent="0.3">
      <c r="B113" s="2"/>
      <c r="C113" s="3" t="s">
        <v>616</v>
      </c>
      <c r="D113" s="1" t="s">
        <v>420</v>
      </c>
      <c r="E113" s="1" t="s">
        <v>37</v>
      </c>
      <c r="F113" s="2">
        <v>1</v>
      </c>
      <c r="G113" s="2">
        <v>1</v>
      </c>
    </row>
    <row r="114" spans="1:7" x14ac:dyDescent="0.3">
      <c r="B114" s="2"/>
      <c r="C114" s="3" t="s">
        <v>617</v>
      </c>
      <c r="D114" s="1" t="s">
        <v>420</v>
      </c>
      <c r="E114" s="1" t="s">
        <v>37</v>
      </c>
      <c r="F114" s="2">
        <v>1</v>
      </c>
      <c r="G114" s="2">
        <v>1</v>
      </c>
    </row>
    <row r="115" spans="1:7" x14ac:dyDescent="0.3">
      <c r="B115" s="2"/>
      <c r="C115" s="3" t="s">
        <v>618</v>
      </c>
      <c r="D115" s="1" t="s">
        <v>420</v>
      </c>
      <c r="E115" s="1" t="s">
        <v>37</v>
      </c>
      <c r="F115" s="2">
        <v>1</v>
      </c>
      <c r="G115" s="2">
        <v>1</v>
      </c>
    </row>
    <row r="116" spans="1:7" ht="28.8" x14ac:dyDescent="0.3">
      <c r="A116" s="3" t="s">
        <v>619</v>
      </c>
      <c r="B116" s="2">
        <v>5</v>
      </c>
      <c r="F116" s="2"/>
      <c r="G116" s="2">
        <v>1</v>
      </c>
    </row>
    <row r="117" spans="1:7" x14ac:dyDescent="0.3">
      <c r="B117" s="2"/>
      <c r="C117" s="3" t="s">
        <v>620</v>
      </c>
      <c r="D117" s="1" t="s">
        <v>621</v>
      </c>
      <c r="E117" s="1" t="s">
        <v>14</v>
      </c>
      <c r="F117" s="2">
        <v>1</v>
      </c>
      <c r="G117" s="2">
        <v>1</v>
      </c>
    </row>
    <row r="118" spans="1:7" x14ac:dyDescent="0.3">
      <c r="B118" s="2"/>
      <c r="C118" s="3" t="s">
        <v>622</v>
      </c>
      <c r="D118" s="1" t="s">
        <v>623</v>
      </c>
      <c r="E118" s="1" t="s">
        <v>37</v>
      </c>
      <c r="F118" s="2">
        <v>1</v>
      </c>
      <c r="G118" s="2">
        <v>1</v>
      </c>
    </row>
    <row r="119" spans="1:7" x14ac:dyDescent="0.3">
      <c r="B119" s="2"/>
      <c r="C119" s="3" t="s">
        <v>624</v>
      </c>
      <c r="D119" s="1" t="s">
        <v>625</v>
      </c>
      <c r="E119" s="1" t="s">
        <v>37</v>
      </c>
      <c r="F119" s="2">
        <v>1</v>
      </c>
      <c r="G119" s="2">
        <v>1</v>
      </c>
    </row>
    <row r="120" spans="1:7" x14ac:dyDescent="0.3">
      <c r="B120" s="2"/>
      <c r="C120" s="3" t="s">
        <v>626</v>
      </c>
      <c r="D120" s="1" t="s">
        <v>627</v>
      </c>
      <c r="E120" s="1" t="s">
        <v>37</v>
      </c>
      <c r="F120" s="2">
        <v>1</v>
      </c>
      <c r="G120" s="2">
        <v>1</v>
      </c>
    </row>
    <row r="121" spans="1:7" x14ac:dyDescent="0.3">
      <c r="A121" s="3"/>
      <c r="B121" s="2"/>
      <c r="C121" s="3" t="s">
        <v>628</v>
      </c>
      <c r="D121" s="1" t="s">
        <v>299</v>
      </c>
      <c r="E121" s="1" t="s">
        <v>37</v>
      </c>
      <c r="F121" s="2">
        <v>1</v>
      </c>
      <c r="G121" s="2">
        <v>1</v>
      </c>
    </row>
    <row r="122" spans="1:7" ht="28.8" x14ac:dyDescent="0.3">
      <c r="A122" s="3" t="s">
        <v>117</v>
      </c>
      <c r="B122" s="2">
        <v>5</v>
      </c>
      <c r="F122" s="2"/>
      <c r="G122" s="2">
        <v>1</v>
      </c>
    </row>
    <row r="123" spans="1:7" x14ac:dyDescent="0.3">
      <c r="B123" s="2"/>
      <c r="C123" s="3" t="s">
        <v>629</v>
      </c>
      <c r="D123" s="1" t="s">
        <v>630</v>
      </c>
      <c r="E123" s="1" t="s">
        <v>14</v>
      </c>
      <c r="F123" s="2">
        <v>1</v>
      </c>
      <c r="G123" s="2">
        <v>1</v>
      </c>
    </row>
    <row r="124" spans="1:7" x14ac:dyDescent="0.3">
      <c r="B124" s="2"/>
      <c r="C124" s="3" t="s">
        <v>631</v>
      </c>
      <c r="D124" s="1" t="s">
        <v>632</v>
      </c>
      <c r="E124" s="1" t="s">
        <v>14</v>
      </c>
      <c r="F124" s="2">
        <v>1</v>
      </c>
      <c r="G124" s="2">
        <v>1</v>
      </c>
    </row>
    <row r="125" spans="1:7" x14ac:dyDescent="0.3">
      <c r="B125" s="2"/>
      <c r="C125" s="3" t="s">
        <v>633</v>
      </c>
      <c r="D125" s="1" t="s">
        <v>634</v>
      </c>
      <c r="E125" s="1" t="s">
        <v>14</v>
      </c>
      <c r="F125" s="2">
        <v>1</v>
      </c>
      <c r="G125" s="2">
        <v>1</v>
      </c>
    </row>
    <row r="126" spans="1:7" x14ac:dyDescent="0.3">
      <c r="B126" s="2"/>
      <c r="C126" s="3" t="s">
        <v>635</v>
      </c>
      <c r="D126" s="1" t="s">
        <v>636</v>
      </c>
      <c r="E126" s="1" t="s">
        <v>14</v>
      </c>
      <c r="F126" s="2">
        <v>1</v>
      </c>
      <c r="G126" s="2">
        <v>1</v>
      </c>
    </row>
    <row r="127" spans="1:7" x14ac:dyDescent="0.3">
      <c r="B127" s="2"/>
      <c r="C127" s="3" t="s">
        <v>637</v>
      </c>
      <c r="D127" s="1" t="s">
        <v>531</v>
      </c>
      <c r="E127" s="1" t="s">
        <v>14</v>
      </c>
      <c r="F127" s="2">
        <v>1</v>
      </c>
      <c r="G127" s="2">
        <v>1</v>
      </c>
    </row>
    <row r="128" spans="1:7" ht="28.8" x14ac:dyDescent="0.3">
      <c r="A128" s="3" t="s">
        <v>638</v>
      </c>
      <c r="B128" s="2">
        <v>5</v>
      </c>
      <c r="F128" s="2"/>
      <c r="G128" s="2">
        <v>1</v>
      </c>
    </row>
    <row r="129" spans="1:7" x14ac:dyDescent="0.3">
      <c r="B129" s="2"/>
      <c r="C129" s="3" t="s">
        <v>639</v>
      </c>
      <c r="D129" s="1" t="s">
        <v>640</v>
      </c>
      <c r="E129" s="1" t="s">
        <v>14</v>
      </c>
      <c r="F129" s="2">
        <v>1</v>
      </c>
      <c r="G129" s="2">
        <v>1</v>
      </c>
    </row>
    <row r="130" spans="1:7" x14ac:dyDescent="0.3">
      <c r="B130" s="2"/>
      <c r="C130" s="3" t="s">
        <v>641</v>
      </c>
      <c r="D130" s="1" t="s">
        <v>299</v>
      </c>
      <c r="E130" s="1" t="s">
        <v>14</v>
      </c>
      <c r="F130" s="2">
        <v>1</v>
      </c>
      <c r="G130" s="2">
        <v>1</v>
      </c>
    </row>
    <row r="131" spans="1:7" x14ac:dyDescent="0.3">
      <c r="B131" s="2"/>
      <c r="C131" s="3" t="s">
        <v>642</v>
      </c>
      <c r="D131" s="1" t="s">
        <v>643</v>
      </c>
      <c r="E131" s="1" t="s">
        <v>37</v>
      </c>
      <c r="F131" s="2">
        <v>1</v>
      </c>
      <c r="G131" s="2">
        <v>1</v>
      </c>
    </row>
    <row r="132" spans="1:7" ht="28.8" x14ac:dyDescent="0.3">
      <c r="A132" s="3"/>
      <c r="B132" s="2"/>
      <c r="C132" s="3" t="s">
        <v>644</v>
      </c>
      <c r="D132" s="1" t="s">
        <v>645</v>
      </c>
      <c r="E132" s="1" t="s">
        <v>37</v>
      </c>
      <c r="F132" s="2">
        <v>1</v>
      </c>
      <c r="G132" s="2">
        <v>1</v>
      </c>
    </row>
    <row r="133" spans="1:7" x14ac:dyDescent="0.3">
      <c r="B133" s="2"/>
      <c r="C133" s="3" t="s">
        <v>646</v>
      </c>
      <c r="D133" s="1" t="s">
        <v>647</v>
      </c>
      <c r="E133" s="1" t="s">
        <v>14</v>
      </c>
      <c r="F133" s="2">
        <v>1</v>
      </c>
      <c r="G133" s="2">
        <v>1</v>
      </c>
    </row>
    <row r="134" spans="1:7" ht="28.8" x14ac:dyDescent="0.3">
      <c r="A134" s="3" t="s">
        <v>648</v>
      </c>
      <c r="B134" s="2">
        <v>5</v>
      </c>
      <c r="F134" s="2"/>
      <c r="G134" s="2">
        <v>1</v>
      </c>
    </row>
    <row r="135" spans="1:7" x14ac:dyDescent="0.3">
      <c r="B135" s="2"/>
      <c r="C135" s="3" t="s">
        <v>649</v>
      </c>
      <c r="D135" s="1" t="s">
        <v>355</v>
      </c>
      <c r="E135" s="1" t="s">
        <v>14</v>
      </c>
      <c r="F135" s="2">
        <v>1</v>
      </c>
      <c r="G135" s="2">
        <v>1</v>
      </c>
    </row>
    <row r="136" spans="1:7" x14ac:dyDescent="0.3">
      <c r="B136" s="2"/>
      <c r="C136" s="3" t="s">
        <v>650</v>
      </c>
      <c r="D136" s="1" t="s">
        <v>651</v>
      </c>
      <c r="E136" s="1" t="s">
        <v>14</v>
      </c>
      <c r="F136" s="2">
        <v>1</v>
      </c>
      <c r="G136" s="2">
        <v>1</v>
      </c>
    </row>
    <row r="137" spans="1:7" x14ac:dyDescent="0.3">
      <c r="A137" s="3"/>
      <c r="B137" s="2"/>
      <c r="C137" s="3" t="s">
        <v>652</v>
      </c>
      <c r="D137" s="1" t="s">
        <v>195</v>
      </c>
      <c r="E137" s="1" t="s">
        <v>14</v>
      </c>
      <c r="F137" s="2">
        <v>1</v>
      </c>
      <c r="G137" s="2">
        <v>1</v>
      </c>
    </row>
    <row r="138" spans="1:7" x14ac:dyDescent="0.3">
      <c r="B138" s="2"/>
      <c r="C138" s="3" t="s">
        <v>653</v>
      </c>
      <c r="D138" s="1" t="s">
        <v>654</v>
      </c>
      <c r="E138" s="1" t="s">
        <v>14</v>
      </c>
      <c r="F138" s="2">
        <v>1</v>
      </c>
      <c r="G138" s="2">
        <v>1</v>
      </c>
    </row>
    <row r="139" spans="1:7" x14ac:dyDescent="0.3">
      <c r="B139" s="2"/>
      <c r="C139" s="4" t="s">
        <v>655</v>
      </c>
      <c r="D139" s="1" t="s">
        <v>83</v>
      </c>
      <c r="E139" s="1" t="s">
        <v>14</v>
      </c>
      <c r="F139" s="2">
        <v>1</v>
      </c>
      <c r="G139" s="2">
        <v>1</v>
      </c>
    </row>
    <row r="140" spans="1:7" x14ac:dyDescent="0.3">
      <c r="A140" s="1" t="s">
        <v>656</v>
      </c>
      <c r="B140" s="2">
        <v>4</v>
      </c>
      <c r="C140" s="3"/>
      <c r="F140" s="2"/>
      <c r="G140" s="2">
        <v>1</v>
      </c>
    </row>
    <row r="141" spans="1:7" x14ac:dyDescent="0.3">
      <c r="B141" s="2"/>
      <c r="C141" s="3" t="s">
        <v>657</v>
      </c>
      <c r="D141" s="1" t="s">
        <v>658</v>
      </c>
      <c r="E141" s="1" t="s">
        <v>14</v>
      </c>
      <c r="F141" s="2">
        <v>1</v>
      </c>
      <c r="G141" s="2">
        <v>1</v>
      </c>
    </row>
    <row r="142" spans="1:7" x14ac:dyDescent="0.3">
      <c r="B142" s="2"/>
      <c r="C142" s="3" t="s">
        <v>659</v>
      </c>
      <c r="D142" s="1" t="s">
        <v>660</v>
      </c>
      <c r="E142" s="1" t="s">
        <v>14</v>
      </c>
      <c r="F142" s="2">
        <v>1</v>
      </c>
      <c r="G142" s="2">
        <v>1</v>
      </c>
    </row>
    <row r="143" spans="1:7" x14ac:dyDescent="0.3">
      <c r="A143" s="3"/>
      <c r="B143" s="2"/>
      <c r="C143" s="3" t="s">
        <v>661</v>
      </c>
      <c r="D143" s="1" t="s">
        <v>541</v>
      </c>
      <c r="E143" s="1" t="s">
        <v>14</v>
      </c>
      <c r="F143" s="2">
        <v>1</v>
      </c>
      <c r="G143" s="2">
        <v>1</v>
      </c>
    </row>
    <row r="144" spans="1:7" x14ac:dyDescent="0.3">
      <c r="B144" s="2"/>
      <c r="C144" s="3" t="s">
        <v>662</v>
      </c>
      <c r="D144" s="1" t="s">
        <v>663</v>
      </c>
      <c r="E144" s="1" t="s">
        <v>14</v>
      </c>
      <c r="F144" s="2">
        <v>1</v>
      </c>
      <c r="G144" s="2">
        <v>1</v>
      </c>
    </row>
    <row r="145" spans="1:7" ht="28.8" x14ac:dyDescent="0.3">
      <c r="A145" s="3" t="s">
        <v>664</v>
      </c>
      <c r="B145" s="2">
        <v>5</v>
      </c>
      <c r="F145" s="2"/>
      <c r="G145" s="2">
        <v>1</v>
      </c>
    </row>
    <row r="146" spans="1:7" ht="28.8" x14ac:dyDescent="0.3">
      <c r="B146" s="2"/>
      <c r="C146" s="3" t="s">
        <v>665</v>
      </c>
      <c r="D146" s="1" t="s">
        <v>166</v>
      </c>
      <c r="E146" s="1" t="s">
        <v>37</v>
      </c>
      <c r="F146" s="2">
        <v>1</v>
      </c>
      <c r="G146" s="2">
        <v>1</v>
      </c>
    </row>
    <row r="147" spans="1:7" x14ac:dyDescent="0.3">
      <c r="B147" s="2"/>
      <c r="C147" s="3" t="s">
        <v>666</v>
      </c>
      <c r="D147" s="1" t="s">
        <v>667</v>
      </c>
      <c r="E147" s="1" t="s">
        <v>37</v>
      </c>
      <c r="F147" s="2">
        <v>1</v>
      </c>
      <c r="G147" s="2">
        <v>1</v>
      </c>
    </row>
    <row r="148" spans="1:7" x14ac:dyDescent="0.3">
      <c r="B148" s="2"/>
      <c r="C148" s="3" t="s">
        <v>668</v>
      </c>
      <c r="D148" s="1" t="s">
        <v>667</v>
      </c>
      <c r="E148" s="1" t="s">
        <v>37</v>
      </c>
      <c r="F148" s="2">
        <v>1</v>
      </c>
      <c r="G148" s="2">
        <v>1</v>
      </c>
    </row>
    <row r="149" spans="1:7" x14ac:dyDescent="0.3">
      <c r="B149" s="2"/>
      <c r="C149" s="3" t="s">
        <v>669</v>
      </c>
      <c r="D149" s="1" t="s">
        <v>166</v>
      </c>
      <c r="E149" s="1" t="s">
        <v>37</v>
      </c>
      <c r="F149" s="2">
        <v>1</v>
      </c>
      <c r="G149" s="2">
        <v>1</v>
      </c>
    </row>
    <row r="150" spans="1:7" x14ac:dyDescent="0.3">
      <c r="B150" s="2"/>
      <c r="C150" s="3" t="s">
        <v>670</v>
      </c>
      <c r="D150" s="1" t="s">
        <v>671</v>
      </c>
      <c r="E150" s="1" t="s">
        <v>37</v>
      </c>
      <c r="F150" s="2">
        <v>1</v>
      </c>
      <c r="G150" s="2">
        <v>1</v>
      </c>
    </row>
    <row r="151" spans="1:7" x14ac:dyDescent="0.3">
      <c r="B151" s="2">
        <f>SUM(B6:B150)</f>
        <v>120</v>
      </c>
      <c r="F151" s="2">
        <f>SUM(F7:F150)</f>
        <v>120</v>
      </c>
      <c r="G151" s="2">
        <f>SUM(G6:G150)</f>
        <v>145</v>
      </c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0D494-14ED-4650-A2C0-1656C086723F}">
  <sheetPr>
    <tabColor rgb="FFFF0000"/>
  </sheetPr>
  <dimension ref="A1:G165"/>
  <sheetViews>
    <sheetView workbookViewId="0">
      <selection activeCell="C172" sqref="C172"/>
    </sheetView>
  </sheetViews>
  <sheetFormatPr defaultColWidth="9.109375" defaultRowHeight="14.4" x14ac:dyDescent="0.3"/>
  <cols>
    <col min="1" max="1" width="27" style="1" customWidth="1"/>
    <col min="2" max="2" width="8.44140625" style="1" customWidth="1"/>
    <col min="3" max="3" width="32" style="1" customWidth="1"/>
    <col min="4" max="4" width="21" style="1" customWidth="1"/>
    <col min="5" max="5" width="9.109375" style="1"/>
    <col min="6" max="6" width="8.44140625" style="1" customWidth="1"/>
    <col min="7" max="7" width="9.109375" style="1"/>
    <col min="8" max="8" width="15.33203125" style="1" customWidth="1"/>
    <col min="9" max="16384" width="9.109375" style="1"/>
  </cols>
  <sheetData>
    <row r="1" spans="1:7" x14ac:dyDescent="0.3">
      <c r="A1" s="1" t="s">
        <v>672</v>
      </c>
    </row>
    <row r="2" spans="1:7" x14ac:dyDescent="0.3">
      <c r="A2" s="1" t="s">
        <v>1</v>
      </c>
    </row>
    <row r="3" spans="1:7" x14ac:dyDescent="0.3">
      <c r="A3" s="1" t="s">
        <v>2</v>
      </c>
    </row>
    <row r="4" spans="1:7" x14ac:dyDescent="0.3">
      <c r="A4" s="1" t="s">
        <v>3</v>
      </c>
    </row>
    <row r="5" spans="1:7" ht="43.2" x14ac:dyDescent="0.3">
      <c r="A5" s="6" t="s">
        <v>4</v>
      </c>
      <c r="B5" s="7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455</v>
      </c>
    </row>
    <row r="6" spans="1:7" x14ac:dyDescent="0.3">
      <c r="A6" s="3" t="s">
        <v>93</v>
      </c>
      <c r="B6" s="5">
        <v>5</v>
      </c>
      <c r="F6" s="2"/>
      <c r="G6" s="2">
        <v>1</v>
      </c>
    </row>
    <row r="7" spans="1:7" x14ac:dyDescent="0.3">
      <c r="B7" s="2"/>
      <c r="C7" s="1" t="s">
        <v>673</v>
      </c>
      <c r="D7" s="1" t="s">
        <v>674</v>
      </c>
      <c r="E7" s="1" t="s">
        <v>14</v>
      </c>
      <c r="F7" s="2">
        <v>1</v>
      </c>
      <c r="G7" s="2">
        <v>1</v>
      </c>
    </row>
    <row r="8" spans="1:7" x14ac:dyDescent="0.3">
      <c r="B8" s="2"/>
      <c r="C8" s="1" t="s">
        <v>675</v>
      </c>
      <c r="D8" s="1" t="s">
        <v>676</v>
      </c>
      <c r="E8" s="1" t="s">
        <v>14</v>
      </c>
      <c r="F8" s="2">
        <v>1</v>
      </c>
      <c r="G8" s="2">
        <v>1</v>
      </c>
    </row>
    <row r="9" spans="1:7" x14ac:dyDescent="0.3">
      <c r="B9" s="2"/>
      <c r="C9" s="1" t="s">
        <v>677</v>
      </c>
      <c r="D9" s="1" t="s">
        <v>243</v>
      </c>
      <c r="E9" s="1" t="s">
        <v>14</v>
      </c>
      <c r="F9" s="2">
        <v>1</v>
      </c>
      <c r="G9" s="2">
        <v>1</v>
      </c>
    </row>
    <row r="10" spans="1:7" x14ac:dyDescent="0.3">
      <c r="B10" s="2"/>
      <c r="C10" s="1" t="s">
        <v>678</v>
      </c>
      <c r="D10" s="1" t="s">
        <v>679</v>
      </c>
      <c r="E10" s="1" t="s">
        <v>14</v>
      </c>
      <c r="F10" s="2">
        <v>1</v>
      </c>
      <c r="G10" s="2">
        <v>1</v>
      </c>
    </row>
    <row r="11" spans="1:7" x14ac:dyDescent="0.3">
      <c r="B11" s="2"/>
      <c r="C11" s="1" t="s">
        <v>680</v>
      </c>
      <c r="D11" s="1" t="s">
        <v>681</v>
      </c>
      <c r="E11" s="1" t="s">
        <v>14</v>
      </c>
      <c r="F11" s="2">
        <v>1</v>
      </c>
      <c r="G11" s="2">
        <v>1</v>
      </c>
    </row>
    <row r="12" spans="1:7" x14ac:dyDescent="0.3">
      <c r="A12" s="1" t="s">
        <v>682</v>
      </c>
      <c r="B12" s="2">
        <v>5</v>
      </c>
      <c r="F12" s="2"/>
      <c r="G12" s="2">
        <v>1</v>
      </c>
    </row>
    <row r="13" spans="1:7" x14ac:dyDescent="0.3">
      <c r="A13" s="3"/>
      <c r="B13" s="2"/>
      <c r="C13" s="1" t="s">
        <v>683</v>
      </c>
      <c r="D13" s="1" t="s">
        <v>684</v>
      </c>
      <c r="E13" s="1" t="s">
        <v>14</v>
      </c>
      <c r="F13" s="2">
        <v>1</v>
      </c>
      <c r="G13" s="2">
        <v>1</v>
      </c>
    </row>
    <row r="14" spans="1:7" x14ac:dyDescent="0.3">
      <c r="B14" s="2"/>
      <c r="C14" s="1" t="s">
        <v>685</v>
      </c>
      <c r="D14" s="1" t="s">
        <v>686</v>
      </c>
      <c r="E14" s="1" t="s">
        <v>14</v>
      </c>
      <c r="F14" s="2">
        <v>1</v>
      </c>
      <c r="G14" s="2">
        <v>1</v>
      </c>
    </row>
    <row r="15" spans="1:7" x14ac:dyDescent="0.3">
      <c r="B15" s="2"/>
      <c r="C15" s="1" t="s">
        <v>687</v>
      </c>
      <c r="D15" s="1" t="s">
        <v>688</v>
      </c>
      <c r="E15" s="1" t="s">
        <v>14</v>
      </c>
      <c r="F15" s="2">
        <v>1</v>
      </c>
      <c r="G15" s="2">
        <v>1</v>
      </c>
    </row>
    <row r="16" spans="1:7" x14ac:dyDescent="0.3">
      <c r="B16" s="2"/>
      <c r="C16" s="1" t="s">
        <v>689</v>
      </c>
      <c r="D16" s="1" t="s">
        <v>690</v>
      </c>
      <c r="E16" s="1" t="s">
        <v>14</v>
      </c>
      <c r="F16" s="2">
        <v>1</v>
      </c>
      <c r="G16" s="2">
        <v>1</v>
      </c>
    </row>
    <row r="17" spans="1:7" x14ac:dyDescent="0.3">
      <c r="B17" s="2"/>
      <c r="C17" s="1" t="s">
        <v>691</v>
      </c>
      <c r="D17" s="1" t="s">
        <v>692</v>
      </c>
      <c r="E17" s="1" t="s">
        <v>14</v>
      </c>
      <c r="F17" s="2">
        <v>1</v>
      </c>
      <c r="G17" s="2">
        <v>1</v>
      </c>
    </row>
    <row r="18" spans="1:7" x14ac:dyDescent="0.3">
      <c r="A18" s="3" t="s">
        <v>693</v>
      </c>
      <c r="B18" s="2">
        <v>5</v>
      </c>
      <c r="F18" s="2"/>
      <c r="G18" s="2">
        <v>1</v>
      </c>
    </row>
    <row r="19" spans="1:7" x14ac:dyDescent="0.3">
      <c r="B19" s="2"/>
      <c r="C19" s="1" t="s">
        <v>694</v>
      </c>
      <c r="D19" s="1" t="s">
        <v>135</v>
      </c>
      <c r="E19" s="1" t="s">
        <v>37</v>
      </c>
      <c r="F19" s="2">
        <v>1</v>
      </c>
      <c r="G19" s="2">
        <v>1</v>
      </c>
    </row>
    <row r="20" spans="1:7" x14ac:dyDescent="0.3">
      <c r="B20" s="2"/>
      <c r="C20" s="1" t="s">
        <v>695</v>
      </c>
      <c r="D20" s="1" t="s">
        <v>696</v>
      </c>
      <c r="E20" s="1" t="s">
        <v>37</v>
      </c>
      <c r="F20" s="2">
        <v>1</v>
      </c>
      <c r="G20" s="2">
        <v>1</v>
      </c>
    </row>
    <row r="21" spans="1:7" x14ac:dyDescent="0.3">
      <c r="B21" s="2"/>
      <c r="C21" s="1" t="s">
        <v>697</v>
      </c>
      <c r="D21" s="1" t="s">
        <v>698</v>
      </c>
      <c r="E21" s="1" t="s">
        <v>37</v>
      </c>
      <c r="F21" s="2">
        <v>1</v>
      </c>
      <c r="G21" s="2">
        <v>1</v>
      </c>
    </row>
    <row r="22" spans="1:7" x14ac:dyDescent="0.3">
      <c r="B22" s="2"/>
      <c r="C22" s="3" t="s">
        <v>699</v>
      </c>
      <c r="D22" s="1" t="s">
        <v>700</v>
      </c>
      <c r="E22" s="1" t="s">
        <v>37</v>
      </c>
      <c r="F22" s="2">
        <v>1</v>
      </c>
      <c r="G22" s="2">
        <v>1</v>
      </c>
    </row>
    <row r="23" spans="1:7" x14ac:dyDescent="0.3">
      <c r="B23" s="2"/>
      <c r="C23" s="3" t="s">
        <v>701</v>
      </c>
      <c r="D23" s="1" t="s">
        <v>702</v>
      </c>
      <c r="E23" s="1" t="s">
        <v>37</v>
      </c>
      <c r="F23" s="2">
        <v>1</v>
      </c>
      <c r="G23" s="2">
        <v>1</v>
      </c>
    </row>
    <row r="24" spans="1:7" x14ac:dyDescent="0.3">
      <c r="A24" s="1" t="s">
        <v>703</v>
      </c>
      <c r="B24" s="2">
        <v>5</v>
      </c>
      <c r="F24" s="2"/>
      <c r="G24" s="2">
        <v>1</v>
      </c>
    </row>
    <row r="25" spans="1:7" x14ac:dyDescent="0.3">
      <c r="A25" s="3"/>
      <c r="B25" s="2"/>
      <c r="C25" s="1" t="s">
        <v>704</v>
      </c>
      <c r="D25" s="1" t="s">
        <v>423</v>
      </c>
      <c r="E25" s="1" t="s">
        <v>14</v>
      </c>
      <c r="F25" s="2">
        <v>1</v>
      </c>
      <c r="G25" s="2">
        <v>1</v>
      </c>
    </row>
    <row r="26" spans="1:7" x14ac:dyDescent="0.3">
      <c r="B26" s="2"/>
      <c r="C26" s="1" t="s">
        <v>705</v>
      </c>
      <c r="D26" s="1" t="s">
        <v>706</v>
      </c>
      <c r="E26" s="1" t="s">
        <v>14</v>
      </c>
      <c r="F26" s="2">
        <v>1</v>
      </c>
      <c r="G26" s="2">
        <v>1</v>
      </c>
    </row>
    <row r="27" spans="1:7" x14ac:dyDescent="0.3">
      <c r="B27" s="2"/>
      <c r="C27" s="1" t="s">
        <v>707</v>
      </c>
      <c r="D27" s="1" t="s">
        <v>708</v>
      </c>
      <c r="E27" s="1" t="s">
        <v>14</v>
      </c>
      <c r="F27" s="2">
        <v>1</v>
      </c>
      <c r="G27" s="2">
        <v>1</v>
      </c>
    </row>
    <row r="28" spans="1:7" x14ac:dyDescent="0.3">
      <c r="B28" s="2"/>
      <c r="C28" s="1" t="s">
        <v>709</v>
      </c>
      <c r="D28" s="1" t="s">
        <v>710</v>
      </c>
      <c r="E28" s="1" t="s">
        <v>14</v>
      </c>
      <c r="F28" s="2">
        <v>1</v>
      </c>
      <c r="G28" s="2">
        <v>1</v>
      </c>
    </row>
    <row r="29" spans="1:7" x14ac:dyDescent="0.3">
      <c r="B29" s="2"/>
      <c r="C29" s="1" t="s">
        <v>711</v>
      </c>
      <c r="D29" s="1" t="s">
        <v>712</v>
      </c>
      <c r="E29" s="1" t="s">
        <v>37</v>
      </c>
      <c r="F29" s="2">
        <v>1</v>
      </c>
      <c r="G29" s="2">
        <v>1</v>
      </c>
    </row>
    <row r="30" spans="1:7" x14ac:dyDescent="0.3">
      <c r="F30" s="2"/>
      <c r="G30" s="2"/>
    </row>
    <row r="31" spans="1:7" x14ac:dyDescent="0.3">
      <c r="A31" s="3"/>
      <c r="B31" s="2"/>
      <c r="F31" s="2"/>
      <c r="G31" s="2"/>
    </row>
    <row r="32" spans="1:7" x14ac:dyDescent="0.3">
      <c r="A32" s="3" t="s">
        <v>423</v>
      </c>
      <c r="B32" s="2">
        <v>5</v>
      </c>
      <c r="F32" s="2"/>
      <c r="G32" s="2">
        <v>1</v>
      </c>
    </row>
    <row r="33" spans="1:7" x14ac:dyDescent="0.3">
      <c r="B33" s="2"/>
      <c r="C33" s="1" t="s">
        <v>713</v>
      </c>
      <c r="D33" s="1" t="s">
        <v>423</v>
      </c>
      <c r="E33" s="1" t="s">
        <v>14</v>
      </c>
      <c r="F33" s="2">
        <v>1</v>
      </c>
      <c r="G33" s="2">
        <v>1</v>
      </c>
    </row>
    <row r="34" spans="1:7" x14ac:dyDescent="0.3">
      <c r="B34" s="2"/>
      <c r="C34" s="1" t="s">
        <v>714</v>
      </c>
      <c r="D34" s="1" t="s">
        <v>423</v>
      </c>
      <c r="E34" s="1" t="s">
        <v>14</v>
      </c>
      <c r="F34" s="2">
        <v>1</v>
      </c>
      <c r="G34" s="2">
        <v>1</v>
      </c>
    </row>
    <row r="35" spans="1:7" x14ac:dyDescent="0.3">
      <c r="B35" s="2"/>
      <c r="C35" s="1" t="s">
        <v>715</v>
      </c>
      <c r="D35" s="1" t="s">
        <v>423</v>
      </c>
      <c r="E35" s="1" t="s">
        <v>14</v>
      </c>
      <c r="F35" s="2">
        <v>1</v>
      </c>
      <c r="G35" s="2">
        <v>1</v>
      </c>
    </row>
    <row r="36" spans="1:7" x14ac:dyDescent="0.3">
      <c r="A36" s="3"/>
      <c r="C36" s="1" t="s">
        <v>716</v>
      </c>
      <c r="D36" s="1" t="s">
        <v>423</v>
      </c>
      <c r="E36" s="1" t="s">
        <v>14</v>
      </c>
      <c r="F36" s="2">
        <v>1</v>
      </c>
      <c r="G36" s="2">
        <v>1</v>
      </c>
    </row>
    <row r="37" spans="1:7" x14ac:dyDescent="0.3">
      <c r="B37" s="2"/>
      <c r="C37" s="1" t="s">
        <v>717</v>
      </c>
      <c r="D37" s="1" t="s">
        <v>423</v>
      </c>
      <c r="E37" s="1" t="s">
        <v>14</v>
      </c>
      <c r="F37" s="2">
        <v>1</v>
      </c>
      <c r="G37" s="2">
        <v>1</v>
      </c>
    </row>
    <row r="38" spans="1:7" x14ac:dyDescent="0.3">
      <c r="A38" s="1" t="s">
        <v>718</v>
      </c>
      <c r="B38" s="2">
        <v>6</v>
      </c>
      <c r="F38" s="2"/>
      <c r="G38" s="2">
        <v>1</v>
      </c>
    </row>
    <row r="39" spans="1:7" x14ac:dyDescent="0.3">
      <c r="B39" s="2"/>
      <c r="C39" s="1" t="s">
        <v>719</v>
      </c>
      <c r="D39" s="1" t="s">
        <v>166</v>
      </c>
      <c r="E39" s="1" t="s">
        <v>37</v>
      </c>
      <c r="F39" s="2">
        <v>1</v>
      </c>
      <c r="G39" s="2">
        <v>1</v>
      </c>
    </row>
    <row r="40" spans="1:7" x14ac:dyDescent="0.3">
      <c r="A40" s="3"/>
      <c r="B40" s="2"/>
      <c r="C40" s="1" t="s">
        <v>720</v>
      </c>
      <c r="D40" s="1" t="s">
        <v>420</v>
      </c>
      <c r="E40" s="1" t="s">
        <v>37</v>
      </c>
      <c r="F40" s="2">
        <v>1</v>
      </c>
      <c r="G40" s="2">
        <v>1</v>
      </c>
    </row>
    <row r="41" spans="1:7" x14ac:dyDescent="0.3">
      <c r="A41" s="3"/>
      <c r="B41" s="2"/>
      <c r="C41" s="3" t="s">
        <v>721</v>
      </c>
      <c r="D41" s="1" t="s">
        <v>420</v>
      </c>
      <c r="E41" s="1" t="s">
        <v>37</v>
      </c>
      <c r="F41" s="2">
        <v>1</v>
      </c>
      <c r="G41" s="2">
        <v>1</v>
      </c>
    </row>
    <row r="42" spans="1:7" x14ac:dyDescent="0.3">
      <c r="B42" s="2"/>
      <c r="C42" s="1" t="s">
        <v>722</v>
      </c>
      <c r="D42" s="1" t="s">
        <v>723</v>
      </c>
      <c r="E42" s="1" t="s">
        <v>37</v>
      </c>
      <c r="F42" s="2">
        <v>1</v>
      </c>
      <c r="G42" s="2">
        <v>1</v>
      </c>
    </row>
    <row r="43" spans="1:7" x14ac:dyDescent="0.3">
      <c r="B43" s="2"/>
      <c r="C43" s="1" t="s">
        <v>724</v>
      </c>
      <c r="D43" s="1" t="s">
        <v>725</v>
      </c>
      <c r="E43" s="1" t="s">
        <v>37</v>
      </c>
      <c r="F43" s="2">
        <v>1</v>
      </c>
      <c r="G43" s="2">
        <v>1</v>
      </c>
    </row>
    <row r="44" spans="1:7" ht="28.8" x14ac:dyDescent="0.3">
      <c r="B44" s="2"/>
      <c r="C44" s="3" t="s">
        <v>726</v>
      </c>
      <c r="D44" s="1" t="s">
        <v>727</v>
      </c>
      <c r="E44" s="1" t="s">
        <v>37</v>
      </c>
      <c r="F44" s="2">
        <v>1</v>
      </c>
      <c r="G44" s="2">
        <v>1</v>
      </c>
    </row>
    <row r="45" spans="1:7" x14ac:dyDescent="0.3">
      <c r="A45" s="1" t="s">
        <v>728</v>
      </c>
      <c r="B45" s="2">
        <v>4</v>
      </c>
      <c r="F45" s="2"/>
      <c r="G45" s="2">
        <v>1</v>
      </c>
    </row>
    <row r="46" spans="1:7" x14ac:dyDescent="0.3">
      <c r="A46" s="3"/>
      <c r="B46" s="2"/>
      <c r="C46" s="1" t="s">
        <v>729</v>
      </c>
      <c r="D46" s="1" t="s">
        <v>730</v>
      </c>
      <c r="E46" s="1" t="s">
        <v>14</v>
      </c>
      <c r="F46" s="2">
        <v>1</v>
      </c>
      <c r="G46" s="2">
        <v>1</v>
      </c>
    </row>
    <row r="47" spans="1:7" x14ac:dyDescent="0.3">
      <c r="B47" s="2"/>
      <c r="C47" s="1" t="s">
        <v>731</v>
      </c>
      <c r="D47" s="1" t="s">
        <v>730</v>
      </c>
      <c r="E47" s="1" t="s">
        <v>14</v>
      </c>
      <c r="F47" s="2">
        <v>1</v>
      </c>
      <c r="G47" s="2">
        <v>1</v>
      </c>
    </row>
    <row r="48" spans="1:7" x14ac:dyDescent="0.3">
      <c r="B48" s="2"/>
      <c r="C48" s="1" t="s">
        <v>732</v>
      </c>
      <c r="D48" s="1" t="s">
        <v>730</v>
      </c>
      <c r="E48" s="1" t="s">
        <v>14</v>
      </c>
      <c r="F48" s="2">
        <v>1</v>
      </c>
      <c r="G48" s="2">
        <v>1</v>
      </c>
    </row>
    <row r="49" spans="1:7" x14ac:dyDescent="0.3">
      <c r="B49" s="2"/>
      <c r="C49" s="1" t="s">
        <v>733</v>
      </c>
      <c r="D49" s="1" t="s">
        <v>730</v>
      </c>
      <c r="E49" s="1" t="s">
        <v>14</v>
      </c>
      <c r="F49" s="2">
        <v>1</v>
      </c>
      <c r="G49" s="2">
        <v>1</v>
      </c>
    </row>
    <row r="50" spans="1:7" x14ac:dyDescent="0.3">
      <c r="A50" s="1" t="s">
        <v>734</v>
      </c>
      <c r="B50" s="2">
        <v>5</v>
      </c>
      <c r="F50" s="2"/>
      <c r="G50" s="2">
        <v>1</v>
      </c>
    </row>
    <row r="51" spans="1:7" x14ac:dyDescent="0.3">
      <c r="A51" s="3"/>
      <c r="B51" s="2"/>
      <c r="C51" s="1" t="s">
        <v>735</v>
      </c>
      <c r="D51" s="1" t="s">
        <v>736</v>
      </c>
      <c r="E51" s="1" t="s">
        <v>14</v>
      </c>
      <c r="F51" s="2">
        <v>1</v>
      </c>
      <c r="G51" s="2">
        <v>1</v>
      </c>
    </row>
    <row r="52" spans="1:7" x14ac:dyDescent="0.3">
      <c r="A52" s="3"/>
      <c r="B52" s="2"/>
      <c r="C52" s="1" t="s">
        <v>737</v>
      </c>
      <c r="D52" s="1" t="s">
        <v>736</v>
      </c>
      <c r="E52" s="1" t="s">
        <v>14</v>
      </c>
      <c r="F52" s="2">
        <v>1</v>
      </c>
      <c r="G52" s="2">
        <v>1</v>
      </c>
    </row>
    <row r="53" spans="1:7" x14ac:dyDescent="0.3">
      <c r="A53" s="3"/>
      <c r="B53" s="2"/>
      <c r="C53" s="1" t="s">
        <v>738</v>
      </c>
      <c r="D53" s="1" t="s">
        <v>561</v>
      </c>
      <c r="E53" s="1" t="s">
        <v>14</v>
      </c>
      <c r="F53" s="2">
        <v>1</v>
      </c>
      <c r="G53" s="2">
        <v>1</v>
      </c>
    </row>
    <row r="54" spans="1:7" x14ac:dyDescent="0.3">
      <c r="B54" s="2"/>
      <c r="C54" s="1" t="s">
        <v>739</v>
      </c>
      <c r="D54" s="1" t="s">
        <v>740</v>
      </c>
      <c r="E54" s="1" t="s">
        <v>14</v>
      </c>
      <c r="F54" s="2">
        <v>1</v>
      </c>
      <c r="G54" s="2">
        <v>1</v>
      </c>
    </row>
    <row r="55" spans="1:7" x14ac:dyDescent="0.3">
      <c r="B55" s="2"/>
      <c r="C55" s="1" t="s">
        <v>741</v>
      </c>
      <c r="D55" s="1" t="s">
        <v>740</v>
      </c>
      <c r="E55" s="1" t="s">
        <v>14</v>
      </c>
      <c r="F55" s="2">
        <v>1</v>
      </c>
      <c r="G55" s="2">
        <v>1</v>
      </c>
    </row>
    <row r="56" spans="1:7" x14ac:dyDescent="0.3">
      <c r="A56" s="1" t="s">
        <v>742</v>
      </c>
      <c r="B56" s="2">
        <v>5</v>
      </c>
      <c r="F56" s="2"/>
      <c r="G56" s="2">
        <v>1</v>
      </c>
    </row>
    <row r="57" spans="1:7" x14ac:dyDescent="0.3">
      <c r="A57" s="3"/>
      <c r="B57" s="2"/>
      <c r="C57" s="1" t="s">
        <v>743</v>
      </c>
      <c r="D57" s="1" t="s">
        <v>744</v>
      </c>
      <c r="E57" s="1" t="s">
        <v>14</v>
      </c>
      <c r="F57" s="2">
        <v>1</v>
      </c>
      <c r="G57" s="2">
        <v>1</v>
      </c>
    </row>
    <row r="58" spans="1:7" x14ac:dyDescent="0.3">
      <c r="B58" s="2"/>
      <c r="C58" s="1" t="s">
        <v>745</v>
      </c>
      <c r="D58" s="1" t="s">
        <v>746</v>
      </c>
      <c r="E58" s="1" t="s">
        <v>14</v>
      </c>
      <c r="F58" s="2">
        <v>1</v>
      </c>
      <c r="G58" s="2">
        <v>1</v>
      </c>
    </row>
    <row r="59" spans="1:7" x14ac:dyDescent="0.3">
      <c r="A59" s="3"/>
      <c r="B59" s="2"/>
      <c r="C59" s="1" t="s">
        <v>747</v>
      </c>
      <c r="D59" s="1" t="s">
        <v>270</v>
      </c>
      <c r="E59" s="1" t="s">
        <v>14</v>
      </c>
      <c r="F59" s="2">
        <v>1</v>
      </c>
      <c r="G59" s="2">
        <v>1</v>
      </c>
    </row>
    <row r="60" spans="1:7" x14ac:dyDescent="0.3">
      <c r="B60" s="2"/>
      <c r="C60" s="1" t="s">
        <v>748</v>
      </c>
      <c r="D60" s="1" t="s">
        <v>749</v>
      </c>
      <c r="E60" s="1" t="s">
        <v>14</v>
      </c>
      <c r="F60" s="2">
        <v>1</v>
      </c>
      <c r="G60" s="2">
        <v>1</v>
      </c>
    </row>
    <row r="61" spans="1:7" x14ac:dyDescent="0.3">
      <c r="B61" s="2"/>
      <c r="C61" s="1" t="s">
        <v>750</v>
      </c>
      <c r="D61" s="1" t="s">
        <v>751</v>
      </c>
      <c r="E61" s="1" t="s">
        <v>14</v>
      </c>
      <c r="F61" s="2">
        <v>1</v>
      </c>
      <c r="G61" s="2">
        <v>1</v>
      </c>
    </row>
    <row r="65" spans="1:7" x14ac:dyDescent="0.3">
      <c r="A65" s="1" t="s">
        <v>752</v>
      </c>
      <c r="B65" s="2">
        <v>5</v>
      </c>
      <c r="F65" s="2"/>
      <c r="G65" s="2">
        <v>1</v>
      </c>
    </row>
    <row r="66" spans="1:7" x14ac:dyDescent="0.3">
      <c r="B66" s="2"/>
      <c r="C66" s="1" t="s">
        <v>753</v>
      </c>
      <c r="D66" s="1" t="s">
        <v>754</v>
      </c>
      <c r="E66" s="1" t="s">
        <v>14</v>
      </c>
      <c r="F66" s="2">
        <v>1</v>
      </c>
      <c r="G66" s="2">
        <v>1</v>
      </c>
    </row>
    <row r="67" spans="1:7" x14ac:dyDescent="0.3">
      <c r="A67" s="3"/>
      <c r="B67" s="2"/>
      <c r="C67" s="3" t="s">
        <v>755</v>
      </c>
      <c r="D67" s="1" t="s">
        <v>632</v>
      </c>
      <c r="E67" s="1" t="s">
        <v>14</v>
      </c>
      <c r="F67" s="2">
        <v>1</v>
      </c>
      <c r="G67" s="2">
        <v>1</v>
      </c>
    </row>
    <row r="68" spans="1:7" x14ac:dyDescent="0.3">
      <c r="A68" s="3"/>
      <c r="B68" s="2"/>
      <c r="C68" s="1" t="s">
        <v>756</v>
      </c>
      <c r="D68" s="1" t="s">
        <v>757</v>
      </c>
      <c r="E68" s="1" t="s">
        <v>14</v>
      </c>
      <c r="F68" s="2">
        <v>1</v>
      </c>
      <c r="G68" s="2">
        <v>1</v>
      </c>
    </row>
    <row r="69" spans="1:7" x14ac:dyDescent="0.3">
      <c r="B69" s="2"/>
      <c r="C69" s="1" t="s">
        <v>758</v>
      </c>
      <c r="D69" s="1" t="s">
        <v>759</v>
      </c>
      <c r="E69" s="1" t="s">
        <v>14</v>
      </c>
      <c r="F69" s="2">
        <v>1</v>
      </c>
      <c r="G69" s="2">
        <v>1</v>
      </c>
    </row>
    <row r="70" spans="1:7" x14ac:dyDescent="0.3">
      <c r="B70" s="2"/>
      <c r="C70" s="1" t="s">
        <v>760</v>
      </c>
      <c r="D70" s="1" t="s">
        <v>761</v>
      </c>
      <c r="E70" s="1" t="s">
        <v>14</v>
      </c>
      <c r="F70" s="2">
        <v>1</v>
      </c>
      <c r="G70" s="2">
        <v>1</v>
      </c>
    </row>
    <row r="71" spans="1:7" x14ac:dyDescent="0.3">
      <c r="A71" s="1" t="s">
        <v>584</v>
      </c>
      <c r="B71" s="2">
        <v>5</v>
      </c>
      <c r="F71" s="2"/>
      <c r="G71" s="2">
        <v>1</v>
      </c>
    </row>
    <row r="72" spans="1:7" x14ac:dyDescent="0.3">
      <c r="B72" s="2"/>
      <c r="C72" s="1" t="s">
        <v>762</v>
      </c>
      <c r="D72" s="1" t="s">
        <v>763</v>
      </c>
      <c r="E72" s="1" t="s">
        <v>14</v>
      </c>
      <c r="F72" s="2">
        <v>1</v>
      </c>
      <c r="G72" s="2">
        <v>1</v>
      </c>
    </row>
    <row r="73" spans="1:7" x14ac:dyDescent="0.3">
      <c r="B73" s="2"/>
      <c r="C73" s="3" t="s">
        <v>764</v>
      </c>
      <c r="D73" s="1" t="s">
        <v>765</v>
      </c>
      <c r="E73" s="1" t="s">
        <v>14</v>
      </c>
      <c r="F73" s="2">
        <v>1</v>
      </c>
      <c r="G73" s="2">
        <v>1</v>
      </c>
    </row>
    <row r="74" spans="1:7" x14ac:dyDescent="0.3">
      <c r="B74" s="2"/>
      <c r="C74" s="1" t="s">
        <v>766</v>
      </c>
      <c r="D74" s="1" t="s">
        <v>767</v>
      </c>
      <c r="E74" s="1" t="s">
        <v>14</v>
      </c>
      <c r="F74" s="2">
        <v>1</v>
      </c>
      <c r="G74" s="2">
        <v>1</v>
      </c>
    </row>
    <row r="75" spans="1:7" x14ac:dyDescent="0.3">
      <c r="A75" s="3"/>
      <c r="B75" s="2"/>
      <c r="C75" s="1" t="s">
        <v>768</v>
      </c>
      <c r="D75" s="1" t="s">
        <v>769</v>
      </c>
      <c r="E75" s="1" t="s">
        <v>14</v>
      </c>
      <c r="F75" s="2">
        <v>1</v>
      </c>
      <c r="G75" s="2">
        <v>1</v>
      </c>
    </row>
    <row r="76" spans="1:7" x14ac:dyDescent="0.3">
      <c r="B76" s="2"/>
      <c r="C76" s="3" t="s">
        <v>770</v>
      </c>
      <c r="D76" s="1" t="s">
        <v>771</v>
      </c>
      <c r="E76" s="1" t="s">
        <v>14</v>
      </c>
      <c r="F76" s="2">
        <v>1</v>
      </c>
      <c r="G76" s="2">
        <v>1</v>
      </c>
    </row>
    <row r="77" spans="1:7" ht="28.8" x14ac:dyDescent="0.3">
      <c r="A77" s="3" t="s">
        <v>595</v>
      </c>
      <c r="B77" s="2">
        <v>5</v>
      </c>
      <c r="C77" s="3"/>
      <c r="F77" s="2"/>
      <c r="G77" s="2">
        <v>1</v>
      </c>
    </row>
    <row r="78" spans="1:7" x14ac:dyDescent="0.3">
      <c r="A78" s="3"/>
      <c r="B78" s="2"/>
      <c r="C78" s="3" t="s">
        <v>772</v>
      </c>
      <c r="D78" s="1" t="s">
        <v>773</v>
      </c>
      <c r="E78" s="1" t="s">
        <v>14</v>
      </c>
      <c r="F78" s="2">
        <v>1</v>
      </c>
      <c r="G78" s="2">
        <v>1</v>
      </c>
    </row>
    <row r="79" spans="1:7" x14ac:dyDescent="0.3">
      <c r="B79" s="2"/>
      <c r="C79" s="3" t="s">
        <v>774</v>
      </c>
      <c r="D79" s="1" t="s">
        <v>775</v>
      </c>
      <c r="E79" s="1" t="s">
        <v>14</v>
      </c>
      <c r="F79" s="2">
        <v>1</v>
      </c>
      <c r="G79" s="2">
        <v>1</v>
      </c>
    </row>
    <row r="80" spans="1:7" ht="28.8" x14ac:dyDescent="0.3">
      <c r="B80" s="2"/>
      <c r="C80" s="3" t="s">
        <v>776</v>
      </c>
      <c r="D80" s="1" t="s">
        <v>777</v>
      </c>
      <c r="E80" s="1" t="s">
        <v>37</v>
      </c>
      <c r="F80" s="2">
        <v>1</v>
      </c>
      <c r="G80" s="2">
        <v>1</v>
      </c>
    </row>
    <row r="81" spans="1:7" x14ac:dyDescent="0.3">
      <c r="B81" s="2"/>
      <c r="C81" s="3" t="s">
        <v>778</v>
      </c>
      <c r="D81" s="1" t="s">
        <v>779</v>
      </c>
      <c r="E81" s="1" t="s">
        <v>14</v>
      </c>
      <c r="F81" s="2">
        <v>1</v>
      </c>
      <c r="G81" s="2">
        <v>1</v>
      </c>
    </row>
    <row r="82" spans="1:7" x14ac:dyDescent="0.3">
      <c r="A82" s="3"/>
      <c r="B82" s="2"/>
      <c r="C82" s="3" t="s">
        <v>780</v>
      </c>
      <c r="D82" s="1" t="s">
        <v>781</v>
      </c>
      <c r="E82" s="1" t="s">
        <v>14</v>
      </c>
      <c r="F82" s="2">
        <v>1</v>
      </c>
      <c r="G82" s="2">
        <v>1</v>
      </c>
    </row>
    <row r="83" spans="1:7" x14ac:dyDescent="0.3">
      <c r="A83" s="1" t="s">
        <v>782</v>
      </c>
      <c r="B83" s="2">
        <v>4</v>
      </c>
      <c r="C83" s="3"/>
      <c r="F83" s="2"/>
      <c r="G83" s="2">
        <v>1</v>
      </c>
    </row>
    <row r="84" spans="1:7" ht="28.8" x14ac:dyDescent="0.3">
      <c r="B84" s="2"/>
      <c r="C84" s="3" t="s">
        <v>783</v>
      </c>
      <c r="D84" s="1" t="s">
        <v>784</v>
      </c>
      <c r="E84" s="1" t="s">
        <v>14</v>
      </c>
      <c r="F84" s="2">
        <v>1</v>
      </c>
      <c r="G84" s="2">
        <v>1</v>
      </c>
    </row>
    <row r="85" spans="1:7" x14ac:dyDescent="0.3">
      <c r="B85" s="2"/>
      <c r="C85" s="3" t="s">
        <v>785</v>
      </c>
      <c r="D85" s="1" t="s">
        <v>334</v>
      </c>
      <c r="E85" s="1" t="s">
        <v>14</v>
      </c>
      <c r="F85" s="2">
        <v>1</v>
      </c>
      <c r="G85" s="2">
        <v>1</v>
      </c>
    </row>
    <row r="86" spans="1:7" ht="28.8" x14ac:dyDescent="0.3">
      <c r="B86" s="2"/>
      <c r="C86" s="3" t="s">
        <v>786</v>
      </c>
      <c r="D86" s="1" t="s">
        <v>787</v>
      </c>
      <c r="E86" s="1" t="s">
        <v>37</v>
      </c>
      <c r="F86" s="2">
        <v>1</v>
      </c>
      <c r="G86" s="2">
        <v>1</v>
      </c>
    </row>
    <row r="87" spans="1:7" x14ac:dyDescent="0.3">
      <c r="B87" s="2"/>
      <c r="C87" s="3" t="s">
        <v>788</v>
      </c>
      <c r="D87" s="1" t="s">
        <v>789</v>
      </c>
      <c r="E87" s="1" t="s">
        <v>14</v>
      </c>
      <c r="F87" s="2">
        <v>1</v>
      </c>
      <c r="G87" s="2">
        <v>1</v>
      </c>
    </row>
    <row r="91" spans="1:7" x14ac:dyDescent="0.3">
      <c r="A91" s="1" t="s">
        <v>790</v>
      </c>
      <c r="B91" s="2">
        <v>5</v>
      </c>
      <c r="C91" s="3"/>
      <c r="F91" s="2"/>
      <c r="G91" s="2">
        <v>1</v>
      </c>
    </row>
    <row r="92" spans="1:7" ht="28.8" x14ac:dyDescent="0.3">
      <c r="A92" s="3"/>
      <c r="B92" s="2"/>
      <c r="C92" s="3" t="s">
        <v>791</v>
      </c>
      <c r="D92" s="1" t="s">
        <v>256</v>
      </c>
      <c r="E92" s="1" t="s">
        <v>37</v>
      </c>
      <c r="F92" s="2">
        <v>1</v>
      </c>
      <c r="G92" s="2">
        <v>1</v>
      </c>
    </row>
    <row r="93" spans="1:7" x14ac:dyDescent="0.3">
      <c r="B93" s="2"/>
      <c r="C93" s="3" t="s">
        <v>792</v>
      </c>
      <c r="D93" s="1" t="s">
        <v>793</v>
      </c>
      <c r="E93" s="1" t="s">
        <v>37</v>
      </c>
      <c r="F93" s="2">
        <v>1</v>
      </c>
      <c r="G93" s="2">
        <v>1</v>
      </c>
    </row>
    <row r="94" spans="1:7" ht="28.8" x14ac:dyDescent="0.3">
      <c r="B94" s="2"/>
      <c r="C94" s="3" t="s">
        <v>794</v>
      </c>
      <c r="D94" s="1" t="s">
        <v>795</v>
      </c>
      <c r="E94" s="1" t="s">
        <v>37</v>
      </c>
      <c r="F94" s="2">
        <v>1</v>
      </c>
      <c r="G94" s="2">
        <v>1</v>
      </c>
    </row>
    <row r="95" spans="1:7" x14ac:dyDescent="0.3">
      <c r="B95" s="2"/>
      <c r="C95" s="3" t="s">
        <v>796</v>
      </c>
      <c r="D95" s="1" t="s">
        <v>797</v>
      </c>
      <c r="E95" s="1" t="s">
        <v>798</v>
      </c>
      <c r="F95" s="2">
        <v>1</v>
      </c>
      <c r="G95" s="2">
        <v>1</v>
      </c>
    </row>
    <row r="96" spans="1:7" ht="28.8" x14ac:dyDescent="0.3">
      <c r="B96" s="2"/>
      <c r="C96" s="3" t="s">
        <v>799</v>
      </c>
      <c r="D96" s="1" t="s">
        <v>800</v>
      </c>
      <c r="E96" s="1" t="s">
        <v>37</v>
      </c>
      <c r="F96" s="2">
        <v>1</v>
      </c>
      <c r="G96" s="2">
        <v>1</v>
      </c>
    </row>
    <row r="97" spans="1:7" ht="28.8" x14ac:dyDescent="0.3">
      <c r="A97" s="3" t="s">
        <v>801</v>
      </c>
      <c r="B97" s="2">
        <v>4</v>
      </c>
      <c r="C97" s="3"/>
      <c r="F97" s="2"/>
      <c r="G97" s="2">
        <v>1</v>
      </c>
    </row>
    <row r="98" spans="1:7" x14ac:dyDescent="0.3">
      <c r="B98" s="2"/>
      <c r="C98" s="3" t="s">
        <v>802</v>
      </c>
      <c r="D98" s="1" t="s">
        <v>803</v>
      </c>
      <c r="E98" s="1" t="s">
        <v>37</v>
      </c>
      <c r="F98" s="2">
        <v>1</v>
      </c>
      <c r="G98" s="2">
        <v>1</v>
      </c>
    </row>
    <row r="99" spans="1:7" x14ac:dyDescent="0.3">
      <c r="A99" s="3"/>
      <c r="B99" s="2"/>
      <c r="C99" s="3" t="s">
        <v>804</v>
      </c>
      <c r="D99" s="1" t="s">
        <v>803</v>
      </c>
      <c r="E99" s="1" t="s">
        <v>37</v>
      </c>
      <c r="F99" s="2">
        <v>1</v>
      </c>
      <c r="G99" s="2">
        <v>1</v>
      </c>
    </row>
    <row r="100" spans="1:7" x14ac:dyDescent="0.3">
      <c r="B100" s="2"/>
      <c r="C100" s="3" t="s">
        <v>805</v>
      </c>
      <c r="D100" s="1" t="s">
        <v>803</v>
      </c>
      <c r="E100" s="1" t="s">
        <v>37</v>
      </c>
      <c r="F100" s="2">
        <v>1</v>
      </c>
      <c r="G100" s="2">
        <v>1</v>
      </c>
    </row>
    <row r="101" spans="1:7" x14ac:dyDescent="0.3">
      <c r="B101" s="2"/>
      <c r="C101" s="3" t="s">
        <v>806</v>
      </c>
      <c r="D101" s="1" t="s">
        <v>803</v>
      </c>
      <c r="E101" s="1" t="s">
        <v>37</v>
      </c>
      <c r="F101" s="2">
        <v>1</v>
      </c>
      <c r="G101" s="2">
        <v>1</v>
      </c>
    </row>
    <row r="102" spans="1:7" x14ac:dyDescent="0.3">
      <c r="A102" s="1" t="s">
        <v>807</v>
      </c>
      <c r="B102" s="2">
        <v>4</v>
      </c>
      <c r="C102" s="3"/>
      <c r="F102" s="2"/>
      <c r="G102" s="2">
        <v>1</v>
      </c>
    </row>
    <row r="103" spans="1:7" x14ac:dyDescent="0.3">
      <c r="B103" s="2"/>
      <c r="C103" s="3" t="s">
        <v>808</v>
      </c>
      <c r="D103" s="1" t="s">
        <v>809</v>
      </c>
      <c r="E103" s="1" t="s">
        <v>14</v>
      </c>
      <c r="F103" s="2">
        <v>1</v>
      </c>
      <c r="G103" s="2">
        <v>1</v>
      </c>
    </row>
    <row r="104" spans="1:7" x14ac:dyDescent="0.3">
      <c r="B104" s="2"/>
      <c r="C104" s="3" t="s">
        <v>810</v>
      </c>
      <c r="D104" s="1" t="s">
        <v>811</v>
      </c>
      <c r="E104" s="1" t="s">
        <v>14</v>
      </c>
      <c r="F104" s="2">
        <v>1</v>
      </c>
      <c r="G104" s="2">
        <v>1</v>
      </c>
    </row>
    <row r="105" spans="1:7" x14ac:dyDescent="0.3">
      <c r="B105" s="2"/>
      <c r="C105" s="3" t="s">
        <v>812</v>
      </c>
      <c r="D105" s="1" t="s">
        <v>813</v>
      </c>
      <c r="E105" s="1" t="s">
        <v>37</v>
      </c>
      <c r="F105" s="2">
        <v>1</v>
      </c>
      <c r="G105" s="2">
        <v>1</v>
      </c>
    </row>
    <row r="106" spans="1:7" x14ac:dyDescent="0.3">
      <c r="B106" s="2"/>
      <c r="C106" s="3" t="s">
        <v>814</v>
      </c>
      <c r="D106" s="1" t="s">
        <v>710</v>
      </c>
      <c r="E106" s="1" t="s">
        <v>14</v>
      </c>
      <c r="F106" s="2">
        <v>1</v>
      </c>
      <c r="G106" s="2">
        <v>1</v>
      </c>
    </row>
    <row r="107" spans="1:7" x14ac:dyDescent="0.3">
      <c r="A107" s="1" t="s">
        <v>815</v>
      </c>
      <c r="B107" s="2">
        <v>5</v>
      </c>
      <c r="C107" s="3"/>
      <c r="F107" s="2"/>
      <c r="G107" s="2">
        <v>1</v>
      </c>
    </row>
    <row r="108" spans="1:7" x14ac:dyDescent="0.3">
      <c r="B108" s="2"/>
      <c r="C108" s="3" t="s">
        <v>816</v>
      </c>
      <c r="D108" s="1" t="s">
        <v>817</v>
      </c>
      <c r="E108" s="1" t="s">
        <v>37</v>
      </c>
      <c r="F108" s="2">
        <v>1</v>
      </c>
      <c r="G108" s="2">
        <v>1</v>
      </c>
    </row>
    <row r="109" spans="1:7" x14ac:dyDescent="0.3">
      <c r="B109" s="2"/>
      <c r="C109" s="3" t="s">
        <v>818</v>
      </c>
      <c r="D109" s="1" t="s">
        <v>819</v>
      </c>
      <c r="E109" s="1" t="s">
        <v>37</v>
      </c>
      <c r="F109" s="2">
        <v>1</v>
      </c>
      <c r="G109" s="2">
        <v>1</v>
      </c>
    </row>
    <row r="110" spans="1:7" ht="43.2" x14ac:dyDescent="0.3">
      <c r="B110" s="2"/>
      <c r="C110" s="3" t="s">
        <v>820</v>
      </c>
      <c r="D110" s="1" t="s">
        <v>821</v>
      </c>
      <c r="E110" s="1" t="s">
        <v>37</v>
      </c>
      <c r="F110" s="2">
        <v>1</v>
      </c>
      <c r="G110" s="2">
        <v>1</v>
      </c>
    </row>
    <row r="111" spans="1:7" ht="28.8" x14ac:dyDescent="0.3">
      <c r="A111" s="3"/>
      <c r="B111" s="2"/>
      <c r="C111" s="3" t="s">
        <v>822</v>
      </c>
      <c r="D111" s="1" t="s">
        <v>823</v>
      </c>
      <c r="E111" s="1" t="s">
        <v>37</v>
      </c>
      <c r="F111" s="2">
        <v>1</v>
      </c>
      <c r="G111" s="2">
        <v>1</v>
      </c>
    </row>
    <row r="112" spans="1:7" ht="28.8" x14ac:dyDescent="0.3">
      <c r="A112" s="3"/>
      <c r="B112" s="2"/>
      <c r="C112" s="3" t="s">
        <v>824</v>
      </c>
      <c r="D112" s="1" t="s">
        <v>166</v>
      </c>
      <c r="E112" s="1" t="s">
        <v>798</v>
      </c>
      <c r="F112" s="2">
        <v>1</v>
      </c>
      <c r="G112" s="2">
        <v>1</v>
      </c>
    </row>
    <row r="118" spans="1:7" x14ac:dyDescent="0.3">
      <c r="A118" s="1" t="s">
        <v>825</v>
      </c>
      <c r="B118" s="2">
        <v>5</v>
      </c>
      <c r="C118" s="3"/>
      <c r="F118" s="2"/>
      <c r="G118" s="2">
        <v>1</v>
      </c>
    </row>
    <row r="119" spans="1:7" x14ac:dyDescent="0.3">
      <c r="B119" s="2"/>
      <c r="C119" s="3" t="s">
        <v>826</v>
      </c>
      <c r="D119" s="1" t="s">
        <v>827</v>
      </c>
      <c r="E119" s="1" t="s">
        <v>14</v>
      </c>
      <c r="F119" s="2">
        <v>1</v>
      </c>
      <c r="G119" s="2">
        <v>1</v>
      </c>
    </row>
    <row r="120" spans="1:7" x14ac:dyDescent="0.3">
      <c r="B120" s="2"/>
      <c r="C120" s="3" t="s">
        <v>147</v>
      </c>
      <c r="D120" s="1" t="s">
        <v>828</v>
      </c>
      <c r="E120" s="1" t="s">
        <v>14</v>
      </c>
      <c r="F120" s="2">
        <v>1</v>
      </c>
      <c r="G120" s="2">
        <v>1</v>
      </c>
    </row>
    <row r="121" spans="1:7" x14ac:dyDescent="0.3">
      <c r="A121" s="3"/>
      <c r="B121" s="2"/>
      <c r="C121" s="3" t="s">
        <v>829</v>
      </c>
      <c r="D121" s="1" t="s">
        <v>828</v>
      </c>
      <c r="E121" s="1" t="s">
        <v>14</v>
      </c>
      <c r="F121" s="2">
        <v>1</v>
      </c>
      <c r="G121" s="2">
        <v>1</v>
      </c>
    </row>
    <row r="122" spans="1:7" x14ac:dyDescent="0.3">
      <c r="B122" s="2"/>
      <c r="C122" s="3" t="s">
        <v>830</v>
      </c>
      <c r="D122" s="1" t="s">
        <v>828</v>
      </c>
      <c r="E122" s="1" t="s">
        <v>14</v>
      </c>
      <c r="F122" s="2">
        <v>1</v>
      </c>
      <c r="G122" s="2">
        <v>1</v>
      </c>
    </row>
    <row r="123" spans="1:7" ht="28.8" x14ac:dyDescent="0.3">
      <c r="B123" s="2"/>
      <c r="C123" s="3" t="s">
        <v>831</v>
      </c>
      <c r="D123" s="1" t="s">
        <v>160</v>
      </c>
      <c r="E123" s="1" t="s">
        <v>14</v>
      </c>
      <c r="F123" s="2">
        <v>1</v>
      </c>
      <c r="G123" s="2">
        <v>1</v>
      </c>
    </row>
    <row r="124" spans="1:7" x14ac:dyDescent="0.3">
      <c r="A124" s="1" t="s">
        <v>832</v>
      </c>
      <c r="B124" s="2">
        <v>6</v>
      </c>
      <c r="G124" s="2">
        <v>1</v>
      </c>
    </row>
    <row r="125" spans="1:7" x14ac:dyDescent="0.3">
      <c r="B125" s="2"/>
      <c r="C125" s="3" t="s">
        <v>833</v>
      </c>
      <c r="D125" s="1" t="s">
        <v>834</v>
      </c>
      <c r="E125" s="1" t="s">
        <v>14</v>
      </c>
      <c r="F125" s="2">
        <v>1</v>
      </c>
      <c r="G125" s="2">
        <v>1</v>
      </c>
    </row>
    <row r="126" spans="1:7" x14ac:dyDescent="0.3">
      <c r="B126" s="2"/>
      <c r="C126" s="3" t="s">
        <v>835</v>
      </c>
      <c r="D126" s="1" t="s">
        <v>836</v>
      </c>
      <c r="E126" s="1" t="s">
        <v>14</v>
      </c>
      <c r="F126" s="2">
        <v>1</v>
      </c>
      <c r="G126" s="2">
        <v>1</v>
      </c>
    </row>
    <row r="127" spans="1:7" x14ac:dyDescent="0.3">
      <c r="B127" s="2"/>
      <c r="C127" s="3" t="s">
        <v>837</v>
      </c>
      <c r="D127" s="1" t="s">
        <v>838</v>
      </c>
      <c r="E127" s="1" t="s">
        <v>14</v>
      </c>
      <c r="F127" s="2">
        <v>1</v>
      </c>
      <c r="G127" s="2">
        <v>1</v>
      </c>
    </row>
    <row r="128" spans="1:7" x14ac:dyDescent="0.3">
      <c r="A128" s="3"/>
      <c r="B128" s="2"/>
      <c r="C128" s="3" t="s">
        <v>839</v>
      </c>
      <c r="D128" s="1" t="s">
        <v>423</v>
      </c>
      <c r="E128" s="1" t="s">
        <v>14</v>
      </c>
      <c r="F128" s="2">
        <v>1</v>
      </c>
      <c r="G128" s="2">
        <v>1</v>
      </c>
    </row>
    <row r="129" spans="1:7" ht="28.8" x14ac:dyDescent="0.3">
      <c r="B129" s="2"/>
      <c r="C129" s="3" t="s">
        <v>840</v>
      </c>
      <c r="D129" s="1" t="s">
        <v>841</v>
      </c>
      <c r="E129" s="1" t="s">
        <v>14</v>
      </c>
      <c r="F129" s="2">
        <v>1</v>
      </c>
      <c r="G129" s="2">
        <v>1</v>
      </c>
    </row>
    <row r="130" spans="1:7" x14ac:dyDescent="0.3">
      <c r="B130" s="2"/>
      <c r="C130" s="3" t="s">
        <v>842</v>
      </c>
      <c r="D130" s="1" t="s">
        <v>843</v>
      </c>
      <c r="E130" s="1" t="s">
        <v>14</v>
      </c>
      <c r="F130" s="2">
        <v>1</v>
      </c>
      <c r="G130" s="2">
        <v>1</v>
      </c>
    </row>
    <row r="131" spans="1:7" x14ac:dyDescent="0.3">
      <c r="A131" s="1" t="s">
        <v>844</v>
      </c>
      <c r="B131" s="2">
        <v>4</v>
      </c>
      <c r="C131" s="3"/>
      <c r="F131" s="2"/>
      <c r="G131" s="2">
        <v>1</v>
      </c>
    </row>
    <row r="132" spans="1:7" x14ac:dyDescent="0.3">
      <c r="A132" s="3"/>
      <c r="B132" s="2"/>
      <c r="C132" s="3" t="s">
        <v>845</v>
      </c>
      <c r="D132" s="1" t="s">
        <v>567</v>
      </c>
      <c r="E132" s="1" t="s">
        <v>14</v>
      </c>
      <c r="F132" s="2">
        <v>1</v>
      </c>
      <c r="G132" s="2">
        <v>1</v>
      </c>
    </row>
    <row r="133" spans="1:7" ht="28.8" x14ac:dyDescent="0.3">
      <c r="B133" s="2"/>
      <c r="C133" s="3" t="s">
        <v>846</v>
      </c>
      <c r="D133" s="1" t="s">
        <v>827</v>
      </c>
      <c r="E133" s="1" t="s">
        <v>14</v>
      </c>
      <c r="F133" s="2">
        <v>1</v>
      </c>
      <c r="G133" s="2">
        <v>1</v>
      </c>
    </row>
    <row r="134" spans="1:7" x14ac:dyDescent="0.3">
      <c r="A134" s="3"/>
      <c r="B134" s="2"/>
      <c r="C134" s="3" t="s">
        <v>847</v>
      </c>
      <c r="D134" s="1" t="s">
        <v>848</v>
      </c>
      <c r="E134" s="1" t="s">
        <v>14</v>
      </c>
      <c r="F134" s="2">
        <v>1</v>
      </c>
      <c r="G134" s="2">
        <v>1</v>
      </c>
    </row>
    <row r="135" spans="1:7" x14ac:dyDescent="0.3">
      <c r="B135" s="2"/>
      <c r="C135" s="3" t="s">
        <v>849</v>
      </c>
      <c r="D135" s="1" t="s">
        <v>850</v>
      </c>
      <c r="E135" s="1" t="s">
        <v>14</v>
      </c>
      <c r="F135" s="2">
        <v>1</v>
      </c>
      <c r="G135" s="2">
        <v>1</v>
      </c>
    </row>
    <row r="136" spans="1:7" x14ac:dyDescent="0.3">
      <c r="A136" s="1" t="s">
        <v>851</v>
      </c>
      <c r="B136" s="2">
        <v>5</v>
      </c>
      <c r="C136" s="3"/>
      <c r="F136" s="2"/>
      <c r="G136" s="2">
        <v>1</v>
      </c>
    </row>
    <row r="137" spans="1:7" x14ac:dyDescent="0.3">
      <c r="A137" s="3"/>
      <c r="B137" s="2"/>
      <c r="C137" s="3" t="s">
        <v>852</v>
      </c>
      <c r="D137" s="1" t="s">
        <v>736</v>
      </c>
      <c r="E137" s="1" t="s">
        <v>14</v>
      </c>
      <c r="F137" s="2">
        <v>1</v>
      </c>
      <c r="G137" s="2">
        <v>1</v>
      </c>
    </row>
    <row r="138" spans="1:7" x14ac:dyDescent="0.3">
      <c r="B138" s="2"/>
      <c r="C138" s="3" t="s">
        <v>853</v>
      </c>
      <c r="D138" s="1" t="s">
        <v>854</v>
      </c>
      <c r="E138" s="1" t="s">
        <v>14</v>
      </c>
      <c r="F138" s="2">
        <v>1</v>
      </c>
      <c r="G138" s="2">
        <v>1</v>
      </c>
    </row>
    <row r="139" spans="1:7" x14ac:dyDescent="0.3">
      <c r="B139" s="2"/>
      <c r="C139" s="4" t="s">
        <v>855</v>
      </c>
      <c r="D139" s="1" t="s">
        <v>856</v>
      </c>
      <c r="E139" s="1" t="s">
        <v>14</v>
      </c>
      <c r="F139" s="2">
        <v>1</v>
      </c>
      <c r="G139" s="2">
        <v>1</v>
      </c>
    </row>
    <row r="140" spans="1:7" x14ac:dyDescent="0.3">
      <c r="B140" s="2"/>
      <c r="C140" s="3" t="s">
        <v>857</v>
      </c>
      <c r="D140" s="1" t="s">
        <v>492</v>
      </c>
      <c r="E140" s="1" t="s">
        <v>14</v>
      </c>
      <c r="F140" s="2">
        <v>1</v>
      </c>
      <c r="G140" s="2">
        <v>1</v>
      </c>
    </row>
    <row r="141" spans="1:7" x14ac:dyDescent="0.3">
      <c r="B141" s="2"/>
      <c r="C141" s="3" t="s">
        <v>858</v>
      </c>
      <c r="D141" s="1" t="s">
        <v>492</v>
      </c>
      <c r="E141" s="1" t="s">
        <v>14</v>
      </c>
      <c r="F141" s="2">
        <v>1</v>
      </c>
      <c r="G141" s="2">
        <v>1</v>
      </c>
    </row>
    <row r="142" spans="1:7" x14ac:dyDescent="0.3">
      <c r="A142" s="1" t="s">
        <v>859</v>
      </c>
      <c r="B142" s="2">
        <v>5</v>
      </c>
      <c r="C142" s="3"/>
      <c r="F142" s="2"/>
      <c r="G142" s="2">
        <v>1</v>
      </c>
    </row>
    <row r="143" spans="1:7" x14ac:dyDescent="0.3">
      <c r="A143" s="3"/>
      <c r="B143" s="2"/>
      <c r="C143" s="3" t="s">
        <v>860</v>
      </c>
      <c r="D143" s="1" t="s">
        <v>861</v>
      </c>
      <c r="E143" s="1" t="s">
        <v>14</v>
      </c>
      <c r="F143" s="2">
        <v>1</v>
      </c>
      <c r="G143" s="2">
        <v>1</v>
      </c>
    </row>
    <row r="144" spans="1:7" x14ac:dyDescent="0.3">
      <c r="B144" s="2"/>
      <c r="C144" s="3" t="s">
        <v>862</v>
      </c>
      <c r="D144" s="1" t="s">
        <v>861</v>
      </c>
      <c r="E144" s="1" t="s">
        <v>14</v>
      </c>
      <c r="F144" s="2">
        <v>1</v>
      </c>
      <c r="G144" s="2">
        <v>1</v>
      </c>
    </row>
    <row r="145" spans="1:7" x14ac:dyDescent="0.3">
      <c r="A145" s="3"/>
      <c r="B145" s="2"/>
      <c r="C145" s="3" t="s">
        <v>863</v>
      </c>
      <c r="D145" s="1" t="s">
        <v>364</v>
      </c>
      <c r="E145" s="1" t="s">
        <v>14</v>
      </c>
      <c r="F145" s="2">
        <v>1</v>
      </c>
      <c r="G145" s="2">
        <v>1</v>
      </c>
    </row>
    <row r="146" spans="1:7" x14ac:dyDescent="0.3">
      <c r="B146" s="2"/>
      <c r="C146" s="3" t="s">
        <v>864</v>
      </c>
      <c r="D146" s="1" t="s">
        <v>865</v>
      </c>
      <c r="E146" s="1" t="s">
        <v>14</v>
      </c>
      <c r="F146" s="2">
        <v>1</v>
      </c>
      <c r="G146" s="2">
        <v>1</v>
      </c>
    </row>
    <row r="147" spans="1:7" x14ac:dyDescent="0.3">
      <c r="B147" s="2"/>
      <c r="C147" s="3" t="s">
        <v>866</v>
      </c>
      <c r="D147" s="1" t="s">
        <v>270</v>
      </c>
      <c r="E147" s="1" t="s">
        <v>14</v>
      </c>
      <c r="F147" s="2">
        <v>1</v>
      </c>
      <c r="G147" s="2">
        <v>1</v>
      </c>
    </row>
    <row r="148" spans="1:7" x14ac:dyDescent="0.3">
      <c r="B148" s="2"/>
      <c r="C148" s="3"/>
      <c r="F148" s="2"/>
      <c r="G148" s="2"/>
    </row>
    <row r="149" spans="1:7" ht="28.8" x14ac:dyDescent="0.3">
      <c r="A149" s="3" t="s">
        <v>867</v>
      </c>
      <c r="B149" s="2">
        <v>4</v>
      </c>
      <c r="C149" s="3"/>
      <c r="F149" s="2"/>
      <c r="G149" s="2">
        <v>1</v>
      </c>
    </row>
    <row r="150" spans="1:7" x14ac:dyDescent="0.3">
      <c r="B150" s="2"/>
      <c r="C150" s="3" t="s">
        <v>868</v>
      </c>
      <c r="D150" s="1" t="s">
        <v>869</v>
      </c>
      <c r="E150" s="1" t="s">
        <v>37</v>
      </c>
      <c r="F150" s="2">
        <v>1</v>
      </c>
      <c r="G150" s="2">
        <v>1</v>
      </c>
    </row>
    <row r="151" spans="1:7" x14ac:dyDescent="0.3">
      <c r="B151" s="2"/>
      <c r="C151" s="3" t="s">
        <v>870</v>
      </c>
      <c r="D151" s="1" t="s">
        <v>871</v>
      </c>
      <c r="E151" s="1" t="s">
        <v>37</v>
      </c>
      <c r="F151" s="2">
        <v>1</v>
      </c>
      <c r="G151" s="2">
        <v>1</v>
      </c>
    </row>
    <row r="152" spans="1:7" x14ac:dyDescent="0.3">
      <c r="B152" s="2"/>
      <c r="C152" s="3" t="s">
        <v>872</v>
      </c>
      <c r="D152" s="1" t="s">
        <v>871</v>
      </c>
      <c r="E152" s="1" t="s">
        <v>37</v>
      </c>
      <c r="F152" s="2">
        <v>1</v>
      </c>
      <c r="G152" s="2">
        <v>1</v>
      </c>
    </row>
    <row r="153" spans="1:7" ht="28.8" x14ac:dyDescent="0.3">
      <c r="A153" s="3"/>
      <c r="B153" s="2"/>
      <c r="C153" s="3" t="s">
        <v>873</v>
      </c>
      <c r="D153" s="1" t="s">
        <v>874</v>
      </c>
      <c r="E153" s="1" t="s">
        <v>37</v>
      </c>
      <c r="F153" s="2">
        <v>1</v>
      </c>
      <c r="G153" s="2">
        <v>1</v>
      </c>
    </row>
    <row r="154" spans="1:7" ht="28.8" x14ac:dyDescent="0.3">
      <c r="A154" s="3" t="s">
        <v>875</v>
      </c>
      <c r="B154" s="2">
        <v>5</v>
      </c>
      <c r="F154" s="2"/>
      <c r="G154" s="2">
        <v>1</v>
      </c>
    </row>
    <row r="155" spans="1:7" x14ac:dyDescent="0.3">
      <c r="B155" s="2"/>
      <c r="C155" s="3" t="s">
        <v>876</v>
      </c>
      <c r="D155" s="1" t="s">
        <v>877</v>
      </c>
      <c r="E155" s="1" t="s">
        <v>878</v>
      </c>
      <c r="F155" s="2">
        <v>1</v>
      </c>
      <c r="G155" s="2">
        <v>1</v>
      </c>
    </row>
    <row r="156" spans="1:7" x14ac:dyDescent="0.3">
      <c r="A156" s="3"/>
      <c r="B156" s="2"/>
      <c r="C156" s="3" t="s">
        <v>879</v>
      </c>
      <c r="D156" s="1" t="s">
        <v>880</v>
      </c>
      <c r="E156" s="1" t="s">
        <v>878</v>
      </c>
      <c r="F156" s="2">
        <v>1</v>
      </c>
      <c r="G156" s="2">
        <v>1</v>
      </c>
    </row>
    <row r="157" spans="1:7" x14ac:dyDescent="0.3">
      <c r="B157" s="2"/>
      <c r="C157" s="3" t="s">
        <v>881</v>
      </c>
      <c r="D157" s="1" t="s">
        <v>880</v>
      </c>
      <c r="E157" s="1" t="s">
        <v>878</v>
      </c>
      <c r="F157" s="2">
        <v>1</v>
      </c>
      <c r="G157" s="2">
        <v>1</v>
      </c>
    </row>
    <row r="158" spans="1:7" x14ac:dyDescent="0.3">
      <c r="B158" s="2"/>
      <c r="C158" s="3" t="s">
        <v>882</v>
      </c>
      <c r="D158" s="1" t="s">
        <v>883</v>
      </c>
      <c r="E158" s="1" t="s">
        <v>878</v>
      </c>
      <c r="F158" s="2">
        <v>1</v>
      </c>
      <c r="G158" s="2">
        <v>1</v>
      </c>
    </row>
    <row r="159" spans="1:7" x14ac:dyDescent="0.3">
      <c r="A159" s="3"/>
      <c r="B159" s="2"/>
      <c r="C159" s="3" t="s">
        <v>884</v>
      </c>
      <c r="D159" s="1" t="s">
        <v>885</v>
      </c>
      <c r="E159" s="1" t="s">
        <v>878</v>
      </c>
      <c r="F159" s="2">
        <v>1</v>
      </c>
      <c r="G159" s="2">
        <v>1</v>
      </c>
    </row>
    <row r="160" spans="1:7" x14ac:dyDescent="0.3">
      <c r="A160" s="1" t="s">
        <v>828</v>
      </c>
      <c r="B160" s="2">
        <v>4</v>
      </c>
      <c r="F160" s="2"/>
      <c r="G160" s="2">
        <v>1</v>
      </c>
    </row>
    <row r="161" spans="2:7" x14ac:dyDescent="0.3">
      <c r="B161" s="2"/>
      <c r="C161" s="3" t="s">
        <v>886</v>
      </c>
      <c r="D161" s="1" t="s">
        <v>887</v>
      </c>
      <c r="E161" s="1" t="s">
        <v>14</v>
      </c>
      <c r="F161" s="2">
        <v>1</v>
      </c>
      <c r="G161" s="2">
        <v>1</v>
      </c>
    </row>
    <row r="162" spans="2:7" x14ac:dyDescent="0.3">
      <c r="B162" s="2"/>
      <c r="C162" s="3" t="s">
        <v>888</v>
      </c>
      <c r="D162" s="1" t="s">
        <v>889</v>
      </c>
      <c r="E162" s="1" t="s">
        <v>14</v>
      </c>
      <c r="F162" s="2">
        <v>1</v>
      </c>
      <c r="G162" s="2">
        <v>1</v>
      </c>
    </row>
    <row r="163" spans="2:7" x14ac:dyDescent="0.3">
      <c r="C163" s="3" t="s">
        <v>890</v>
      </c>
      <c r="D163" s="1" t="s">
        <v>891</v>
      </c>
      <c r="E163" s="1" t="s">
        <v>14</v>
      </c>
      <c r="F163" s="2">
        <v>1</v>
      </c>
      <c r="G163" s="2">
        <v>1</v>
      </c>
    </row>
    <row r="164" spans="2:7" x14ac:dyDescent="0.3">
      <c r="C164" s="3" t="s">
        <v>892</v>
      </c>
      <c r="D164" s="1" t="s">
        <v>828</v>
      </c>
      <c r="E164" s="1" t="s">
        <v>14</v>
      </c>
      <c r="F164" s="2">
        <v>1</v>
      </c>
      <c r="G164" s="2">
        <v>1</v>
      </c>
    </row>
    <row r="165" spans="2:7" x14ac:dyDescent="0.3">
      <c r="B165" s="1">
        <f>SUM(B6:B164)</f>
        <v>120</v>
      </c>
      <c r="F165" s="1">
        <f>SUM(F7:F164)</f>
        <v>120</v>
      </c>
      <c r="G165" s="1">
        <f>SUM(G6:G164)</f>
        <v>145</v>
      </c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86218-3872-43AF-A18B-B54D1124C62A}">
  <sheetPr>
    <tabColor rgb="FFFF0000"/>
    <outlinePr summaryBelow="0" summaryRight="0"/>
  </sheetPr>
  <dimension ref="A1:E150"/>
  <sheetViews>
    <sheetView workbookViewId="0">
      <pane ySplit="5" topLeftCell="A6" activePane="bottomLeft" state="frozen"/>
      <selection pane="bottomLeft" activeCell="A151" sqref="A151"/>
    </sheetView>
  </sheetViews>
  <sheetFormatPr defaultColWidth="14.44140625" defaultRowHeight="15.75" customHeight="1" x14ac:dyDescent="0.25"/>
  <cols>
    <col min="1" max="1" width="9.109375" style="8" customWidth="1"/>
    <col min="2" max="2" width="48.44140625" style="8" customWidth="1"/>
    <col min="3" max="3" width="9.44140625" style="8" customWidth="1"/>
    <col min="4" max="4" width="25.6640625" style="8" customWidth="1"/>
    <col min="5" max="5" width="18.44140625" style="8" customWidth="1"/>
    <col min="6" max="16384" width="14.44140625" style="8"/>
  </cols>
  <sheetData>
    <row r="1" spans="1:5" ht="15.75" customHeight="1" x14ac:dyDescent="0.25">
      <c r="A1" s="18" t="s">
        <v>893</v>
      </c>
      <c r="B1" s="18"/>
      <c r="C1" s="18"/>
      <c r="D1" s="18"/>
      <c r="E1" s="15"/>
    </row>
    <row r="2" spans="1:5" ht="15.75" customHeight="1" x14ac:dyDescent="0.25">
      <c r="A2" s="16" t="s">
        <v>894</v>
      </c>
      <c r="B2" s="16"/>
      <c r="C2" s="16"/>
      <c r="D2" s="16"/>
      <c r="E2" s="15"/>
    </row>
    <row r="3" spans="1:5" ht="15.75" customHeight="1" x14ac:dyDescent="0.25">
      <c r="A3" s="16" t="s">
        <v>895</v>
      </c>
      <c r="B3" s="16"/>
      <c r="C3" s="16"/>
      <c r="D3" s="16"/>
      <c r="E3" s="15"/>
    </row>
    <row r="4" spans="1:5" ht="15.75" customHeight="1" x14ac:dyDescent="0.25">
      <c r="A4" s="16" t="s">
        <v>896</v>
      </c>
      <c r="B4" s="16"/>
      <c r="C4" s="16"/>
      <c r="D4" s="16"/>
      <c r="E4" s="15"/>
    </row>
    <row r="5" spans="1:5" ht="15.75" customHeight="1" x14ac:dyDescent="0.25">
      <c r="A5" s="14" t="s">
        <v>897</v>
      </c>
      <c r="B5" s="13" t="s">
        <v>898</v>
      </c>
      <c r="C5" s="12" t="s">
        <v>8</v>
      </c>
      <c r="D5" s="13" t="s">
        <v>899</v>
      </c>
      <c r="E5" s="12" t="s">
        <v>900</v>
      </c>
    </row>
    <row r="6" spans="1:5" ht="13.2" x14ac:dyDescent="0.25">
      <c r="A6" s="9" t="str">
        <f ca="1">IFERROR(__xludf.UNSUPPORTED("""COMPUTED_VALUE"""),"4")</f>
        <v>4</v>
      </c>
      <c r="B6" s="10" t="str">
        <f ca="1">IFERROR(__xludf.UNSUPPORTED("""COMPUTED_VALUE"""),"Friendship")</f>
        <v>Friendship</v>
      </c>
      <c r="C6" s="9" t="str">
        <f ca="1">IFERROR(__xludf.UNSUPPORTED("""COMPUTED_VALUE"""),"")</f>
        <v/>
      </c>
      <c r="D6" s="10" t="str">
        <f ca="1">IFERROR(__xludf.UNSUPPORTED("""COMPUTED_VALUE"""),"")</f>
        <v/>
      </c>
      <c r="E6" s="11" t="str">
        <f ca="1">IFERROR(__xludf.UNSUPPORTED("""COMPUTED_VALUE"""),"")</f>
        <v/>
      </c>
    </row>
    <row r="7" spans="1:5" ht="13.2" x14ac:dyDescent="0.25">
      <c r="A7" s="9" t="str">
        <f ca="1">IFERROR(__xludf.UNSUPPORTED("""COMPUTED_VALUE"""),"4")</f>
        <v>4</v>
      </c>
      <c r="B7" s="10" t="str">
        <f ca="1">IFERROR(__xludf.UNSUPPORTED("""COMPUTED_VALUE"""),"The Other Side")</f>
        <v>The Other Side</v>
      </c>
      <c r="C7" s="9" t="str">
        <f ca="1">IFERROR(__xludf.UNSUPPORTED("""COMPUTED_VALUE"""),"F")</f>
        <v>F</v>
      </c>
      <c r="D7" s="10" t="str">
        <f ca="1">IFERROR(__xludf.UNSUPPORTED("""COMPUTED_VALUE"""),"Woodson, Jacqueline")</f>
        <v>Woodson, Jacqueline</v>
      </c>
      <c r="E7" s="11">
        <f ca="1">IFERROR(__xludf.UNSUPPORTED("""COMPUTED_VALUE"""),9780399231162)</f>
        <v>9780399231162</v>
      </c>
    </row>
    <row r="8" spans="1:5" ht="13.2" x14ac:dyDescent="0.25">
      <c r="A8" s="9" t="str">
        <f ca="1">IFERROR(__xludf.UNSUPPORTED("""COMPUTED_VALUE"""),"4")</f>
        <v>4</v>
      </c>
      <c r="B8" s="10" t="str">
        <f ca="1">IFERROR(__xludf.UNSUPPORTED("""COMPUTED_VALUE"""),"Better Than You")</f>
        <v>Better Than You</v>
      </c>
      <c r="C8" s="9" t="str">
        <f ca="1">IFERROR(__xludf.UNSUPPORTED("""COMPUTED_VALUE"""),"F")</f>
        <v>F</v>
      </c>
      <c r="D8" s="10" t="str">
        <f ca="1">IFERROR(__xludf.UNSUPPORTED("""COMPUTED_VALUE"""),"Ludwig, Trudy")</f>
        <v>Ludwig, Trudy</v>
      </c>
      <c r="E8" s="11">
        <f ca="1">IFERROR(__xludf.UNSUPPORTED("""COMPUTED_VALUE"""),9781582463803)</f>
        <v>9781582463803</v>
      </c>
    </row>
    <row r="9" spans="1:5" ht="13.2" x14ac:dyDescent="0.25">
      <c r="A9" s="9" t="str">
        <f ca="1">IFERROR(__xludf.UNSUPPORTED("""COMPUTED_VALUE"""),"4")</f>
        <v>4</v>
      </c>
      <c r="B9" s="10" t="str">
        <f ca="1">IFERROR(__xludf.UNSUPPORTED("""COMPUTED_VALUE"""),"The Dunderheads")</f>
        <v>The Dunderheads</v>
      </c>
      <c r="C9" s="9" t="str">
        <f ca="1">IFERROR(__xludf.UNSUPPORTED("""COMPUTED_VALUE"""),"F")</f>
        <v>F</v>
      </c>
      <c r="D9" s="10" t="str">
        <f ca="1">IFERROR(__xludf.UNSUPPORTED("""COMPUTED_VALUE"""),"Fleischman, Paul")</f>
        <v>Fleischman, Paul</v>
      </c>
      <c r="E9" s="11">
        <f ca="1">IFERROR(__xludf.UNSUPPORTED("""COMPUTED_VALUE"""),9780763652395)</f>
        <v>9780763652395</v>
      </c>
    </row>
    <row r="10" spans="1:5" ht="13.2" x14ac:dyDescent="0.25">
      <c r="A10" s="9" t="str">
        <f ca="1">IFERROR(__xludf.UNSUPPORTED("""COMPUTED_VALUE"""),"4")</f>
        <v>4</v>
      </c>
      <c r="B10" s="10" t="str">
        <f ca="1">IFERROR(__xludf.UNSUPPORTED("""COMPUTED_VALUE"""),"Snook Alone")</f>
        <v>Snook Alone</v>
      </c>
      <c r="C10" s="9" t="str">
        <f ca="1">IFERROR(__xludf.UNSUPPORTED("""COMPUTED_VALUE"""),"F")</f>
        <v>F</v>
      </c>
      <c r="D10" s="10" t="str">
        <f ca="1">IFERROR(__xludf.UNSUPPORTED("""COMPUTED_VALUE"""),"Nelson, Marilyn")</f>
        <v>Nelson, Marilyn</v>
      </c>
      <c r="E10" s="11">
        <f ca="1">IFERROR(__xludf.UNSUPPORTED("""COMPUTED_VALUE"""),9780763661205)</f>
        <v>9780763661205</v>
      </c>
    </row>
    <row r="11" spans="1:5" ht="26.4" x14ac:dyDescent="0.25">
      <c r="A11" s="9" t="str">
        <f ca="1">IFERROR(__xludf.UNSUPPORTED("""COMPUTED_VALUE"""),"4")</f>
        <v>4</v>
      </c>
      <c r="B11" s="10" t="str">
        <f ca="1">IFERROR(__xludf.UNSUPPORTED("""COMPUTED_VALUE"""),"Mangoes, Mischief, and Tales of Friendship: Stories from India")</f>
        <v>Mangoes, Mischief, and Tales of Friendship: Stories from India</v>
      </c>
      <c r="C11" s="9" t="str">
        <f ca="1">IFERROR(__xludf.UNSUPPORTED("""COMPUTED_VALUE"""),"F")</f>
        <v>F</v>
      </c>
      <c r="D11" s="10" t="str">
        <f ca="1">IFERROR(__xludf.UNSUPPORTED("""COMPUTED_VALUE"""),"Soundar, Chitra")</f>
        <v>Soundar, Chitra</v>
      </c>
      <c r="E11" s="11">
        <f ca="1">IFERROR(__xludf.UNSUPPORTED("""COMPUTED_VALUE"""),9781536213232)</f>
        <v>9781536213232</v>
      </c>
    </row>
    <row r="12" spans="1:5" ht="13.2" x14ac:dyDescent="0.25">
      <c r="A12" s="9" t="str">
        <f ca="1">IFERROR(__xludf.UNSUPPORTED("""COMPUTED_VALUE"""),"4")</f>
        <v>4</v>
      </c>
      <c r="B12" s="10" t="str">
        <f ca="1">IFERROR(__xludf.UNSUPPORTED("""COMPUTED_VALUE"""),"Figuring Out Who You Are")</f>
        <v>Figuring Out Who You Are</v>
      </c>
      <c r="C12" s="9" t="str">
        <f ca="1">IFERROR(__xludf.UNSUPPORTED("""COMPUTED_VALUE"""),"")</f>
        <v/>
      </c>
      <c r="D12" s="10" t="str">
        <f ca="1">IFERROR(__xludf.UNSUPPORTED("""COMPUTED_VALUE"""),"")</f>
        <v/>
      </c>
      <c r="E12" s="11" t="str">
        <f ca="1">IFERROR(__xludf.UNSUPPORTED("""COMPUTED_VALUE"""),"")</f>
        <v/>
      </c>
    </row>
    <row r="13" spans="1:5" ht="13.2" x14ac:dyDescent="0.25">
      <c r="A13" s="9" t="str">
        <f ca="1">IFERROR(__xludf.UNSUPPORTED("""COMPUTED_VALUE"""),"4")</f>
        <v>4</v>
      </c>
      <c r="B13" s="10" t="str">
        <f ca="1">IFERROR(__xludf.UNSUPPORTED("""COMPUTED_VALUE"""),"A Boy and a Jaguar")</f>
        <v>A Boy and a Jaguar</v>
      </c>
      <c r="C13" s="9" t="str">
        <f ca="1">IFERROR(__xludf.UNSUPPORTED("""COMPUTED_VALUE"""),"N")</f>
        <v>N</v>
      </c>
      <c r="D13" s="10" t="str">
        <f ca="1">IFERROR(__xludf.UNSUPPORTED("""COMPUTED_VALUE"""),"Rabinowitz, Alan")</f>
        <v>Rabinowitz, Alan</v>
      </c>
      <c r="E13" s="11">
        <f ca="1">IFERROR(__xludf.UNSUPPORTED("""COMPUTED_VALUE"""),9780547875071)</f>
        <v>9780547875071</v>
      </c>
    </row>
    <row r="14" spans="1:5" ht="13.2" x14ac:dyDescent="0.25">
      <c r="A14" s="9" t="str">
        <f ca="1">IFERROR(__xludf.UNSUPPORTED("""COMPUTED_VALUE"""),"4")</f>
        <v>4</v>
      </c>
      <c r="B14" s="10" t="str">
        <f ca="1">IFERROR(__xludf.UNSUPPORTED("""COMPUTED_VALUE"""),"Heroes")</f>
        <v>Heroes</v>
      </c>
      <c r="C14" s="9" t="str">
        <f ca="1">IFERROR(__xludf.UNSUPPORTED("""COMPUTED_VALUE"""),"F")</f>
        <v>F</v>
      </c>
      <c r="D14" s="10" t="str">
        <f ca="1">IFERROR(__xludf.UNSUPPORTED("""COMPUTED_VALUE"""),"Mochizuki, Ken")</f>
        <v>Mochizuki, Ken</v>
      </c>
      <c r="E14" s="11">
        <f ca="1">IFERROR(__xludf.UNSUPPORTED("""COMPUTED_VALUE"""),9781880000502)</f>
        <v>9781880000502</v>
      </c>
    </row>
    <row r="15" spans="1:5" ht="13.2" x14ac:dyDescent="0.25">
      <c r="A15" s="9" t="str">
        <f ca="1">IFERROR(__xludf.UNSUPPORTED("""COMPUTED_VALUE"""),"4")</f>
        <v>4</v>
      </c>
      <c r="B15" s="10" t="str">
        <f ca="1">IFERROR(__xludf.UNSUPPORTED("""COMPUTED_VALUE"""),"La Mariposa")</f>
        <v>La Mariposa</v>
      </c>
      <c r="C15" s="9" t="str">
        <f ca="1">IFERROR(__xludf.UNSUPPORTED("""COMPUTED_VALUE"""),"F")</f>
        <v>F</v>
      </c>
      <c r="D15" s="10" t="str">
        <f ca="1">IFERROR(__xludf.UNSUPPORTED("""COMPUTED_VALUE"""),"Jimenez, Francisco")</f>
        <v>Jimenez, Francisco</v>
      </c>
      <c r="E15" s="11">
        <f ca="1">IFERROR(__xludf.UNSUPPORTED("""COMPUTED_VALUE"""),9780618073177)</f>
        <v>9780618073177</v>
      </c>
    </row>
    <row r="16" spans="1:5" ht="13.2" x14ac:dyDescent="0.25">
      <c r="A16" s="9" t="str">
        <f ca="1">IFERROR(__xludf.UNSUPPORTED("""COMPUTED_VALUE"""),"4")</f>
        <v>4</v>
      </c>
      <c r="B16" s="10" t="str">
        <f ca="1">IFERROR(__xludf.UNSUPPORTED("""COMPUTED_VALUE"""),"The Junkyard Wonders")</f>
        <v>The Junkyard Wonders</v>
      </c>
      <c r="C16" s="9" t="str">
        <f ca="1">IFERROR(__xludf.UNSUPPORTED("""COMPUTED_VALUE"""),"F")</f>
        <v>F</v>
      </c>
      <c r="D16" s="10" t="str">
        <f ca="1">IFERROR(__xludf.UNSUPPORTED("""COMPUTED_VALUE"""),"Polacco, Patricia")</f>
        <v>Polacco, Patricia</v>
      </c>
      <c r="E16" s="11">
        <f ca="1">IFERROR(__xludf.UNSUPPORTED("""COMPUTED_VALUE"""),9780399250781)</f>
        <v>9780399250781</v>
      </c>
    </row>
    <row r="17" spans="1:5" ht="13.2" x14ac:dyDescent="0.25">
      <c r="A17" s="9" t="str">
        <f ca="1">IFERROR(__xludf.UNSUPPORTED("""COMPUTED_VALUE"""),"4")</f>
        <v>4</v>
      </c>
      <c r="B17" s="10" t="str">
        <f ca="1">IFERROR(__xludf.UNSUPPORTED("""COMPUTED_VALUE"""),"The Gold-Threaded Dress")</f>
        <v>The Gold-Threaded Dress</v>
      </c>
      <c r="C17" s="9" t="str">
        <f ca="1">IFERROR(__xludf.UNSUPPORTED("""COMPUTED_VALUE"""),"F")</f>
        <v>F</v>
      </c>
      <c r="D17" s="10" t="str">
        <f ca="1">IFERROR(__xludf.UNSUPPORTED("""COMPUTED_VALUE"""),"Marsden, Carolyn")</f>
        <v>Marsden, Carolyn</v>
      </c>
      <c r="E17" s="11">
        <f ca="1">IFERROR(__xludf.UNSUPPORTED("""COMPUTED_VALUE"""),9780763629939)</f>
        <v>9780763629939</v>
      </c>
    </row>
    <row r="18" spans="1:5" ht="13.2" x14ac:dyDescent="0.25">
      <c r="A18" s="9" t="str">
        <f ca="1">IFERROR(__xludf.UNSUPPORTED("""COMPUTED_VALUE"""),"4")</f>
        <v>4</v>
      </c>
      <c r="B18" s="10" t="str">
        <f ca="1">IFERROR(__xludf.UNSUPPORTED("""COMPUTED_VALUE"""),"Empathy")</f>
        <v>Empathy</v>
      </c>
      <c r="C18" s="9" t="str">
        <f ca="1">IFERROR(__xludf.UNSUPPORTED("""COMPUTED_VALUE"""),"")</f>
        <v/>
      </c>
      <c r="D18" s="10" t="str">
        <f ca="1">IFERROR(__xludf.UNSUPPORTED("""COMPUTED_VALUE"""),"")</f>
        <v/>
      </c>
      <c r="E18" s="11" t="str">
        <f ca="1">IFERROR(__xludf.UNSUPPORTED("""COMPUTED_VALUE"""),"")</f>
        <v/>
      </c>
    </row>
    <row r="19" spans="1:5" ht="13.2" x14ac:dyDescent="0.25">
      <c r="A19" s="9" t="str">
        <f ca="1">IFERROR(__xludf.UNSUPPORTED("""COMPUTED_VALUE"""),"4")</f>
        <v>4</v>
      </c>
      <c r="B19" s="10" t="str">
        <f ca="1">IFERROR(__xludf.UNSUPPORTED("""COMPUTED_VALUE"""),"The Boy and the Whale")</f>
        <v>The Boy and the Whale</v>
      </c>
      <c r="C19" s="9" t="str">
        <f ca="1">IFERROR(__xludf.UNSUPPORTED("""COMPUTED_VALUE"""),"F")</f>
        <v>F</v>
      </c>
      <c r="D19" s="10" t="str">
        <f ca="1">IFERROR(__xludf.UNSUPPORTED("""COMPUTED_VALUE"""),"Gerstein, Mordicai")</f>
        <v>Gerstein, Mordicai</v>
      </c>
      <c r="E19" s="11">
        <f ca="1">IFERROR(__xludf.UNSUPPORTED("""COMPUTED_VALUE"""),9781626725058)</f>
        <v>9781626725058</v>
      </c>
    </row>
    <row r="20" spans="1:5" ht="13.2" x14ac:dyDescent="0.25">
      <c r="A20" s="9" t="str">
        <f ca="1">IFERROR(__xludf.UNSUPPORTED("""COMPUTED_VALUE"""),"4")</f>
        <v>4</v>
      </c>
      <c r="B20" s="10" t="str">
        <f ca="1">IFERROR(__xludf.UNSUPPORTED("""COMPUTED_VALUE"""),"A Symphony of Whales")</f>
        <v>A Symphony of Whales</v>
      </c>
      <c r="C20" s="9" t="str">
        <f ca="1">IFERROR(__xludf.UNSUPPORTED("""COMPUTED_VALUE"""),"F")</f>
        <v>F</v>
      </c>
      <c r="D20" s="10" t="str">
        <f ca="1">IFERROR(__xludf.UNSUPPORTED("""COMPUTED_VALUE"""),"Schuch, Steve")</f>
        <v>Schuch, Steve</v>
      </c>
      <c r="E20" s="11">
        <f ca="1">IFERROR(__xludf.UNSUPPORTED("""COMPUTED_VALUE"""),9780152165482)</f>
        <v>9780152165482</v>
      </c>
    </row>
    <row r="21" spans="1:5" ht="26.4" x14ac:dyDescent="0.25">
      <c r="A21" s="9" t="str">
        <f ca="1">IFERROR(__xludf.UNSUPPORTED("""COMPUTED_VALUE"""),"4")</f>
        <v>4</v>
      </c>
      <c r="B21" s="10" t="str">
        <f ca="1">IFERROR(__xludf.UNSUPPORTED("""COMPUTED_VALUE"""),"Step Right Up: How Doc and Jim Key Taught the World About Kindness")</f>
        <v>Step Right Up: How Doc and Jim Key Taught the World About Kindness</v>
      </c>
      <c r="C21" s="9" t="str">
        <f ca="1">IFERROR(__xludf.UNSUPPORTED("""COMPUTED_VALUE"""),"N")</f>
        <v>N</v>
      </c>
      <c r="D21" s="10" t="str">
        <f ca="1">IFERROR(__xludf.UNSUPPORTED("""COMPUTED_VALUE"""),"Bowman, Donna Janell")</f>
        <v>Bowman, Donna Janell</v>
      </c>
      <c r="E21" s="11">
        <f ca="1">IFERROR(__xludf.UNSUPPORTED("""COMPUTED_VALUE"""),9781643790824)</f>
        <v>9781643790824</v>
      </c>
    </row>
    <row r="22" spans="1:5" ht="13.2" x14ac:dyDescent="0.25">
      <c r="A22" s="9" t="str">
        <f ca="1">IFERROR(__xludf.UNSUPPORTED("""COMPUTED_VALUE"""),"4")</f>
        <v>4</v>
      </c>
      <c r="B22" s="10" t="str">
        <f ca="1">IFERROR(__xludf.UNSUPPORTED("""COMPUTED_VALUE"""),"The Crane Wife")</f>
        <v>The Crane Wife</v>
      </c>
      <c r="C22" s="9" t="str">
        <f ca="1">IFERROR(__xludf.UNSUPPORTED("""COMPUTED_VALUE"""),"F")</f>
        <v>F</v>
      </c>
      <c r="D22" s="10" t="str">
        <f ca="1">IFERROR(__xludf.UNSUPPORTED("""COMPUTED_VALUE"""),"Bodkin, Odds")</f>
        <v>Bodkin, Odds</v>
      </c>
      <c r="E22" s="11">
        <f ca="1">IFERROR(__xludf.UNSUPPORTED("""COMPUTED_VALUE"""),9780152163501)</f>
        <v>9780152163501</v>
      </c>
    </row>
    <row r="23" spans="1:5" ht="13.2" x14ac:dyDescent="0.25">
      <c r="A23" s="9" t="str">
        <f ca="1">IFERROR(__xludf.UNSUPPORTED("""COMPUTED_VALUE"""),"4")</f>
        <v>4</v>
      </c>
      <c r="B23" s="10" t="str">
        <f ca="1">IFERROR(__xludf.UNSUPPORTED("""COMPUTED_VALUE"""),"Genre Study: Memoir")</f>
        <v>Genre Study: Memoir</v>
      </c>
      <c r="C23" s="9" t="str">
        <f ca="1">IFERROR(__xludf.UNSUPPORTED("""COMPUTED_VALUE"""),"")</f>
        <v/>
      </c>
      <c r="D23" s="10" t="str">
        <f ca="1">IFERROR(__xludf.UNSUPPORTED("""COMPUTED_VALUE"""),"")</f>
        <v/>
      </c>
      <c r="E23" s="11" t="str">
        <f ca="1">IFERROR(__xludf.UNSUPPORTED("""COMPUTED_VALUE"""),"")</f>
        <v/>
      </c>
    </row>
    <row r="24" spans="1:5" ht="13.2" x14ac:dyDescent="0.25">
      <c r="A24" s="9" t="str">
        <f ca="1">IFERROR(__xludf.UNSUPPORTED("""COMPUTED_VALUE"""),"4")</f>
        <v>4</v>
      </c>
      <c r="B24" s="10" t="str">
        <f ca="1">IFERROR(__xludf.UNSUPPORTED("""COMPUTED_VALUE"""),"The Scraps Book: Notes from a Colorful Life")</f>
        <v>The Scraps Book: Notes from a Colorful Life</v>
      </c>
      <c r="C24" s="9" t="str">
        <f ca="1">IFERROR(__xludf.UNSUPPORTED("""COMPUTED_VALUE"""),"N")</f>
        <v>N</v>
      </c>
      <c r="D24" s="10" t="str">
        <f ca="1">IFERROR(__xludf.UNSUPPORTED("""COMPUTED_VALUE"""),"Ehlert, Lois")</f>
        <v>Ehlert, Lois</v>
      </c>
      <c r="E24" s="11">
        <f ca="1">IFERROR(__xludf.UNSUPPORTED("""COMPUTED_VALUE"""),9781442435711)</f>
        <v>9781442435711</v>
      </c>
    </row>
    <row r="25" spans="1:5" ht="26.4" x14ac:dyDescent="0.25">
      <c r="A25" s="9" t="str">
        <f ca="1">IFERROR(__xludf.UNSUPPORTED("""COMPUTED_VALUE"""),"4")</f>
        <v>4</v>
      </c>
      <c r="B25" s="10" t="str">
        <f ca="1">IFERROR(__xludf.UNSUPPORTED("""COMPUTED_VALUE"""),"Play Ball!")</f>
        <v>Play Ball!</v>
      </c>
      <c r="C25" s="9" t="str">
        <f ca="1">IFERROR(__xludf.UNSUPPORTED("""COMPUTED_VALUE"""),"N")</f>
        <v>N</v>
      </c>
      <c r="D25" s="10" t="str">
        <f ca="1">IFERROR(__xludf.UNSUPPORTED("""COMPUTED_VALUE"""),"Posada, Jorge &amp; Burleigh, Robert")</f>
        <v>Posada, Jorge &amp; Burleigh, Robert</v>
      </c>
      <c r="E25" s="11">
        <f ca="1">IFERROR(__xludf.UNSUPPORTED("""COMPUTED_VALUE"""),9781416998259)</f>
        <v>9781416998259</v>
      </c>
    </row>
    <row r="26" spans="1:5" ht="13.2" x14ac:dyDescent="0.25">
      <c r="A26" s="9" t="str">
        <f ca="1">IFERROR(__xludf.UNSUPPORTED("""COMPUTED_VALUE"""),"4")</f>
        <v>4</v>
      </c>
      <c r="B26" s="10" t="str">
        <f ca="1">IFERROR(__xludf.UNSUPPORTED("""COMPUTED_VALUE"""),"The Upside Down Boy")</f>
        <v>The Upside Down Boy</v>
      </c>
      <c r="C26" s="9" t="str">
        <f ca="1">IFERROR(__xludf.UNSUPPORTED("""COMPUTED_VALUE"""),"N")</f>
        <v>N</v>
      </c>
      <c r="D26" s="10" t="str">
        <f ca="1">IFERROR(__xludf.UNSUPPORTED("""COMPUTED_VALUE"""),"Herrera, Juan Felipe")</f>
        <v>Herrera, Juan Felipe</v>
      </c>
      <c r="E26" s="11">
        <f ca="1">IFERROR(__xludf.UNSUPPORTED("""COMPUTED_VALUE"""),9780892392179)</f>
        <v>9780892392179</v>
      </c>
    </row>
    <row r="27" spans="1:5" ht="13.2" x14ac:dyDescent="0.25">
      <c r="A27" s="9" t="str">
        <f ca="1">IFERROR(__xludf.UNSUPPORTED("""COMPUTED_VALUE"""),"4")</f>
        <v>4</v>
      </c>
      <c r="B27" s="10" t="str">
        <f ca="1">IFERROR(__xludf.UNSUPPORTED("""COMPUTED_VALUE"""),"Twelve Kinds of Ice")</f>
        <v>Twelve Kinds of Ice</v>
      </c>
      <c r="C27" s="9" t="str">
        <f ca="1">IFERROR(__xludf.UNSUPPORTED("""COMPUTED_VALUE"""),"N")</f>
        <v>N</v>
      </c>
      <c r="D27" s="10" t="str">
        <f ca="1">IFERROR(__xludf.UNSUPPORTED("""COMPUTED_VALUE"""),"Obed, Ellen Bryan")</f>
        <v>Obed, Ellen Bryan</v>
      </c>
      <c r="E27" s="11">
        <f ca="1">IFERROR(__xludf.UNSUPPORTED("""COMPUTED_VALUE"""),9780544555549)</f>
        <v>9780544555549</v>
      </c>
    </row>
    <row r="28" spans="1:5" ht="13.2" x14ac:dyDescent="0.25">
      <c r="A28" s="9" t="str">
        <f ca="1">IFERROR(__xludf.UNSUPPORTED("""COMPUTED_VALUE"""),"4")</f>
        <v>4</v>
      </c>
      <c r="B28" s="10" t="str">
        <f ca="1">IFERROR(__xludf.UNSUPPORTED("""COMPUTED_VALUE"""),"Author/Illustrator Study: Allen Say")</f>
        <v>Author/Illustrator Study: Allen Say</v>
      </c>
      <c r="C28" s="9" t="str">
        <f ca="1">IFERROR(__xludf.UNSUPPORTED("""COMPUTED_VALUE"""),"")</f>
        <v/>
      </c>
      <c r="D28" s="10" t="str">
        <f ca="1">IFERROR(__xludf.UNSUPPORTED("""COMPUTED_VALUE"""),"")</f>
        <v/>
      </c>
      <c r="E28" s="11" t="str">
        <f ca="1">IFERROR(__xludf.UNSUPPORTED("""COMPUTED_VALUE"""),"")</f>
        <v/>
      </c>
    </row>
    <row r="29" spans="1:5" ht="13.2" x14ac:dyDescent="0.25">
      <c r="A29" s="9" t="str">
        <f ca="1">IFERROR(__xludf.UNSUPPORTED("""COMPUTED_VALUE"""),"4")</f>
        <v>4</v>
      </c>
      <c r="B29" s="10" t="str">
        <f ca="1">IFERROR(__xludf.UNSUPPORTED("""COMPUTED_VALUE"""),"The Bicycle Man")</f>
        <v>The Bicycle Man</v>
      </c>
      <c r="C29" s="9" t="str">
        <f ca="1">IFERROR(__xludf.UNSUPPORTED("""COMPUTED_VALUE"""),"F")</f>
        <v>F</v>
      </c>
      <c r="D29" s="10" t="str">
        <f ca="1">IFERROR(__xludf.UNSUPPORTED("""COMPUTED_VALUE"""),"Say, Allen")</f>
        <v>Say, Allen</v>
      </c>
      <c r="E29" s="11">
        <f ca="1">IFERROR(__xludf.UNSUPPORTED("""COMPUTED_VALUE"""),9780395506523)</f>
        <v>9780395506523</v>
      </c>
    </row>
    <row r="30" spans="1:5" ht="13.2" x14ac:dyDescent="0.25">
      <c r="A30" s="9" t="str">
        <f ca="1">IFERROR(__xludf.UNSUPPORTED("""COMPUTED_VALUE"""),"4")</f>
        <v>4</v>
      </c>
      <c r="B30" s="10" t="str">
        <f ca="1">IFERROR(__xludf.UNSUPPORTED("""COMPUTED_VALUE"""),"The Lost Lake")</f>
        <v>The Lost Lake</v>
      </c>
      <c r="C30" s="9" t="str">
        <f ca="1">IFERROR(__xludf.UNSUPPORTED("""COMPUTED_VALUE"""),"F")</f>
        <v>F</v>
      </c>
      <c r="D30" s="10" t="str">
        <f ca="1">IFERROR(__xludf.UNSUPPORTED("""COMPUTED_VALUE"""),"Say, Allen")</f>
        <v>Say, Allen</v>
      </c>
      <c r="E30" s="11">
        <f ca="1">IFERROR(__xludf.UNSUPPORTED("""COMPUTED_VALUE"""),9780395630365)</f>
        <v>9780395630365</v>
      </c>
    </row>
    <row r="31" spans="1:5" ht="13.2" x14ac:dyDescent="0.25">
      <c r="A31" s="9" t="str">
        <f ca="1">IFERROR(__xludf.UNSUPPORTED("""COMPUTED_VALUE"""),"4")</f>
        <v>4</v>
      </c>
      <c r="B31" s="10" t="str">
        <f ca="1">IFERROR(__xludf.UNSUPPORTED("""COMPUTED_VALUE"""),"Tea with Milk")</f>
        <v>Tea with Milk</v>
      </c>
      <c r="C31" s="9" t="str">
        <f ca="1">IFERROR(__xludf.UNSUPPORTED("""COMPUTED_VALUE"""),"F")</f>
        <v>F</v>
      </c>
      <c r="D31" s="10" t="str">
        <f ca="1">IFERROR(__xludf.UNSUPPORTED("""COMPUTED_VALUE"""),"Say, Allen")</f>
        <v>Say, Allen</v>
      </c>
      <c r="E31" s="11">
        <f ca="1">IFERROR(__xludf.UNSUPPORTED("""COMPUTED_VALUE"""),9780547237473)</f>
        <v>9780547237473</v>
      </c>
    </row>
    <row r="32" spans="1:5" ht="13.2" x14ac:dyDescent="0.25">
      <c r="A32" s="9" t="str">
        <f ca="1">IFERROR(__xludf.UNSUPPORTED("""COMPUTED_VALUE"""),"4")</f>
        <v>4</v>
      </c>
      <c r="B32" s="10" t="str">
        <f ca="1">IFERROR(__xludf.UNSUPPORTED("""COMPUTED_VALUE"""),"The Sign Painter")</f>
        <v>The Sign Painter</v>
      </c>
      <c r="C32" s="9" t="str">
        <f ca="1">IFERROR(__xludf.UNSUPPORTED("""COMPUTED_VALUE"""),"F")</f>
        <v>F</v>
      </c>
      <c r="D32" s="10" t="str">
        <f ca="1">IFERROR(__xludf.UNSUPPORTED("""COMPUTED_VALUE"""),"Say, Allen")</f>
        <v>Say, Allen</v>
      </c>
      <c r="E32" s="11">
        <f ca="1">IFERROR(__xludf.UNSUPPORTED("""COMPUTED_VALUE"""),9780544105140)</f>
        <v>9780544105140</v>
      </c>
    </row>
    <row r="33" spans="1:5" ht="13.2" x14ac:dyDescent="0.25">
      <c r="A33" s="9" t="str">
        <f ca="1">IFERROR(__xludf.UNSUPPORTED("""COMPUTED_VALUE"""),"4")</f>
        <v>4</v>
      </c>
      <c r="B33" s="10" t="str">
        <f ca="1">IFERROR(__xludf.UNSUPPORTED("""COMPUTED_VALUE"""),"Kamishibai Man")</f>
        <v>Kamishibai Man</v>
      </c>
      <c r="C33" s="9" t="str">
        <f ca="1">IFERROR(__xludf.UNSUPPORTED("""COMPUTED_VALUE"""),"F")</f>
        <v>F</v>
      </c>
      <c r="D33" s="10" t="str">
        <f ca="1">IFERROR(__xludf.UNSUPPORTED("""COMPUTED_VALUE"""),"Say, Allen")</f>
        <v>Say, Allen</v>
      </c>
      <c r="E33" s="11">
        <f ca="1">IFERROR(__xludf.UNSUPPORTED("""COMPUTED_VALUE"""),9780618479542)</f>
        <v>9780618479542</v>
      </c>
    </row>
    <row r="34" spans="1:5" ht="13.2" x14ac:dyDescent="0.25">
      <c r="A34" s="9" t="str">
        <f ca="1">IFERROR(__xludf.UNSUPPORTED("""COMPUTED_VALUE"""),"4")</f>
        <v>4</v>
      </c>
      <c r="B34" s="10" t="str">
        <f ca="1">IFERROR(__xludf.UNSUPPORTED("""COMPUTED_VALUE"""),"Illustration Study: Craft")</f>
        <v>Illustration Study: Craft</v>
      </c>
      <c r="C34" s="9" t="str">
        <f ca="1">IFERROR(__xludf.UNSUPPORTED("""COMPUTED_VALUE"""),"")</f>
        <v/>
      </c>
      <c r="D34" s="10" t="str">
        <f ca="1">IFERROR(__xludf.UNSUPPORTED("""COMPUTED_VALUE"""),"")</f>
        <v/>
      </c>
      <c r="E34" s="11" t="str">
        <f ca="1">IFERROR(__xludf.UNSUPPORTED("""COMPUTED_VALUE"""),"")</f>
        <v/>
      </c>
    </row>
    <row r="35" spans="1:5" ht="13.2" x14ac:dyDescent="0.25">
      <c r="A35" s="9" t="str">
        <f ca="1">IFERROR(__xludf.UNSUPPORTED("""COMPUTED_VALUE"""),"4")</f>
        <v>4</v>
      </c>
      <c r="B35" s="10" t="str">
        <f ca="1">IFERROR(__xludf.UNSUPPORTED("""COMPUTED_VALUE"""),"Gecko")</f>
        <v>Gecko</v>
      </c>
      <c r="C35" s="9" t="str">
        <f ca="1">IFERROR(__xludf.UNSUPPORTED("""COMPUTED_VALUE"""),"H")</f>
        <v>H</v>
      </c>
      <c r="D35" s="10" t="str">
        <f ca="1">IFERROR(__xludf.UNSUPPORTED("""COMPUTED_VALUE"""),"Huber, Raymond")</f>
        <v>Huber, Raymond</v>
      </c>
      <c r="E35" s="11">
        <f ca="1">IFERROR(__xludf.UNSUPPORTED("""COMPUTED_VALUE"""),9781536213249)</f>
        <v>9781536213249</v>
      </c>
    </row>
    <row r="36" spans="1:5" ht="13.2" x14ac:dyDescent="0.25">
      <c r="A36" s="9" t="str">
        <f ca="1">IFERROR(__xludf.UNSUPPORTED("""COMPUTED_VALUE"""),"4")</f>
        <v>4</v>
      </c>
      <c r="B36" s="10" t="str">
        <f ca="1">IFERROR(__xludf.UNSUPPORTED("""COMPUTED_VALUE"""),"Dingo")</f>
        <v>Dingo</v>
      </c>
      <c r="C36" s="9" t="str">
        <f ca="1">IFERROR(__xludf.UNSUPPORTED("""COMPUTED_VALUE"""),"H")</f>
        <v>H</v>
      </c>
      <c r="D36" s="10" t="str">
        <f ca="1">IFERROR(__xludf.UNSUPPORTED("""COMPUTED_VALUE"""),"Saxby, Claire")</f>
        <v>Saxby, Claire</v>
      </c>
      <c r="E36" s="11">
        <f ca="1">IFERROR(__xludf.UNSUPPORTED("""COMPUTED_VALUE"""),9781536213256)</f>
        <v>9781536213256</v>
      </c>
    </row>
    <row r="37" spans="1:5" ht="13.2" x14ac:dyDescent="0.25">
      <c r="A37" s="9" t="str">
        <f ca="1">IFERROR(__xludf.UNSUPPORTED("""COMPUTED_VALUE"""),"4")</f>
        <v>4</v>
      </c>
      <c r="B37" s="10" t="str">
        <f ca="1">IFERROR(__xludf.UNSUPPORTED("""COMPUTED_VALUE"""),"Giant Squid")</f>
        <v>Giant Squid</v>
      </c>
      <c r="C37" s="9" t="str">
        <f ca="1">IFERROR(__xludf.UNSUPPORTED("""COMPUTED_VALUE"""),"N")</f>
        <v>N</v>
      </c>
      <c r="D37" s="10" t="str">
        <f ca="1">IFERROR(__xludf.UNSUPPORTED("""COMPUTED_VALUE"""),"Fleming, Candace")</f>
        <v>Fleming, Candace</v>
      </c>
      <c r="E37" s="11">
        <f ca="1">IFERROR(__xludf.UNSUPPORTED("""COMPUTED_VALUE"""),9781596435995)</f>
        <v>9781596435995</v>
      </c>
    </row>
    <row r="38" spans="1:5" ht="13.2" x14ac:dyDescent="0.25">
      <c r="A38" s="9" t="str">
        <f ca="1">IFERROR(__xludf.UNSUPPORTED("""COMPUTED_VALUE"""),"4")</f>
        <v>4</v>
      </c>
      <c r="B38" s="10" t="str">
        <f ca="1">IFERROR(__xludf.UNSUPPORTED("""COMPUTED_VALUE"""),"Eye to Eye: How Animals See the World")</f>
        <v>Eye to Eye: How Animals See the World</v>
      </c>
      <c r="C38" s="9" t="str">
        <f ca="1">IFERROR(__xludf.UNSUPPORTED("""COMPUTED_VALUE"""),"N")</f>
        <v>N</v>
      </c>
      <c r="D38" s="10" t="str">
        <f ca="1">IFERROR(__xludf.UNSUPPORTED("""COMPUTED_VALUE"""),"Jenkins, Steve")</f>
        <v>Jenkins, Steve</v>
      </c>
      <c r="E38" s="11">
        <f ca="1">IFERROR(__xludf.UNSUPPORTED("""COMPUTED_VALUE"""),9780547959078)</f>
        <v>9780547959078</v>
      </c>
    </row>
    <row r="39" spans="1:5" ht="13.2" x14ac:dyDescent="0.25">
      <c r="A39" s="9" t="str">
        <f ca="1">IFERROR(__xludf.UNSUPPORTED("""COMPUTED_VALUE"""),"4")</f>
        <v>4</v>
      </c>
      <c r="B39" s="10" t="str">
        <f ca="1">IFERROR(__xludf.UNSUPPORTED("""COMPUTED_VALUE"""),"Magnificent Birds")</f>
        <v>Magnificent Birds</v>
      </c>
      <c r="C39" s="9" t="str">
        <f ca="1">IFERROR(__xludf.UNSUPPORTED("""COMPUTED_VALUE"""),"N")</f>
        <v>N</v>
      </c>
      <c r="D39" s="10" t="str">
        <f ca="1">IFERROR(__xludf.UNSUPPORTED("""COMPUTED_VALUE"""),"Walker Books")</f>
        <v>Walker Books</v>
      </c>
      <c r="E39" s="11">
        <f ca="1">IFERROR(__xludf.UNSUPPORTED("""COMPUTED_VALUE"""),9781536213263)</f>
        <v>9781536213263</v>
      </c>
    </row>
    <row r="40" spans="1:5" ht="13.2" x14ac:dyDescent="0.25">
      <c r="A40" s="9" t="str">
        <f ca="1">IFERROR(__xludf.UNSUPPORTED("""COMPUTED_VALUE"""),"4")</f>
        <v>4</v>
      </c>
      <c r="B40" s="10" t="str">
        <f ca="1">IFERROR(__xludf.UNSUPPORTED("""COMPUTED_VALUE"""),"Illustrator Study: Floyd Cooper")</f>
        <v>Illustrator Study: Floyd Cooper</v>
      </c>
      <c r="C40" s="9" t="str">
        <f ca="1">IFERROR(__xludf.UNSUPPORTED("""COMPUTED_VALUE"""),"")</f>
        <v/>
      </c>
      <c r="D40" s="10" t="str">
        <f ca="1">IFERROR(__xludf.UNSUPPORTED("""COMPUTED_VALUE"""),"")</f>
        <v/>
      </c>
      <c r="E40" s="11" t="str">
        <f ca="1">IFERROR(__xludf.UNSUPPORTED("""COMPUTED_VALUE"""),"")</f>
        <v/>
      </c>
    </row>
    <row r="41" spans="1:5" ht="13.2" x14ac:dyDescent="0.25">
      <c r="A41" s="9" t="str">
        <f ca="1">IFERROR(__xludf.UNSUPPORTED("""COMPUTED_VALUE"""),"4")</f>
        <v>4</v>
      </c>
      <c r="B41" s="10" t="str">
        <f ca="1">IFERROR(__xludf.UNSUPPORTED("""COMPUTED_VALUE"""),"Meet Danitra Brown")</f>
        <v>Meet Danitra Brown</v>
      </c>
      <c r="C41" s="9" t="str">
        <f ca="1">IFERROR(__xludf.UNSUPPORTED("""COMPUTED_VALUE"""),"F")</f>
        <v>F</v>
      </c>
      <c r="D41" s="10" t="str">
        <f ca="1">IFERROR(__xludf.UNSUPPORTED("""COMPUTED_VALUE"""),"Grimes, Nikki")</f>
        <v>Grimes, Nikki</v>
      </c>
      <c r="E41" s="11">
        <f ca="1">IFERROR(__xludf.UNSUPPORTED("""COMPUTED_VALUE"""),9780688154714)</f>
        <v>9780688154714</v>
      </c>
    </row>
    <row r="42" spans="1:5" ht="13.2" x14ac:dyDescent="0.25">
      <c r="A42" s="9" t="str">
        <f ca="1">IFERROR(__xludf.UNSUPPORTED("""COMPUTED_VALUE"""),"4")</f>
        <v>4</v>
      </c>
      <c r="B42" s="10" t="str">
        <f ca="1">IFERROR(__xludf.UNSUPPORTED("""COMPUTED_VALUE"""),"Ma Dear's Aprons")</f>
        <v>Ma Dear's Aprons</v>
      </c>
      <c r="C42" s="9" t="str">
        <f ca="1">IFERROR(__xludf.UNSUPPORTED("""COMPUTED_VALUE"""),"F")</f>
        <v>F</v>
      </c>
      <c r="D42" s="10" t="str">
        <f ca="1">IFERROR(__xludf.UNSUPPORTED("""COMPUTED_VALUE"""),"McKissack, Patricia")</f>
        <v>McKissack, Patricia</v>
      </c>
      <c r="E42" s="11">
        <f ca="1">IFERROR(__xludf.UNSUPPORTED("""COMPUTED_VALUE"""),9780689832628)</f>
        <v>9780689832628</v>
      </c>
    </row>
    <row r="43" spans="1:5" ht="13.2" x14ac:dyDescent="0.25">
      <c r="A43" s="9" t="str">
        <f ca="1">IFERROR(__xludf.UNSUPPORTED("""COMPUTED_VALUE"""),"4")</f>
        <v>4</v>
      </c>
      <c r="B43" s="10" t="str">
        <f ca="1">IFERROR(__xludf.UNSUPPORTED("""COMPUTED_VALUE"""),"Ruth and the Green Book")</f>
        <v>Ruth and the Green Book</v>
      </c>
      <c r="C43" s="9" t="str">
        <f ca="1">IFERROR(__xludf.UNSUPPORTED("""COMPUTED_VALUE"""),"F")</f>
        <v>F</v>
      </c>
      <c r="D43" s="10" t="str">
        <f ca="1">IFERROR(__xludf.UNSUPPORTED("""COMPUTED_VALUE"""),"Ramsey, Calvin Alexander")</f>
        <v>Ramsey, Calvin Alexander</v>
      </c>
      <c r="E43" s="11">
        <f ca="1">IFERROR(__xludf.UNSUPPORTED("""COMPUTED_VALUE"""),9780761352556)</f>
        <v>9780761352556</v>
      </c>
    </row>
    <row r="44" spans="1:5" ht="13.2" x14ac:dyDescent="0.25">
      <c r="A44" s="9" t="str">
        <f ca="1">IFERROR(__xludf.UNSUPPORTED("""COMPUTED_VALUE"""),"4")</f>
        <v>4</v>
      </c>
      <c r="B44" s="10" t="str">
        <f ca="1">IFERROR(__xludf.UNSUPPORTED("""COMPUTED_VALUE"""),"These Hands")</f>
        <v>These Hands</v>
      </c>
      <c r="C44" s="9" t="str">
        <f ca="1">IFERROR(__xludf.UNSUPPORTED("""COMPUTED_VALUE"""),"F")</f>
        <v>F</v>
      </c>
      <c r="D44" s="10" t="str">
        <f ca="1">IFERROR(__xludf.UNSUPPORTED("""COMPUTED_VALUE"""),"Mason, Margaret H.")</f>
        <v>Mason, Margaret H.</v>
      </c>
      <c r="E44" s="11">
        <f ca="1">IFERROR(__xludf.UNSUPPORTED("""COMPUTED_VALUE"""),9780544555464)</f>
        <v>9780544555464</v>
      </c>
    </row>
    <row r="45" spans="1:5" ht="13.2" x14ac:dyDescent="0.25">
      <c r="A45" s="9" t="str">
        <f ca="1">IFERROR(__xludf.UNSUPPORTED("""COMPUTED_VALUE"""),"4")</f>
        <v>4</v>
      </c>
      <c r="B45" s="10" t="str">
        <f ca="1">IFERROR(__xludf.UNSUPPORTED("""COMPUTED_VALUE"""),"A Dance Like Starlight: One Ballerina's Dream")</f>
        <v>A Dance Like Starlight: One Ballerina's Dream</v>
      </c>
      <c r="C45" s="9" t="str">
        <f ca="1">IFERROR(__xludf.UNSUPPORTED("""COMPUTED_VALUE"""),"F")</f>
        <v>F</v>
      </c>
      <c r="D45" s="10" t="str">
        <f ca="1">IFERROR(__xludf.UNSUPPORTED("""COMPUTED_VALUE"""),"Dempsey, Kristy")</f>
        <v>Dempsey, Kristy</v>
      </c>
      <c r="E45" s="11">
        <f ca="1">IFERROR(__xludf.UNSUPPORTED("""COMPUTED_VALUE"""),9780399252846)</f>
        <v>9780399252846</v>
      </c>
    </row>
    <row r="46" spans="1:5" ht="13.2" x14ac:dyDescent="0.25">
      <c r="A46" s="9" t="str">
        <f ca="1">IFERROR(__xludf.UNSUPPORTED("""COMPUTED_VALUE"""),"4")</f>
        <v>4</v>
      </c>
      <c r="B46" s="10" t="str">
        <f ca="1">IFERROR(__xludf.UNSUPPORTED("""COMPUTED_VALUE"""),"Biography: Artists")</f>
        <v>Biography: Artists</v>
      </c>
      <c r="C46" s="9" t="str">
        <f ca="1">IFERROR(__xludf.UNSUPPORTED("""COMPUTED_VALUE"""),"")</f>
        <v/>
      </c>
      <c r="D46" s="10" t="str">
        <f ca="1">IFERROR(__xludf.UNSUPPORTED("""COMPUTED_VALUE"""),"")</f>
        <v/>
      </c>
      <c r="E46" s="11" t="str">
        <f ca="1">IFERROR(__xludf.UNSUPPORTED("""COMPUTED_VALUE"""),"")</f>
        <v/>
      </c>
    </row>
    <row r="47" spans="1:5" ht="13.2" x14ac:dyDescent="0.25">
      <c r="A47" s="9" t="str">
        <f ca="1">IFERROR(__xludf.UNSUPPORTED("""COMPUTED_VALUE"""),"4")</f>
        <v>4</v>
      </c>
      <c r="B47" s="10" t="str">
        <f ca="1">IFERROR(__xludf.UNSUPPORTED("""COMPUTED_VALUE"""),"Mary Cassatt: Extraordinary Impressionist Painter")</f>
        <v>Mary Cassatt: Extraordinary Impressionist Painter</v>
      </c>
      <c r="C47" s="9" t="str">
        <f ca="1">IFERROR(__xludf.UNSUPPORTED("""COMPUTED_VALUE"""),"N")</f>
        <v>N</v>
      </c>
      <c r="D47" s="10" t="str">
        <f ca="1">IFERROR(__xludf.UNSUPPORTED("""COMPUTED_VALUE"""),"Herkert, Barbara")</f>
        <v>Herkert, Barbara</v>
      </c>
      <c r="E47" s="11">
        <f ca="1">IFERROR(__xludf.UNSUPPORTED("""COMPUTED_VALUE"""),9781627790161)</f>
        <v>9781627790161</v>
      </c>
    </row>
    <row r="48" spans="1:5" ht="26.4" x14ac:dyDescent="0.25">
      <c r="A48" s="9" t="str">
        <f ca="1">IFERROR(__xludf.UNSUPPORTED("""COMPUTED_VALUE"""),"4")</f>
        <v>4</v>
      </c>
      <c r="B48" s="10" t="str">
        <f ca="1">IFERROR(__xludf.UNSUPPORTED("""COMPUTED_VALUE"""),"Radiant Child: The Story of Young Artist Jean-Michel Basquiat")</f>
        <v>Radiant Child: The Story of Young Artist Jean-Michel Basquiat</v>
      </c>
      <c r="C48" s="9" t="str">
        <f ca="1">IFERROR(__xludf.UNSUPPORTED("""COMPUTED_VALUE"""),"N")</f>
        <v>N</v>
      </c>
      <c r="D48" s="10" t="str">
        <f ca="1">IFERROR(__xludf.UNSUPPORTED("""COMPUTED_VALUE"""),"Steptoe, Javaka")</f>
        <v>Steptoe, Javaka</v>
      </c>
      <c r="E48" s="11">
        <f ca="1">IFERROR(__xludf.UNSUPPORTED("""COMPUTED_VALUE"""),9780316213882)</f>
        <v>9780316213882</v>
      </c>
    </row>
    <row r="49" spans="1:5" ht="13.2" x14ac:dyDescent="0.25">
      <c r="A49" s="9" t="str">
        <f ca="1">IFERROR(__xludf.UNSUPPORTED("""COMPUTED_VALUE"""),"4")</f>
        <v>4</v>
      </c>
      <c r="B49" s="10" t="str">
        <f ca="1">IFERROR(__xludf.UNSUPPORTED("""COMPUTED_VALUE"""),"Me, Frida")</f>
        <v>Me, Frida</v>
      </c>
      <c r="C49" s="9" t="str">
        <f ca="1">IFERROR(__xludf.UNSUPPORTED("""COMPUTED_VALUE"""),"N")</f>
        <v>N</v>
      </c>
      <c r="D49" s="10" t="str">
        <f ca="1">IFERROR(__xludf.UNSUPPORTED("""COMPUTED_VALUE"""),"Novesky, Amy")</f>
        <v>Novesky, Amy</v>
      </c>
      <c r="E49" s="11">
        <f ca="1">IFERROR(__xludf.UNSUPPORTED("""COMPUTED_VALUE"""),9781419715167)</f>
        <v>9781419715167</v>
      </c>
    </row>
    <row r="50" spans="1:5" ht="26.4" x14ac:dyDescent="0.25">
      <c r="A50" s="9" t="str">
        <f ca="1">IFERROR(__xludf.UNSUPPORTED("""COMPUTED_VALUE"""),"4")</f>
        <v>4</v>
      </c>
      <c r="B50" s="10" t="str">
        <f ca="1">IFERROR(__xludf.UNSUPPORTED("""COMPUTED_VALUE"""),"Action Jackson")</f>
        <v>Action Jackson</v>
      </c>
      <c r="C50" s="9" t="str">
        <f ca="1">IFERROR(__xludf.UNSUPPORTED("""COMPUTED_VALUE"""),"N")</f>
        <v>N</v>
      </c>
      <c r="D50" s="10" t="str">
        <f ca="1">IFERROR(__xludf.UNSUPPORTED("""COMPUTED_VALUE"""),"Greenberg, Jan &amp; Sandra Jordan")</f>
        <v>Greenberg, Jan &amp; Sandra Jordan</v>
      </c>
      <c r="E50" s="11">
        <f ca="1">IFERROR(__xludf.UNSUPPORTED("""COMPUTED_VALUE"""),9780312367510)</f>
        <v>9780312367510</v>
      </c>
    </row>
    <row r="51" spans="1:5" ht="13.2" x14ac:dyDescent="0.25">
      <c r="A51" s="9" t="str">
        <f ca="1">IFERROR(__xludf.UNSUPPORTED("""COMPUTED_VALUE"""),"4")</f>
        <v>4</v>
      </c>
      <c r="B51" s="10" t="str">
        <f ca="1">IFERROR(__xludf.UNSUPPORTED("""COMPUTED_VALUE"""),"The East-West House: Noguchi’s Childhood in Japan")</f>
        <v>The East-West House: Noguchi’s Childhood in Japan</v>
      </c>
      <c r="C51" s="9" t="str">
        <f ca="1">IFERROR(__xludf.UNSUPPORTED("""COMPUTED_VALUE"""),"N")</f>
        <v>N</v>
      </c>
      <c r="D51" s="10" t="str">
        <f ca="1">IFERROR(__xludf.UNSUPPORTED("""COMPUTED_VALUE"""),"Hale, Christy")</f>
        <v>Hale, Christy</v>
      </c>
      <c r="E51" s="11">
        <f ca="1">IFERROR(__xludf.UNSUPPORTED("""COMPUTED_VALUE"""),9781620148587)</f>
        <v>9781620148587</v>
      </c>
    </row>
    <row r="52" spans="1:5" ht="13.2" x14ac:dyDescent="0.25">
      <c r="A52" s="9" t="str">
        <f ca="1">IFERROR(__xludf.UNSUPPORTED("""COMPUTED_VALUE"""),"4")</f>
        <v>4</v>
      </c>
      <c r="B52" s="10" t="str">
        <f ca="1">IFERROR(__xludf.UNSUPPORTED("""COMPUTED_VALUE"""),"Telling a Story with Photos")</f>
        <v>Telling a Story with Photos</v>
      </c>
      <c r="C52" s="9" t="str">
        <f ca="1">IFERROR(__xludf.UNSUPPORTED("""COMPUTED_VALUE"""),"")</f>
        <v/>
      </c>
      <c r="D52" s="10" t="str">
        <f ca="1">IFERROR(__xludf.UNSUPPORTED("""COMPUTED_VALUE"""),"")</f>
        <v/>
      </c>
      <c r="E52" s="11" t="str">
        <f ca="1">IFERROR(__xludf.UNSUPPORTED("""COMPUTED_VALUE"""),"")</f>
        <v/>
      </c>
    </row>
    <row r="53" spans="1:5" ht="13.2" x14ac:dyDescent="0.25">
      <c r="A53" s="9" t="str">
        <f ca="1">IFERROR(__xludf.UNSUPPORTED("""COMPUTED_VALUE"""),"4")</f>
        <v>4</v>
      </c>
      <c r="B53" s="10" t="str">
        <f ca="1">IFERROR(__xludf.UNSUPPORTED("""COMPUTED_VALUE"""),"Wolf Island")</f>
        <v>Wolf Island</v>
      </c>
      <c r="C53" s="9" t="str">
        <f ca="1">IFERROR(__xludf.UNSUPPORTED("""COMPUTED_VALUE"""),"N")</f>
        <v>N</v>
      </c>
      <c r="D53" s="10" t="str">
        <f ca="1">IFERROR(__xludf.UNSUPPORTED("""COMPUTED_VALUE"""),"Read, Nicholas")</f>
        <v>Read, Nicholas</v>
      </c>
      <c r="E53" s="11">
        <f ca="1">IFERROR(__xludf.UNSUPPORTED("""COMPUTED_VALUE"""),9781459812642)</f>
        <v>9781459812642</v>
      </c>
    </row>
    <row r="54" spans="1:5" ht="13.2" x14ac:dyDescent="0.25">
      <c r="A54" s="9" t="str">
        <f ca="1">IFERROR(__xludf.UNSUPPORTED("""COMPUTED_VALUE"""),"4")</f>
        <v>4</v>
      </c>
      <c r="B54" s="10" t="str">
        <f ca="1">IFERROR(__xludf.UNSUPPORTED("""COMPUTED_VALUE"""),"A Bear's Life")</f>
        <v>A Bear's Life</v>
      </c>
      <c r="C54" s="9" t="str">
        <f ca="1">IFERROR(__xludf.UNSUPPORTED("""COMPUTED_VALUE"""),"N")</f>
        <v>N</v>
      </c>
      <c r="D54" s="10" t="str">
        <f ca="1">IFERROR(__xludf.UNSUPPORTED("""COMPUTED_VALUE"""),"Read, Nicholas")</f>
        <v>Read, Nicholas</v>
      </c>
      <c r="E54" s="11">
        <f ca="1">IFERROR(__xludf.UNSUPPORTED("""COMPUTED_VALUE"""),9781459812703)</f>
        <v>9781459812703</v>
      </c>
    </row>
    <row r="55" spans="1:5" ht="13.2" x14ac:dyDescent="0.25">
      <c r="A55" s="9" t="str">
        <f ca="1">IFERROR(__xludf.UNSUPPORTED("""COMPUTED_VALUE"""),"4")</f>
        <v>4</v>
      </c>
      <c r="B55" s="10" t="str">
        <f ca="1">IFERROR(__xludf.UNSUPPORTED("""COMPUTED_VALUE"""),"The Seal Garden")</f>
        <v>The Seal Garden</v>
      </c>
      <c r="C55" s="9" t="str">
        <f ca="1">IFERROR(__xludf.UNSUPPORTED("""COMPUTED_VALUE"""),"N")</f>
        <v>N</v>
      </c>
      <c r="D55" s="10" t="str">
        <f ca="1">IFERROR(__xludf.UNSUPPORTED("""COMPUTED_VALUE"""),"Read, Nicholas")</f>
        <v>Read, Nicholas</v>
      </c>
      <c r="E55" s="11">
        <f ca="1">IFERROR(__xludf.UNSUPPORTED("""COMPUTED_VALUE"""),9781459812673)</f>
        <v>9781459812673</v>
      </c>
    </row>
    <row r="56" spans="1:5" ht="13.2" x14ac:dyDescent="0.25">
      <c r="A56" s="9" t="str">
        <f ca="1">IFERROR(__xludf.UNSUPPORTED("""COMPUTED_VALUE"""),"4")</f>
        <v>4</v>
      </c>
      <c r="B56" s="10" t="str">
        <f ca="1">IFERROR(__xludf.UNSUPPORTED("""COMPUTED_VALUE"""),"A Little Book of Sloth")</f>
        <v>A Little Book of Sloth</v>
      </c>
      <c r="C56" s="9" t="str">
        <f ca="1">IFERROR(__xludf.UNSUPPORTED("""COMPUTED_VALUE"""),"N")</f>
        <v>N</v>
      </c>
      <c r="D56" s="10" t="str">
        <f ca="1">IFERROR(__xludf.UNSUPPORTED("""COMPUTED_VALUE"""),"Cooke, Lucy")</f>
        <v>Cooke, Lucy</v>
      </c>
      <c r="E56" s="11">
        <f ca="1">IFERROR(__xludf.UNSUPPORTED("""COMPUTED_VALUE"""),9781442445574)</f>
        <v>9781442445574</v>
      </c>
    </row>
    <row r="57" spans="1:5" ht="13.2" x14ac:dyDescent="0.25">
      <c r="A57" s="9" t="str">
        <f ca="1">IFERROR(__xludf.UNSUPPORTED("""COMPUTED_VALUE"""),"4")</f>
        <v>4</v>
      </c>
      <c r="B57" s="10" t="str">
        <f ca="1">IFERROR(__xludf.UNSUPPORTED("""COMPUTED_VALUE"""),"Face to Face with Whales")</f>
        <v>Face to Face with Whales</v>
      </c>
      <c r="C57" s="9" t="str">
        <f ca="1">IFERROR(__xludf.UNSUPPORTED("""COMPUTED_VALUE"""),"N")</f>
        <v>N</v>
      </c>
      <c r="D57" s="10" t="str">
        <f ca="1">IFERROR(__xludf.UNSUPPORTED("""COMPUTED_VALUE"""),"Nicklin, Flip &amp; Linda")</f>
        <v>Nicklin, Flip &amp; Linda</v>
      </c>
      <c r="E57" s="11">
        <f ca="1">IFERROR(__xludf.UNSUPPORTED("""COMPUTED_VALUE"""),9781426306976)</f>
        <v>9781426306976</v>
      </c>
    </row>
    <row r="58" spans="1:5" ht="13.2" x14ac:dyDescent="0.25">
      <c r="A58" s="9" t="str">
        <f ca="1">IFERROR(__xludf.UNSUPPORTED("""COMPUTED_VALUE"""),"4")</f>
        <v>4</v>
      </c>
      <c r="B58" s="10" t="str">
        <f ca="1">IFERROR(__xludf.UNSUPPORTED("""COMPUTED_VALUE"""),"Author/Illustrator Study: Douglas Florian")</f>
        <v>Author/Illustrator Study: Douglas Florian</v>
      </c>
      <c r="C58" s="9" t="str">
        <f ca="1">IFERROR(__xludf.UNSUPPORTED("""COMPUTED_VALUE"""),"")</f>
        <v/>
      </c>
      <c r="D58" s="10" t="str">
        <f ca="1">IFERROR(__xludf.UNSUPPORTED("""COMPUTED_VALUE"""),"")</f>
        <v/>
      </c>
      <c r="E58" s="11" t="str">
        <f ca="1">IFERROR(__xludf.UNSUPPORTED("""COMPUTED_VALUE"""),"")</f>
        <v/>
      </c>
    </row>
    <row r="59" spans="1:5" ht="13.2" x14ac:dyDescent="0.25">
      <c r="A59" s="9" t="str">
        <f ca="1">IFERROR(__xludf.UNSUPPORTED("""COMPUTED_VALUE"""),"4")</f>
        <v>4</v>
      </c>
      <c r="B59" s="10" t="str">
        <f ca="1">IFERROR(__xludf.UNSUPPORTED("""COMPUTED_VALUE"""),"Insectlopedia")</f>
        <v>Insectlopedia</v>
      </c>
      <c r="C59" s="9" t="str">
        <f ca="1">IFERROR(__xludf.UNSUPPORTED("""COMPUTED_VALUE"""),"F")</f>
        <v>F</v>
      </c>
      <c r="D59" s="10" t="str">
        <f ca="1">IFERROR(__xludf.UNSUPPORTED("""COMPUTED_VALUE"""),"Florian, Douglas")</f>
        <v>Florian, Douglas</v>
      </c>
      <c r="E59" s="11">
        <f ca="1">IFERROR(__xludf.UNSUPPORTED("""COMPUTED_VALUE"""),9780152163358)</f>
        <v>9780152163358</v>
      </c>
    </row>
    <row r="60" spans="1:5" ht="13.2" x14ac:dyDescent="0.25">
      <c r="A60" s="9" t="str">
        <f ca="1">IFERROR(__xludf.UNSUPPORTED("""COMPUTED_VALUE"""),"4")</f>
        <v>4</v>
      </c>
      <c r="B60" s="10" t="str">
        <f ca="1">IFERROR(__xludf.UNSUPPORTED("""COMPUTED_VALUE"""),"Mammalabilia")</f>
        <v>Mammalabilia</v>
      </c>
      <c r="C60" s="9" t="str">
        <f ca="1">IFERROR(__xludf.UNSUPPORTED("""COMPUTED_VALUE"""),"F")</f>
        <v>F</v>
      </c>
      <c r="D60" s="10" t="str">
        <f ca="1">IFERROR(__xludf.UNSUPPORTED("""COMPUTED_VALUE"""),"Florian, Douglas")</f>
        <v>Florian, Douglas</v>
      </c>
      <c r="E60" s="11">
        <f ca="1">IFERROR(__xludf.UNSUPPORTED("""COMPUTED_VALUE"""),9780152050245)</f>
        <v>9780152050245</v>
      </c>
    </row>
    <row r="61" spans="1:5" ht="13.2" x14ac:dyDescent="0.25">
      <c r="A61" s="9" t="str">
        <f ca="1">IFERROR(__xludf.UNSUPPORTED("""COMPUTED_VALUE"""),"4")</f>
        <v>4</v>
      </c>
      <c r="B61" s="10" t="str">
        <f ca="1">IFERROR(__xludf.UNSUPPORTED("""COMPUTED_VALUE"""),"Lizards, Frogs, and Polliwogs")</f>
        <v>Lizards, Frogs, and Polliwogs</v>
      </c>
      <c r="C61" s="9" t="str">
        <f ca="1">IFERROR(__xludf.UNSUPPORTED("""COMPUTED_VALUE"""),"F")</f>
        <v>F</v>
      </c>
      <c r="D61" s="10" t="str">
        <f ca="1">IFERROR(__xludf.UNSUPPORTED("""COMPUTED_VALUE"""),"Florian, Douglas")</f>
        <v>Florian, Douglas</v>
      </c>
      <c r="E61" s="11">
        <f ca="1">IFERROR(__xludf.UNSUPPORTED("""COMPUTED_VALUE"""),9780152052485)</f>
        <v>9780152052485</v>
      </c>
    </row>
    <row r="62" spans="1:5" ht="13.2" x14ac:dyDescent="0.25">
      <c r="A62" s="9" t="str">
        <f ca="1">IFERROR(__xludf.UNSUPPORTED("""COMPUTED_VALUE"""),"4")</f>
        <v>4</v>
      </c>
      <c r="B62" s="10" t="str">
        <f ca="1">IFERROR(__xludf.UNSUPPORTED("""COMPUTED_VALUE"""),"On the Wing")</f>
        <v>On the Wing</v>
      </c>
      <c r="C62" s="9" t="str">
        <f ca="1">IFERROR(__xludf.UNSUPPORTED("""COMPUTED_VALUE"""),"F")</f>
        <v>F</v>
      </c>
      <c r="D62" s="10" t="str">
        <f ca="1">IFERROR(__xludf.UNSUPPORTED("""COMPUTED_VALUE"""),"Florian, Douglas")</f>
        <v>Florian, Douglas</v>
      </c>
      <c r="E62" s="11">
        <f ca="1">IFERROR(__xludf.UNSUPPORTED("""COMPUTED_VALUE"""),9780152023669)</f>
        <v>9780152023669</v>
      </c>
    </row>
    <row r="63" spans="1:5" ht="13.2" x14ac:dyDescent="0.25">
      <c r="A63" s="9" t="str">
        <f ca="1">IFERROR(__xludf.UNSUPPORTED("""COMPUTED_VALUE"""),"4")</f>
        <v>4</v>
      </c>
      <c r="B63" s="10" t="str">
        <f ca="1">IFERROR(__xludf.UNSUPPORTED("""COMPUTED_VALUE"""),"In the Swim")</f>
        <v>In the Swim</v>
      </c>
      <c r="C63" s="9" t="str">
        <f ca="1">IFERROR(__xludf.UNSUPPORTED("""COMPUTED_VALUE"""),"F")</f>
        <v>F</v>
      </c>
      <c r="D63" s="10" t="str">
        <f ca="1">IFERROR(__xludf.UNSUPPORTED("""COMPUTED_VALUE"""),"Florian, Douglas")</f>
        <v>Florian, Douglas</v>
      </c>
      <c r="E63" s="11">
        <f ca="1">IFERROR(__xludf.UNSUPPORTED("""COMPUTED_VALUE"""),9780152024376)</f>
        <v>9780152024376</v>
      </c>
    </row>
    <row r="64" spans="1:5" ht="13.2" x14ac:dyDescent="0.25">
      <c r="A64" s="9" t="str">
        <f ca="1">IFERROR(__xludf.UNSUPPORTED("""COMPUTED_VALUE"""),"4")</f>
        <v>4</v>
      </c>
      <c r="B64" s="10" t="str">
        <f ca="1">IFERROR(__xludf.UNSUPPORTED("""COMPUTED_VALUE"""),"Genre Study: Poetry")</f>
        <v>Genre Study: Poetry</v>
      </c>
      <c r="C64" s="9" t="str">
        <f ca="1">IFERROR(__xludf.UNSUPPORTED("""COMPUTED_VALUE"""),"")</f>
        <v/>
      </c>
      <c r="D64" s="10" t="str">
        <f ca="1">IFERROR(__xludf.UNSUPPORTED("""COMPUTED_VALUE"""),"")</f>
        <v/>
      </c>
      <c r="E64" s="11" t="str">
        <f ca="1">IFERROR(__xludf.UNSUPPORTED("""COMPUTED_VALUE"""),"")</f>
        <v/>
      </c>
    </row>
    <row r="65" spans="1:5" ht="13.2" x14ac:dyDescent="0.25">
      <c r="A65" s="9" t="str">
        <f ca="1">IFERROR(__xludf.UNSUPPORTED("""COMPUTED_VALUE"""),"4")</f>
        <v>4</v>
      </c>
      <c r="B65" s="10" t="str">
        <f ca="1">IFERROR(__xludf.UNSUPPORTED("""COMPUTED_VALUE"""),"The Barefoot Book of Earth Poems")</f>
        <v>The Barefoot Book of Earth Poems</v>
      </c>
      <c r="C65" s="9" t="str">
        <f ca="1">IFERROR(__xludf.UNSUPPORTED("""COMPUTED_VALUE"""),"F")</f>
        <v>F</v>
      </c>
      <c r="D65" s="10" t="str">
        <f ca="1">IFERROR(__xludf.UNSUPPORTED("""COMPUTED_VALUE"""),"Nicholls, Judith. Ed.")</f>
        <v>Nicholls, Judith. Ed.</v>
      </c>
      <c r="E65" s="11">
        <f ca="1">IFERROR(__xludf.UNSUPPORTED("""COMPUTED_VALUE"""),9781782852780)</f>
        <v>9781782852780</v>
      </c>
    </row>
    <row r="66" spans="1:5" ht="13.2" x14ac:dyDescent="0.25">
      <c r="A66" s="9" t="str">
        <f ca="1">IFERROR(__xludf.UNSUPPORTED("""COMPUTED_VALUE"""),"4")</f>
        <v>4</v>
      </c>
      <c r="B66" s="10" t="str">
        <f ca="1">IFERROR(__xludf.UNSUPPORTED("""COMPUTED_VALUE"""),"Shape Me a Rhyme: Nature's Forms in Poetry")</f>
        <v>Shape Me a Rhyme: Nature's Forms in Poetry</v>
      </c>
      <c r="C66" s="9" t="str">
        <f ca="1">IFERROR(__xludf.UNSUPPORTED("""COMPUTED_VALUE"""),"N")</f>
        <v>N</v>
      </c>
      <c r="D66" s="10" t="str">
        <f ca="1">IFERROR(__xludf.UNSUPPORTED("""COMPUTED_VALUE"""),"Yolen, Jane")</f>
        <v>Yolen, Jane</v>
      </c>
      <c r="E66" s="11">
        <f ca="1">IFERROR(__xludf.UNSUPPORTED("""COMPUTED_VALUE"""),9781620917916)</f>
        <v>9781620917916</v>
      </c>
    </row>
    <row r="67" spans="1:5" ht="13.2" x14ac:dyDescent="0.25">
      <c r="A67" s="9" t="str">
        <f ca="1">IFERROR(__xludf.UNSUPPORTED("""COMPUTED_VALUE"""),"4")</f>
        <v>4</v>
      </c>
      <c r="B67" s="10" t="str">
        <f ca="1">IFERROR(__xludf.UNSUPPORTED("""COMPUTED_VALUE"""),"On the Wing")</f>
        <v>On the Wing</v>
      </c>
      <c r="C67" s="9" t="str">
        <f ca="1">IFERROR(__xludf.UNSUPPORTED("""COMPUTED_VALUE"""),"N")</f>
        <v>N</v>
      </c>
      <c r="D67" s="10" t="str">
        <f ca="1">IFERROR(__xludf.UNSUPPORTED("""COMPUTED_VALUE"""),"Elliott, David")</f>
        <v>Elliott, David</v>
      </c>
      <c r="E67" s="11">
        <f ca="1">IFERROR(__xludf.UNSUPPORTED("""COMPUTED_VALUE"""),9780763693022)</f>
        <v>9780763693022</v>
      </c>
    </row>
    <row r="68" spans="1:5" ht="26.4" x14ac:dyDescent="0.25">
      <c r="A68" s="9" t="str">
        <f ca="1">IFERROR(__xludf.UNSUPPORTED("""COMPUTED_VALUE"""),"4")</f>
        <v>4</v>
      </c>
      <c r="B68" s="10" t="str">
        <f ca="1">IFERROR(__xludf.UNSUPPORTED("""COMPUTED_VALUE"""),"A Place to Start a Family: Poems About Creatures That Build")</f>
        <v>A Place to Start a Family: Poems About Creatures That Build</v>
      </c>
      <c r="C68" s="9" t="str">
        <f ca="1">IFERROR(__xludf.UNSUPPORTED("""COMPUTED_VALUE"""),"N")</f>
        <v>N</v>
      </c>
      <c r="D68" s="10" t="str">
        <f ca="1">IFERROR(__xludf.UNSUPPORTED("""COMPUTED_VALUE"""),"Harrison, David L.")</f>
        <v>Harrison, David L.</v>
      </c>
      <c r="E68" s="11">
        <f ca="1">IFERROR(__xludf.UNSUPPORTED("""COMPUTED_VALUE"""),9781623541620)</f>
        <v>9781623541620</v>
      </c>
    </row>
    <row r="69" spans="1:5" ht="13.2" x14ac:dyDescent="0.25">
      <c r="A69" s="9" t="str">
        <f ca="1">IFERROR(__xludf.UNSUPPORTED("""COMPUTED_VALUE"""),"4")</f>
        <v>4</v>
      </c>
      <c r="B69" s="10" t="str">
        <f ca="1">IFERROR(__xludf.UNSUPPORTED("""COMPUTED_VALUE"""),"What Are You Glad About What Are You Mad About?")</f>
        <v>What Are You Glad About What Are You Mad About?</v>
      </c>
      <c r="C69" s="9" t="str">
        <f ca="1">IFERROR(__xludf.UNSUPPORTED("""COMPUTED_VALUE"""),"F")</f>
        <v>F</v>
      </c>
      <c r="D69" s="10" t="str">
        <f ca="1">IFERROR(__xludf.UNSUPPORTED("""COMPUTED_VALUE"""),"Viorst, Judith")</f>
        <v>Viorst, Judith</v>
      </c>
      <c r="E69" s="11">
        <f ca="1">IFERROR(__xludf.UNSUPPORTED("""COMPUTED_VALUE"""),9781481423564)</f>
        <v>9781481423564</v>
      </c>
    </row>
    <row r="70" spans="1:5" ht="13.2" x14ac:dyDescent="0.25">
      <c r="A70" s="9" t="str">
        <f ca="1">IFERROR(__xludf.UNSUPPORTED("""COMPUTED_VALUE"""),"4")</f>
        <v>4</v>
      </c>
      <c r="B70" s="10" t="str">
        <f ca="1">IFERROR(__xludf.UNSUPPORTED("""COMPUTED_VALUE"""),"Genre Study: Historical Fiction")</f>
        <v>Genre Study: Historical Fiction</v>
      </c>
      <c r="C70" s="9" t="str">
        <f ca="1">IFERROR(__xludf.UNSUPPORTED("""COMPUTED_VALUE"""),"")</f>
        <v/>
      </c>
      <c r="D70" s="10" t="str">
        <f ca="1">IFERROR(__xludf.UNSUPPORTED("""COMPUTED_VALUE"""),"")</f>
        <v/>
      </c>
      <c r="E70" s="11" t="str">
        <f ca="1">IFERROR(__xludf.UNSUPPORTED("""COMPUTED_VALUE"""),"")</f>
        <v/>
      </c>
    </row>
    <row r="71" spans="1:5" ht="13.2" x14ac:dyDescent="0.25">
      <c r="A71" s="9" t="str">
        <f ca="1">IFERROR(__xludf.UNSUPPORTED("""COMPUTED_VALUE"""),"4")</f>
        <v>4</v>
      </c>
      <c r="B71" s="10" t="str">
        <f ca="1">IFERROR(__xludf.UNSUPPORTED("""COMPUTED_VALUE"""),"Uncle Jed's Barbershop")</f>
        <v>Uncle Jed's Barbershop</v>
      </c>
      <c r="C71" s="9" t="str">
        <f ca="1">IFERROR(__xludf.UNSUPPORTED("""COMPUTED_VALUE"""),"F")</f>
        <v>F</v>
      </c>
      <c r="D71" s="10" t="str">
        <f ca="1">IFERROR(__xludf.UNSUPPORTED("""COMPUTED_VALUE"""),"Mitchell, Margaree King")</f>
        <v>Mitchell, Margaree King</v>
      </c>
      <c r="E71" s="11">
        <f ca="1">IFERROR(__xludf.UNSUPPORTED("""COMPUTED_VALUE"""),9780689819131)</f>
        <v>9780689819131</v>
      </c>
    </row>
    <row r="72" spans="1:5" ht="13.2" x14ac:dyDescent="0.25">
      <c r="A72" s="9" t="str">
        <f ca="1">IFERROR(__xludf.UNSUPPORTED("""COMPUTED_VALUE"""),"4")</f>
        <v>4</v>
      </c>
      <c r="B72" s="10" t="str">
        <f ca="1">IFERROR(__xludf.UNSUPPORTED("""COMPUTED_VALUE"""),"The Glorious Flight: Across the Channel with Louis Blériot")</f>
        <v>The Glorious Flight: Across the Channel with Louis Blériot</v>
      </c>
      <c r="C72" s="9" t="str">
        <f ca="1">IFERROR(__xludf.UNSUPPORTED("""COMPUTED_VALUE"""),"F")</f>
        <v>F</v>
      </c>
      <c r="D72" s="10" t="str">
        <f ca="1">IFERROR(__xludf.UNSUPPORTED("""COMPUTED_VALUE"""),"Provensen, Alice &amp; Martin")</f>
        <v>Provensen, Alice &amp; Martin</v>
      </c>
      <c r="E72" s="11">
        <f ca="1">IFERROR(__xludf.UNSUPPORTED("""COMPUTED_VALUE"""),9780140507294)</f>
        <v>9780140507294</v>
      </c>
    </row>
    <row r="73" spans="1:5" ht="13.2" x14ac:dyDescent="0.25">
      <c r="A73" s="9" t="str">
        <f ca="1">IFERROR(__xludf.UNSUPPORTED("""COMPUTED_VALUE"""),"4")</f>
        <v>4</v>
      </c>
      <c r="B73" s="10" t="str">
        <f ca="1">IFERROR(__xludf.UNSUPPORTED("""COMPUTED_VALUE"""),"The Buffalo Storm")</f>
        <v>The Buffalo Storm</v>
      </c>
      <c r="C73" s="9" t="str">
        <f ca="1">IFERROR(__xludf.UNSUPPORTED("""COMPUTED_VALUE"""),"F")</f>
        <v>F</v>
      </c>
      <c r="D73" s="10" t="str">
        <f ca="1">IFERROR(__xludf.UNSUPPORTED("""COMPUTED_VALUE"""),"Applegate, Katherine")</f>
        <v>Applegate, Katherine</v>
      </c>
      <c r="E73" s="11">
        <f ca="1">IFERROR(__xludf.UNSUPPORTED("""COMPUTED_VALUE"""),9780544339217)</f>
        <v>9780544339217</v>
      </c>
    </row>
    <row r="74" spans="1:5" ht="13.2" x14ac:dyDescent="0.25">
      <c r="A74" s="9" t="str">
        <f ca="1">IFERROR(__xludf.UNSUPPORTED("""COMPUTED_VALUE"""),"4")</f>
        <v>4</v>
      </c>
      <c r="B74" s="10" t="str">
        <f ca="1">IFERROR(__xludf.UNSUPPORTED("""COMPUTED_VALUE"""),"The Houdini Box")</f>
        <v>The Houdini Box</v>
      </c>
      <c r="C74" s="9" t="str">
        <f ca="1">IFERROR(__xludf.UNSUPPORTED("""COMPUTED_VALUE"""),"F")</f>
        <v>F</v>
      </c>
      <c r="D74" s="10" t="str">
        <f ca="1">IFERROR(__xludf.UNSUPPORTED("""COMPUTED_VALUE"""),"Selznick, Brian")</f>
        <v>Selznick, Brian</v>
      </c>
      <c r="E74" s="11">
        <f ca="1">IFERROR(__xludf.UNSUPPORTED("""COMPUTED_VALUE"""),9780689844515)</f>
        <v>9780689844515</v>
      </c>
    </row>
    <row r="75" spans="1:5" ht="13.2" x14ac:dyDescent="0.25">
      <c r="A75" s="9" t="str">
        <f ca="1">IFERROR(__xludf.UNSUPPORTED("""COMPUTED_VALUE"""),"4")</f>
        <v>4</v>
      </c>
      <c r="B75" s="10" t="str">
        <f ca="1">IFERROR(__xludf.UNSUPPORTED("""COMPUTED_VALUE"""),"Crow Call")</f>
        <v>Crow Call</v>
      </c>
      <c r="C75" s="9" t="str">
        <f ca="1">IFERROR(__xludf.UNSUPPORTED("""COMPUTED_VALUE"""),"F")</f>
        <v>F</v>
      </c>
      <c r="D75" s="10" t="str">
        <f ca="1">IFERROR(__xludf.UNSUPPORTED("""COMPUTED_VALUE"""),"Lowry, Lois")</f>
        <v>Lowry, Lois</v>
      </c>
      <c r="E75" s="11">
        <f ca="1">IFERROR(__xludf.UNSUPPORTED("""COMPUTED_VALUE"""),9780545030359)</f>
        <v>9780545030359</v>
      </c>
    </row>
    <row r="76" spans="1:5" ht="13.2" x14ac:dyDescent="0.25">
      <c r="A76" s="9" t="str">
        <f ca="1">IFERROR(__xludf.UNSUPPORTED("""COMPUTED_VALUE"""),"4")</f>
        <v>4</v>
      </c>
      <c r="B76" s="10" t="str">
        <f ca="1">IFERROR(__xludf.UNSUPPORTED("""COMPUTED_VALUE"""),"Dad, Jackie, and Me")</f>
        <v>Dad, Jackie, and Me</v>
      </c>
      <c r="C76" s="9" t="str">
        <f ca="1">IFERROR(__xludf.UNSUPPORTED("""COMPUTED_VALUE"""),"F")</f>
        <v>F</v>
      </c>
      <c r="D76" s="10" t="str">
        <f ca="1">IFERROR(__xludf.UNSUPPORTED("""COMPUTED_VALUE"""),"Uhlberg, Myron")</f>
        <v>Uhlberg, Myron</v>
      </c>
      <c r="E76" s="11">
        <f ca="1">IFERROR(__xludf.UNSUPPORTED("""COMPUTED_VALUE"""),9781561455317)</f>
        <v>9781561455317</v>
      </c>
    </row>
    <row r="77" spans="1:5" ht="13.2" x14ac:dyDescent="0.25">
      <c r="A77" s="9" t="str">
        <f ca="1">IFERROR(__xludf.UNSUPPORTED("""COMPUTED_VALUE"""),"4")</f>
        <v>4</v>
      </c>
      <c r="B77" s="10" t="str">
        <f ca="1">IFERROR(__xludf.UNSUPPORTED("""COMPUTED_VALUE"""),"Exploring Identity")</f>
        <v>Exploring Identity</v>
      </c>
      <c r="C77" s="9" t="str">
        <f ca="1">IFERROR(__xludf.UNSUPPORTED("""COMPUTED_VALUE"""),"")</f>
        <v/>
      </c>
      <c r="D77" s="10" t="str">
        <f ca="1">IFERROR(__xludf.UNSUPPORTED("""COMPUTED_VALUE"""),"")</f>
        <v/>
      </c>
      <c r="E77" s="11" t="str">
        <f ca="1">IFERROR(__xludf.UNSUPPORTED("""COMPUTED_VALUE"""),"")</f>
        <v/>
      </c>
    </row>
    <row r="78" spans="1:5" ht="13.2" x14ac:dyDescent="0.25">
      <c r="A78" s="9" t="str">
        <f ca="1">IFERROR(__xludf.UNSUPPORTED("""COMPUTED_VALUE"""),"4")</f>
        <v>4</v>
      </c>
      <c r="B78" s="10" t="str">
        <f ca="1">IFERROR(__xludf.UNSUPPORTED("""COMPUTED_VALUE"""),"The Royal Bee")</f>
        <v>The Royal Bee</v>
      </c>
      <c r="C78" s="9" t="str">
        <f ca="1">IFERROR(__xludf.UNSUPPORTED("""COMPUTED_VALUE"""),"F")</f>
        <v>F</v>
      </c>
      <c r="D78" s="10" t="str">
        <f ca="1">IFERROR(__xludf.UNSUPPORTED("""COMPUTED_VALUE"""),"Park, Frances &amp; Ginger")</f>
        <v>Park, Frances &amp; Ginger</v>
      </c>
      <c r="E78" s="11">
        <f ca="1">IFERROR(__xludf.UNSUPPORTED("""COMPUTED_VALUE"""),9781563978678)</f>
        <v>9781563978678</v>
      </c>
    </row>
    <row r="79" spans="1:5" ht="13.2" x14ac:dyDescent="0.25">
      <c r="A79" s="9" t="str">
        <f ca="1">IFERROR(__xludf.UNSUPPORTED("""COMPUTED_VALUE"""),"4")</f>
        <v>4</v>
      </c>
      <c r="B79" s="10" t="str">
        <f ca="1">IFERROR(__xludf.UNSUPPORTED("""COMPUTED_VALUE"""),"Imagine")</f>
        <v>Imagine</v>
      </c>
      <c r="C79" s="9" t="str">
        <f ca="1">IFERROR(__xludf.UNSUPPORTED("""COMPUTED_VALUE"""),"N")</f>
        <v>N</v>
      </c>
      <c r="D79" s="10" t="str">
        <f ca="1">IFERROR(__xludf.UNSUPPORTED("""COMPUTED_VALUE"""),"Herrera, Juan Felipe")</f>
        <v>Herrera, Juan Felipe</v>
      </c>
      <c r="E79" s="11">
        <f ca="1">IFERROR(__xludf.UNSUPPORTED("""COMPUTED_VALUE"""),9780763690526)</f>
        <v>9780763690526</v>
      </c>
    </row>
    <row r="80" spans="1:5" ht="13.2" x14ac:dyDescent="0.25">
      <c r="A80" s="9" t="str">
        <f ca="1">IFERROR(__xludf.UNSUPPORTED("""COMPUTED_VALUE"""),"4")</f>
        <v>4</v>
      </c>
      <c r="B80" s="10" t="str">
        <f ca="1">IFERROR(__xludf.UNSUPPORTED("""COMPUTED_VALUE"""),"Crown: An Ode to the Fresh Cut")</f>
        <v>Crown: An Ode to the Fresh Cut</v>
      </c>
      <c r="C80" s="9" t="str">
        <f ca="1">IFERROR(__xludf.UNSUPPORTED("""COMPUTED_VALUE"""),"F")</f>
        <v>F</v>
      </c>
      <c r="D80" s="10" t="str">
        <f ca="1">IFERROR(__xludf.UNSUPPORTED("""COMPUTED_VALUE"""),"Barnes, Derrick")</f>
        <v>Barnes, Derrick</v>
      </c>
      <c r="E80" s="11">
        <f ca="1">IFERROR(__xludf.UNSUPPORTED("""COMPUTED_VALUE"""),9781572842243)</f>
        <v>9781572842243</v>
      </c>
    </row>
    <row r="81" spans="1:5" ht="13.2" x14ac:dyDescent="0.25">
      <c r="A81" s="9" t="str">
        <f ca="1">IFERROR(__xludf.UNSUPPORTED("""COMPUTED_VALUE"""),"4")</f>
        <v>4</v>
      </c>
      <c r="B81" s="10" t="str">
        <f ca="1">IFERROR(__xludf.UNSUPPORTED("""COMPUTED_VALUE"""),"Be Water, My Friend: The Early Years of Bruce Lee")</f>
        <v>Be Water, My Friend: The Early Years of Bruce Lee</v>
      </c>
      <c r="C81" s="9" t="str">
        <f ca="1">IFERROR(__xludf.UNSUPPORTED("""COMPUTED_VALUE"""),"N")</f>
        <v>N</v>
      </c>
      <c r="D81" s="10" t="str">
        <f ca="1">IFERROR(__xludf.UNSUPPORTED("""COMPUTED_VALUE"""),"Mochizuki, Ken")</f>
        <v>Mochizuki, Ken</v>
      </c>
      <c r="E81" s="11">
        <f ca="1">IFERROR(__xludf.UNSUPPORTED("""COMPUTED_VALUE"""),9781620141649)</f>
        <v>9781620141649</v>
      </c>
    </row>
    <row r="82" spans="1:5" ht="13.2" x14ac:dyDescent="0.25">
      <c r="A82" s="9" t="str">
        <f ca="1">IFERROR(__xludf.UNSUPPORTED("""COMPUTED_VALUE"""),"4")</f>
        <v>4</v>
      </c>
      <c r="B82" s="10" t="str">
        <f ca="1">IFERROR(__xludf.UNSUPPORTED("""COMPUTED_VALUE"""),"Rickshaw Girl")</f>
        <v>Rickshaw Girl</v>
      </c>
      <c r="C82" s="9" t="str">
        <f ca="1">IFERROR(__xludf.UNSUPPORTED("""COMPUTED_VALUE"""),"F")</f>
        <v>F</v>
      </c>
      <c r="D82" s="10" t="str">
        <f ca="1">IFERROR(__xludf.UNSUPPORTED("""COMPUTED_VALUE"""),"Perkins, Mitali")</f>
        <v>Perkins, Mitali</v>
      </c>
      <c r="E82" s="11">
        <f ca="1">IFERROR(__xludf.UNSUPPORTED("""COMPUTED_VALUE"""),9781580893091)</f>
        <v>9781580893091</v>
      </c>
    </row>
    <row r="83" spans="1:5" ht="13.2" x14ac:dyDescent="0.25">
      <c r="A83" s="9" t="str">
        <f ca="1">IFERROR(__xludf.UNSUPPORTED("""COMPUTED_VALUE"""),"4")</f>
        <v>4</v>
      </c>
      <c r="B83" s="10" t="str">
        <f ca="1">IFERROR(__xludf.UNSUPPORTED("""COMPUTED_VALUE"""),"Perseverance")</f>
        <v>Perseverance</v>
      </c>
      <c r="C83" s="9" t="str">
        <f ca="1">IFERROR(__xludf.UNSUPPORTED("""COMPUTED_VALUE"""),"")</f>
        <v/>
      </c>
      <c r="D83" s="10" t="str">
        <f ca="1">IFERROR(__xludf.UNSUPPORTED("""COMPUTED_VALUE"""),"")</f>
        <v/>
      </c>
      <c r="E83" s="11" t="str">
        <f ca="1">IFERROR(__xludf.UNSUPPORTED("""COMPUTED_VALUE"""),"")</f>
        <v/>
      </c>
    </row>
    <row r="84" spans="1:5" ht="26.4" x14ac:dyDescent="0.25">
      <c r="A84" s="9" t="str">
        <f ca="1">IFERROR(__xludf.UNSUPPORTED("""COMPUTED_VALUE"""),"4")</f>
        <v>4</v>
      </c>
      <c r="B84" s="10" t="str">
        <f ca="1">IFERROR(__xludf.UNSUPPORTED("""COMPUTED_VALUE"""),"Rescue &amp; Jessica: A Life-Changing Friendship")</f>
        <v>Rescue &amp; Jessica: A Life-Changing Friendship</v>
      </c>
      <c r="C84" s="9" t="str">
        <f ca="1">IFERROR(__xludf.UNSUPPORTED("""COMPUTED_VALUE"""),"F")</f>
        <v>F</v>
      </c>
      <c r="D84" s="10" t="str">
        <f ca="1">IFERROR(__xludf.UNSUPPORTED("""COMPUTED_VALUE"""),"Kensky, Jessica &amp; Patrick Downes")</f>
        <v>Kensky, Jessica &amp; Patrick Downes</v>
      </c>
      <c r="E84" s="11">
        <f ca="1">IFERROR(__xludf.UNSUPPORTED("""COMPUTED_VALUE"""),9780763696047)</f>
        <v>9780763696047</v>
      </c>
    </row>
    <row r="85" spans="1:5" ht="13.2" x14ac:dyDescent="0.25">
      <c r="A85" s="9" t="str">
        <f ca="1">IFERROR(__xludf.UNSUPPORTED("""COMPUTED_VALUE"""),"4")</f>
        <v>4</v>
      </c>
      <c r="B85" s="10" t="str">
        <f ca="1">IFERROR(__xludf.UNSUPPORTED("""COMPUTED_VALUE"""),"Strong to the Hoop")</f>
        <v>Strong to the Hoop</v>
      </c>
      <c r="C85" s="9" t="str">
        <f ca="1">IFERROR(__xludf.UNSUPPORTED("""COMPUTED_VALUE"""),"F")</f>
        <v>F</v>
      </c>
      <c r="D85" s="10" t="str">
        <f ca="1">IFERROR(__xludf.UNSUPPORTED("""COMPUTED_VALUE"""),"Coy, John")</f>
        <v>Coy, John</v>
      </c>
      <c r="E85" s="11">
        <f ca="1">IFERROR(__xludf.UNSUPPORTED("""COMPUTED_VALUE"""),9781584301783)</f>
        <v>9781584301783</v>
      </c>
    </row>
    <row r="86" spans="1:5" ht="13.2" x14ac:dyDescent="0.25">
      <c r="A86" s="9" t="str">
        <f ca="1">IFERROR(__xludf.UNSUPPORTED("""COMPUTED_VALUE"""),"4")</f>
        <v>4</v>
      </c>
      <c r="B86" s="10" t="str">
        <f ca="1">IFERROR(__xludf.UNSUPPORTED("""COMPUTED_VALUE"""),"King for a Day")</f>
        <v>King for a Day</v>
      </c>
      <c r="C86" s="9" t="str">
        <f ca="1">IFERROR(__xludf.UNSUPPORTED("""COMPUTED_VALUE"""),"F")</f>
        <v>F</v>
      </c>
      <c r="D86" s="10" t="str">
        <f ca="1">IFERROR(__xludf.UNSUPPORTED("""COMPUTED_VALUE"""),"Khan, Rukhsana")</f>
        <v>Khan, Rukhsana</v>
      </c>
      <c r="E86" s="11">
        <f ca="1">IFERROR(__xludf.UNSUPPORTED("""COMPUTED_VALUE"""),9781643790565)</f>
        <v>9781643790565</v>
      </c>
    </row>
    <row r="87" spans="1:5" ht="13.2" x14ac:dyDescent="0.25">
      <c r="A87" s="9" t="str">
        <f ca="1">IFERROR(__xludf.UNSUPPORTED("""COMPUTED_VALUE"""),"4")</f>
        <v>4</v>
      </c>
      <c r="B87" s="10" t="str">
        <f ca="1">IFERROR(__xludf.UNSUPPORTED("""COMPUTED_VALUE"""),"Razia's Ray of Hope: One Girl's Dream of an Education")</f>
        <v>Razia's Ray of Hope: One Girl's Dream of an Education</v>
      </c>
      <c r="C87" s="9" t="str">
        <f ca="1">IFERROR(__xludf.UNSUPPORTED("""COMPUTED_VALUE"""),"N")</f>
        <v>N</v>
      </c>
      <c r="D87" s="10" t="str">
        <f ca="1">IFERROR(__xludf.UNSUPPORTED("""COMPUTED_VALUE"""),"Suneby, Elizabeth")</f>
        <v>Suneby, Elizabeth</v>
      </c>
      <c r="E87" s="11">
        <f ca="1">IFERROR(__xludf.UNSUPPORTED("""COMPUTED_VALUE"""),9781554538164)</f>
        <v>9781554538164</v>
      </c>
    </row>
    <row r="88" spans="1:5" ht="26.4" x14ac:dyDescent="0.25">
      <c r="A88" s="9" t="str">
        <f ca="1">IFERROR(__xludf.UNSUPPORTED("""COMPUTED_VALUE"""),"4")</f>
        <v>4</v>
      </c>
      <c r="B88" s="10" t="str">
        <f ca="1">IFERROR(__xludf.UNSUPPORTED("""COMPUTED_VALUE"""),"Barbed Wire Baseball: How One Man Brought Hope to the Japanese Internment Camps of WWII")</f>
        <v>Barbed Wire Baseball: How One Man Brought Hope to the Japanese Internment Camps of WWII</v>
      </c>
      <c r="C88" s="9" t="str">
        <f ca="1">IFERROR(__xludf.UNSUPPORTED("""COMPUTED_VALUE"""),"N")</f>
        <v>N</v>
      </c>
      <c r="D88" s="10" t="str">
        <f ca="1">IFERROR(__xludf.UNSUPPORTED("""COMPUTED_VALUE"""),"Moss, Marissa")</f>
        <v>Moss, Marissa</v>
      </c>
      <c r="E88" s="11">
        <f ca="1">IFERROR(__xludf.UNSUPPORTED("""COMPUTED_VALUE"""),9781419720581)</f>
        <v>9781419720581</v>
      </c>
    </row>
    <row r="89" spans="1:5" ht="26.4" x14ac:dyDescent="0.25">
      <c r="A89" s="9" t="str">
        <f ca="1">IFERROR(__xludf.UNSUPPORTED("""COMPUTED_VALUE"""),"4")</f>
        <v>4</v>
      </c>
      <c r="B89" s="10" t="str">
        <f ca="1">IFERROR(__xludf.UNSUPPORTED("""COMPUTED_VALUE"""),"Genre Study: Biography: Individuals Making a Difference")</f>
        <v>Genre Study: Biography: Individuals Making a Difference</v>
      </c>
      <c r="C89" s="9" t="str">
        <f ca="1">IFERROR(__xludf.UNSUPPORTED("""COMPUTED_VALUE"""),"")</f>
        <v/>
      </c>
      <c r="D89" s="10" t="str">
        <f ca="1">IFERROR(__xludf.UNSUPPORTED("""COMPUTED_VALUE"""),"")</f>
        <v/>
      </c>
      <c r="E89" s="11" t="str">
        <f ca="1">IFERROR(__xludf.UNSUPPORTED("""COMPUTED_VALUE"""),"")</f>
        <v/>
      </c>
    </row>
    <row r="90" spans="1:5" ht="26.4" x14ac:dyDescent="0.25">
      <c r="A90" s="9" t="str">
        <f ca="1">IFERROR(__xludf.UNSUPPORTED("""COMPUTED_VALUE"""),"4")</f>
        <v>4</v>
      </c>
      <c r="B90" s="10" t="str">
        <f ca="1">IFERROR(__xludf.UNSUPPORTED("""COMPUTED_VALUE"""),"Fly High! The Story of Bessie Coleman")</f>
        <v>Fly High! The Story of Bessie Coleman</v>
      </c>
      <c r="C90" s="9" t="str">
        <f ca="1">IFERROR(__xludf.UNSUPPORTED("""COMPUTED_VALUE"""),"N")</f>
        <v>N</v>
      </c>
      <c r="D90" s="10" t="str">
        <f ca="1">IFERROR(__xludf.UNSUPPORTED("""COMPUTED_VALUE"""),"Borden, Louise &amp; Mary Kay Kroeger")</f>
        <v>Borden, Louise &amp; Mary Kay Kroeger</v>
      </c>
      <c r="E90" s="11">
        <f ca="1">IFERROR(__xludf.UNSUPPORTED("""COMPUTED_VALUE"""),9780689864629)</f>
        <v>9780689864629</v>
      </c>
    </row>
    <row r="91" spans="1:5" ht="13.2" x14ac:dyDescent="0.25">
      <c r="A91" s="9" t="str">
        <f ca="1">IFERROR(__xludf.UNSUPPORTED("""COMPUTED_VALUE"""),"4")</f>
        <v>4</v>
      </c>
      <c r="B91" s="10" t="str">
        <f ca="1">IFERROR(__xludf.UNSUPPORTED("""COMPUTED_VALUE"""),"Six Dots: A Story of Young Louis Braille")</f>
        <v>Six Dots: A Story of Young Louis Braille</v>
      </c>
      <c r="C91" s="9" t="str">
        <f ca="1">IFERROR(__xludf.UNSUPPORTED("""COMPUTED_VALUE"""),"N")</f>
        <v>N</v>
      </c>
      <c r="D91" s="10" t="str">
        <f ca="1">IFERROR(__xludf.UNSUPPORTED("""COMPUTED_VALUE"""),"Bryant, Jen")</f>
        <v>Bryant, Jen</v>
      </c>
      <c r="E91" s="11">
        <f ca="1">IFERROR(__xludf.UNSUPPORTED("""COMPUTED_VALUE"""),9780449813379)</f>
        <v>9780449813379</v>
      </c>
    </row>
    <row r="92" spans="1:5" ht="13.2" x14ac:dyDescent="0.25">
      <c r="A92" s="9" t="str">
        <f ca="1">IFERROR(__xludf.UNSUPPORTED("""COMPUTED_VALUE"""),"4")</f>
        <v>4</v>
      </c>
      <c r="B92" s="10" t="str">
        <f ca="1">IFERROR(__xludf.UNSUPPORTED("""COMPUTED_VALUE"""),"Farmer Will Allen and the Growing Table")</f>
        <v>Farmer Will Allen and the Growing Table</v>
      </c>
      <c r="C92" s="9" t="str">
        <f ca="1">IFERROR(__xludf.UNSUPPORTED("""COMPUTED_VALUE"""),"N")</f>
        <v>N</v>
      </c>
      <c r="D92" s="10" t="str">
        <f ca="1">IFERROR(__xludf.UNSUPPORTED("""COMPUTED_VALUE"""),"Martin, Jacqueline Briggs")</f>
        <v>Martin, Jacqueline Briggs</v>
      </c>
      <c r="E92" s="11">
        <f ca="1">IFERROR(__xludf.UNSUPPORTED("""COMPUTED_VALUE"""),9780983661580)</f>
        <v>9780983661580</v>
      </c>
    </row>
    <row r="93" spans="1:5" ht="26.4" x14ac:dyDescent="0.25">
      <c r="A93" s="9" t="str">
        <f ca="1">IFERROR(__xludf.UNSUPPORTED("""COMPUTED_VALUE"""),"4")</f>
        <v>4</v>
      </c>
      <c r="B93" s="10" t="str">
        <f ca="1">IFERROR(__xludf.UNSUPPORTED("""COMPUTED_VALUE"""),"The Secret Kingdom: Nek Chand, a Changing India, and a Hidden World of Art")</f>
        <v>The Secret Kingdom: Nek Chand, a Changing India, and a Hidden World of Art</v>
      </c>
      <c r="C93" s="9" t="str">
        <f ca="1">IFERROR(__xludf.UNSUPPORTED("""COMPUTED_VALUE"""),"N")</f>
        <v>N</v>
      </c>
      <c r="D93" s="10" t="str">
        <f ca="1">IFERROR(__xludf.UNSUPPORTED("""COMPUTED_VALUE"""),"Rosenstock, Barb")</f>
        <v>Rosenstock, Barb</v>
      </c>
      <c r="E93" s="11">
        <f ca="1">IFERROR(__xludf.UNSUPPORTED("""COMPUTED_VALUE"""),9781536213270)</f>
        <v>9781536213270</v>
      </c>
    </row>
    <row r="94" spans="1:5" ht="13.2" x14ac:dyDescent="0.25">
      <c r="A94" s="9" t="str">
        <f ca="1">IFERROR(__xludf.UNSUPPORTED("""COMPUTED_VALUE"""),"4")</f>
        <v>4</v>
      </c>
      <c r="B94" s="10" t="str">
        <f ca="1">IFERROR(__xludf.UNSUPPORTED("""COMPUTED_VALUE"""),"Taking Action, Making Change")</f>
        <v>Taking Action, Making Change</v>
      </c>
      <c r="C94" s="9" t="str">
        <f ca="1">IFERROR(__xludf.UNSUPPORTED("""COMPUTED_VALUE"""),"")</f>
        <v/>
      </c>
      <c r="D94" s="10" t="str">
        <f ca="1">IFERROR(__xludf.UNSUPPORTED("""COMPUTED_VALUE"""),"")</f>
        <v/>
      </c>
      <c r="E94" s="11" t="str">
        <f ca="1">IFERROR(__xludf.UNSUPPORTED("""COMPUTED_VALUE"""),"")</f>
        <v/>
      </c>
    </row>
    <row r="95" spans="1:5" ht="26.4" x14ac:dyDescent="0.25">
      <c r="A95" s="9" t="str">
        <f ca="1">IFERROR(__xludf.UNSUPPORTED("""COMPUTED_VALUE"""),"4")</f>
        <v>4</v>
      </c>
      <c r="B95" s="10" t="str">
        <f ca="1">IFERROR(__xludf.UNSUPPORTED("""COMPUTED_VALUE"""),"Follow the Moon Home: A Tale of One Idea, Twenty Kids, and a Hundred Sea Turtles")</f>
        <v>Follow the Moon Home: A Tale of One Idea, Twenty Kids, and a Hundred Sea Turtles</v>
      </c>
      <c r="C95" s="9" t="str">
        <f ca="1">IFERROR(__xludf.UNSUPPORTED("""COMPUTED_VALUE"""),"F")</f>
        <v>F</v>
      </c>
      <c r="D95" s="10" t="str">
        <f ca="1">IFERROR(__xludf.UNSUPPORTED("""COMPUTED_VALUE"""),"Cousteau, Philippe &amp; Deborah Hopkinson")</f>
        <v>Cousteau, Philippe &amp; Deborah Hopkinson</v>
      </c>
      <c r="E95" s="11">
        <f ca="1">IFERROR(__xludf.UNSUPPORTED("""COMPUTED_VALUE"""),9781452112411)</f>
        <v>9781452112411</v>
      </c>
    </row>
    <row r="96" spans="1:5" ht="13.2" x14ac:dyDescent="0.25">
      <c r="A96" s="9" t="str">
        <f ca="1">IFERROR(__xludf.UNSUPPORTED("""COMPUTED_VALUE"""),"4")</f>
        <v>4</v>
      </c>
      <c r="B96" s="10" t="str">
        <f ca="1">IFERROR(__xludf.UNSUPPORTED("""COMPUTED_VALUE"""),"The Promise")</f>
        <v>The Promise</v>
      </c>
      <c r="C96" s="9" t="str">
        <f ca="1">IFERROR(__xludf.UNSUPPORTED("""COMPUTED_VALUE"""),"F")</f>
        <v>F</v>
      </c>
      <c r="D96" s="10" t="str">
        <f ca="1">IFERROR(__xludf.UNSUPPORTED("""COMPUTED_VALUE"""),"Davies, Nicola")</f>
        <v>Davies, Nicola</v>
      </c>
      <c r="E96" s="11">
        <f ca="1">IFERROR(__xludf.UNSUPPORTED("""COMPUTED_VALUE"""),9780763693039)</f>
        <v>9780763693039</v>
      </c>
    </row>
    <row r="97" spans="1:5" ht="26.4" x14ac:dyDescent="0.25">
      <c r="A97" s="9" t="str">
        <f ca="1">IFERROR(__xludf.UNSUPPORTED("""COMPUTED_VALUE"""),"4")</f>
        <v>4</v>
      </c>
      <c r="B97" s="10" t="str">
        <f ca="1">IFERROR(__xludf.UNSUPPORTED("""COMPUTED_VALUE"""),"Emmanuel's Dream: The True Story of Emmanuel Ofosu Yeboah")</f>
        <v>Emmanuel's Dream: The True Story of Emmanuel Ofosu Yeboah</v>
      </c>
      <c r="C97" s="9" t="str">
        <f ca="1">IFERROR(__xludf.UNSUPPORTED("""COMPUTED_VALUE"""),"N")</f>
        <v>N</v>
      </c>
      <c r="D97" s="10" t="str">
        <f ca="1">IFERROR(__xludf.UNSUPPORTED("""COMPUTED_VALUE"""),"Thompson, Laurie Ann")</f>
        <v>Thompson, Laurie Ann</v>
      </c>
      <c r="E97" s="11">
        <f ca="1">IFERROR(__xludf.UNSUPPORTED("""COMPUTED_VALUE"""),9780449817445)</f>
        <v>9780449817445</v>
      </c>
    </row>
    <row r="98" spans="1:5" ht="13.2" x14ac:dyDescent="0.25">
      <c r="A98" s="9" t="str">
        <f ca="1">IFERROR(__xludf.UNSUPPORTED("""COMPUTED_VALUE"""),"4")</f>
        <v>4</v>
      </c>
      <c r="B98" s="10" t="str">
        <f ca="1">IFERROR(__xludf.UNSUPPORTED("""COMPUTED_VALUE"""),"Brothers in Hope: The Story of the Lost Boys of Sudan")</f>
        <v>Brothers in Hope: The Story of the Lost Boys of Sudan</v>
      </c>
      <c r="C98" s="9" t="str">
        <f ca="1">IFERROR(__xludf.UNSUPPORTED("""COMPUTED_VALUE"""),"F")</f>
        <v>F</v>
      </c>
      <c r="D98" s="10" t="str">
        <f ca="1">IFERROR(__xludf.UNSUPPORTED("""COMPUTED_VALUE"""),"Williams, Mary")</f>
        <v>Williams, Mary</v>
      </c>
      <c r="E98" s="11">
        <f ca="1">IFERROR(__xludf.UNSUPPORTED("""COMPUTED_VALUE"""),9781643790800)</f>
        <v>9781643790800</v>
      </c>
    </row>
    <row r="99" spans="1:5" ht="13.2" x14ac:dyDescent="0.25">
      <c r="A99" s="9" t="str">
        <f ca="1">IFERROR(__xludf.UNSUPPORTED("""COMPUTED_VALUE"""),"4")</f>
        <v>4</v>
      </c>
      <c r="B99" s="10" t="str">
        <f ca="1">IFERROR(__xludf.UNSUPPORTED("""COMPUTED_VALUE"""),"One Hen: How One Small Loan Made a Big Difference")</f>
        <v>One Hen: How One Small Loan Made a Big Difference</v>
      </c>
      <c r="C99" s="9" t="str">
        <f ca="1">IFERROR(__xludf.UNSUPPORTED("""COMPUTED_VALUE"""),"F")</f>
        <v>F</v>
      </c>
      <c r="D99" s="10" t="str">
        <f ca="1">IFERROR(__xludf.UNSUPPORTED("""COMPUTED_VALUE"""),"Milway, Katie Smith")</f>
        <v>Milway, Katie Smith</v>
      </c>
      <c r="E99" s="11">
        <f ca="1">IFERROR(__xludf.UNSUPPORTED("""COMPUTED_VALUE"""),9781554530281)</f>
        <v>9781554530281</v>
      </c>
    </row>
    <row r="100" spans="1:5" ht="13.2" x14ac:dyDescent="0.25">
      <c r="A100" s="9" t="str">
        <f ca="1">IFERROR(__xludf.UNSUPPORTED("""COMPUTED_VALUE"""),"4")</f>
        <v>4</v>
      </c>
      <c r="B100" s="10" t="str">
        <f ca="1">IFERROR(__xludf.UNSUPPORTED("""COMPUTED_VALUE"""),"Innovative Thinking and Creative Problem Solving")</f>
        <v>Innovative Thinking and Creative Problem Solving</v>
      </c>
      <c r="C100" s="9" t="str">
        <f ca="1">IFERROR(__xludf.UNSUPPORTED("""COMPUTED_VALUE"""),"")</f>
        <v/>
      </c>
      <c r="D100" s="10" t="str">
        <f ca="1">IFERROR(__xludf.UNSUPPORTED("""COMPUTED_VALUE"""),"")</f>
        <v/>
      </c>
      <c r="E100" s="11" t="str">
        <f ca="1">IFERROR(__xludf.UNSUPPORTED("""COMPUTED_VALUE"""),"")</f>
        <v/>
      </c>
    </row>
    <row r="101" spans="1:5" ht="26.4" x14ac:dyDescent="0.25">
      <c r="A101" s="9" t="str">
        <f ca="1">IFERROR(__xludf.UNSUPPORTED("""COMPUTED_VALUE"""),"4")</f>
        <v>4</v>
      </c>
      <c r="B101" s="10" t="str">
        <f ca="1">IFERROR(__xludf.UNSUPPORTED("""COMPUTED_VALUE"""),"Ivan: The Remarkable True Story of the Shopping Mall Gorilla")</f>
        <v>Ivan: The Remarkable True Story of the Shopping Mall Gorilla</v>
      </c>
      <c r="C101" s="9" t="str">
        <f ca="1">IFERROR(__xludf.UNSUPPORTED("""COMPUTED_VALUE"""),"N")</f>
        <v>N</v>
      </c>
      <c r="D101" s="10" t="str">
        <f ca="1">IFERROR(__xludf.UNSUPPORTED("""COMPUTED_VALUE"""),"Applegate, Katherine")</f>
        <v>Applegate, Katherine</v>
      </c>
      <c r="E101" s="11">
        <f ca="1">IFERROR(__xludf.UNSUPPORTED("""COMPUTED_VALUE"""),9780544252301)</f>
        <v>9780544252301</v>
      </c>
    </row>
    <row r="102" spans="1:5" ht="26.4" x14ac:dyDescent="0.25">
      <c r="A102" s="9" t="str">
        <f ca="1">IFERROR(__xludf.UNSUPPORTED("""COMPUTED_VALUE"""),"4")</f>
        <v>4</v>
      </c>
      <c r="B102" s="10" t="str">
        <f ca="1">IFERROR(__xludf.UNSUPPORTED("""COMPUTED_VALUE"""),"Hands Around the Library: Protecting Egypt's Treasured Books")</f>
        <v>Hands Around the Library: Protecting Egypt's Treasured Books</v>
      </c>
      <c r="C102" s="9" t="str">
        <f ca="1">IFERROR(__xludf.UNSUPPORTED("""COMPUTED_VALUE"""),"N")</f>
        <v>N</v>
      </c>
      <c r="D102" s="10" t="str">
        <f ca="1">IFERROR(__xludf.UNSUPPORTED("""COMPUTED_VALUE"""),"Roth, Susan &amp; Karen Leggett Abouraya")</f>
        <v>Roth, Susan &amp; Karen Leggett Abouraya</v>
      </c>
      <c r="E102" s="11">
        <f ca="1">IFERROR(__xludf.UNSUPPORTED("""COMPUTED_VALUE"""),9780803737471)</f>
        <v>9780803737471</v>
      </c>
    </row>
    <row r="103" spans="1:5" ht="26.4" x14ac:dyDescent="0.25">
      <c r="A103" s="9" t="str">
        <f ca="1">IFERROR(__xludf.UNSUPPORTED("""COMPUTED_VALUE"""),"4")</f>
        <v>4</v>
      </c>
      <c r="B103" s="10" t="str">
        <f ca="1">IFERROR(__xludf.UNSUPPORTED("""COMPUTED_VALUE"""),"One Plastic Bag: Isatou Ceesay and the Recycling Women of the Gambia")</f>
        <v>One Plastic Bag: Isatou Ceesay and the Recycling Women of the Gambia</v>
      </c>
      <c r="C103" s="9" t="str">
        <f ca="1">IFERROR(__xludf.UNSUPPORTED("""COMPUTED_VALUE"""),"N")</f>
        <v>N</v>
      </c>
      <c r="D103" s="10" t="str">
        <f ca="1">IFERROR(__xludf.UNSUPPORTED("""COMPUTED_VALUE"""),"Paul, Miranda")</f>
        <v>Paul, Miranda</v>
      </c>
      <c r="E103" s="11">
        <f ca="1">IFERROR(__xludf.UNSUPPORTED("""COMPUTED_VALUE"""),9781467716086)</f>
        <v>9781467716086</v>
      </c>
    </row>
    <row r="104" spans="1:5" ht="26.4" x14ac:dyDescent="0.25">
      <c r="A104" s="9" t="str">
        <f ca="1">IFERROR(__xludf.UNSUPPORTED("""COMPUTED_VALUE"""),"4")</f>
        <v>4</v>
      </c>
      <c r="B104" s="10" t="str">
        <f ca="1">IFERROR(__xludf.UNSUPPORTED("""COMPUTED_VALUE"""),"Parrots Over Puerto Rico")</f>
        <v>Parrots Over Puerto Rico</v>
      </c>
      <c r="C104" s="9" t="str">
        <f ca="1">IFERROR(__xludf.UNSUPPORTED("""COMPUTED_VALUE"""),"N")</f>
        <v>N</v>
      </c>
      <c r="D104" s="10" t="str">
        <f ca="1">IFERROR(__xludf.UNSUPPORTED("""COMPUTED_VALUE"""),"Roth, Susan L. &amp; Cindy Trumbore")</f>
        <v>Roth, Susan L. &amp; Cindy Trumbore</v>
      </c>
      <c r="E104" s="11">
        <f ca="1">IFERROR(__xludf.UNSUPPORTED("""COMPUTED_VALUE"""),9781643790817)</f>
        <v>9781643790817</v>
      </c>
    </row>
    <row r="105" spans="1:5" ht="13.2" x14ac:dyDescent="0.25">
      <c r="A105" s="9" t="str">
        <f ca="1">IFERROR(__xludf.UNSUPPORTED("""COMPUTED_VALUE"""),"4")</f>
        <v>4</v>
      </c>
      <c r="B105" s="10" t="str">
        <f ca="1">IFERROR(__xludf.UNSUPPORTED("""COMPUTED_VALUE"""),"Series: Vanishing Cultures")</f>
        <v>Series: Vanishing Cultures</v>
      </c>
      <c r="C105" s="9" t="str">
        <f ca="1">IFERROR(__xludf.UNSUPPORTED("""COMPUTED_VALUE"""),"")</f>
        <v/>
      </c>
      <c r="D105" s="10" t="str">
        <f ca="1">IFERROR(__xludf.UNSUPPORTED("""COMPUTED_VALUE"""),"")</f>
        <v/>
      </c>
      <c r="E105" s="11" t="str">
        <f ca="1">IFERROR(__xludf.UNSUPPORTED("""COMPUTED_VALUE"""),"")</f>
        <v/>
      </c>
    </row>
    <row r="106" spans="1:5" ht="13.2" x14ac:dyDescent="0.25">
      <c r="A106" s="9" t="str">
        <f ca="1">IFERROR(__xludf.UNSUPPORTED("""COMPUTED_VALUE"""),"4")</f>
        <v>4</v>
      </c>
      <c r="B106" s="10" t="str">
        <f ca="1">IFERROR(__xludf.UNSUPPORTED("""COMPUTED_VALUE"""),"Sahara")</f>
        <v>Sahara</v>
      </c>
      <c r="C106" s="9" t="str">
        <f ca="1">IFERROR(__xludf.UNSUPPORTED("""COMPUTED_VALUE"""),"N")</f>
        <v>N</v>
      </c>
      <c r="D106" s="10" t="str">
        <f ca="1">IFERROR(__xludf.UNSUPPORTED("""COMPUTED_VALUE"""),"Reynolds, Jan")</f>
        <v>Reynolds, Jan</v>
      </c>
      <c r="E106" s="11">
        <f ca="1">IFERROR(__xludf.UNSUPPORTED("""COMPUTED_VALUE"""),9781600601316)</f>
        <v>9781600601316</v>
      </c>
    </row>
    <row r="107" spans="1:5" ht="13.2" x14ac:dyDescent="0.25">
      <c r="A107" s="9" t="str">
        <f ca="1">IFERROR(__xludf.UNSUPPORTED("""COMPUTED_VALUE"""),"4")</f>
        <v>4</v>
      </c>
      <c r="B107" s="10" t="str">
        <f ca="1">IFERROR(__xludf.UNSUPPORTED("""COMPUTED_VALUE"""),"Himalaya")</f>
        <v>Himalaya</v>
      </c>
      <c r="C107" s="9" t="str">
        <f ca="1">IFERROR(__xludf.UNSUPPORTED("""COMPUTED_VALUE"""),"N")</f>
        <v>N</v>
      </c>
      <c r="D107" s="10" t="str">
        <f ca="1">IFERROR(__xludf.UNSUPPORTED("""COMPUTED_VALUE"""),"Reynolds, Jan")</f>
        <v>Reynolds, Jan</v>
      </c>
      <c r="E107" s="11">
        <f ca="1">IFERROR(__xludf.UNSUPPORTED("""COMPUTED_VALUE"""),9781600601293)</f>
        <v>9781600601293</v>
      </c>
    </row>
    <row r="108" spans="1:5" ht="13.2" x14ac:dyDescent="0.25">
      <c r="A108" s="9" t="str">
        <f ca="1">IFERROR(__xludf.UNSUPPORTED("""COMPUTED_VALUE"""),"4")</f>
        <v>4</v>
      </c>
      <c r="B108" s="10" t="str">
        <f ca="1">IFERROR(__xludf.UNSUPPORTED("""COMPUTED_VALUE"""),"Amazon Basin")</f>
        <v>Amazon Basin</v>
      </c>
      <c r="C108" s="9" t="str">
        <f ca="1">IFERROR(__xludf.UNSUPPORTED("""COMPUTED_VALUE"""),"N")</f>
        <v>N</v>
      </c>
      <c r="D108" s="10" t="str">
        <f ca="1">IFERROR(__xludf.UNSUPPORTED("""COMPUTED_VALUE"""),"Reynolds, Jan")</f>
        <v>Reynolds, Jan</v>
      </c>
      <c r="E108" s="11">
        <f ca="1">IFERROR(__xludf.UNSUPPORTED("""COMPUTED_VALUE"""),9781600601255)</f>
        <v>9781600601255</v>
      </c>
    </row>
    <row r="109" spans="1:5" ht="13.2" x14ac:dyDescent="0.25">
      <c r="A109" s="9" t="str">
        <f ca="1">IFERROR(__xludf.UNSUPPORTED("""COMPUTED_VALUE"""),"4")</f>
        <v>4</v>
      </c>
      <c r="B109" s="10" t="str">
        <f ca="1">IFERROR(__xludf.UNSUPPORTED("""COMPUTED_VALUE"""),"Frozen Land")</f>
        <v>Frozen Land</v>
      </c>
      <c r="C109" s="9" t="str">
        <f ca="1">IFERROR(__xludf.UNSUPPORTED("""COMPUTED_VALUE"""),"N")</f>
        <v>N</v>
      </c>
      <c r="D109" s="10" t="str">
        <f ca="1">IFERROR(__xludf.UNSUPPORTED("""COMPUTED_VALUE"""),"Reynolds, Jan")</f>
        <v>Reynolds, Jan</v>
      </c>
      <c r="E109" s="11">
        <f ca="1">IFERROR(__xludf.UNSUPPORTED("""COMPUTED_VALUE"""),9781600601286)</f>
        <v>9781600601286</v>
      </c>
    </row>
    <row r="110" spans="1:5" ht="13.2" x14ac:dyDescent="0.25">
      <c r="A110" s="9" t="str">
        <f ca="1">IFERROR(__xludf.UNSUPPORTED("""COMPUTED_VALUE"""),"4")</f>
        <v>4</v>
      </c>
      <c r="B110" s="10" t="str">
        <f ca="1">IFERROR(__xludf.UNSUPPORTED("""COMPUTED_VALUE"""),"Far North")</f>
        <v>Far North</v>
      </c>
      <c r="C110" s="9" t="str">
        <f ca="1">IFERROR(__xludf.UNSUPPORTED("""COMPUTED_VALUE"""),"N")</f>
        <v>N</v>
      </c>
      <c r="D110" s="10" t="str">
        <f ca="1">IFERROR(__xludf.UNSUPPORTED("""COMPUTED_VALUE"""),"Reynolds, Jan")</f>
        <v>Reynolds, Jan</v>
      </c>
      <c r="E110" s="11">
        <f ca="1">IFERROR(__xludf.UNSUPPORTED("""COMPUTED_VALUE"""),9781600601279)</f>
        <v>9781600601279</v>
      </c>
    </row>
    <row r="111" spans="1:5" ht="13.2" x14ac:dyDescent="0.25">
      <c r="A111" s="9" t="str">
        <f ca="1">IFERROR(__xludf.UNSUPPORTED("""COMPUTED_VALUE"""),"4")</f>
        <v>4</v>
      </c>
      <c r="B111" s="10" t="str">
        <f ca="1">IFERROR(__xludf.UNSUPPORTED("""COMPUTED_VALUE"""),"Coping with Loss")</f>
        <v>Coping with Loss</v>
      </c>
      <c r="C111" s="9" t="str">
        <f ca="1">IFERROR(__xludf.UNSUPPORTED("""COMPUTED_VALUE"""),"")</f>
        <v/>
      </c>
      <c r="D111" s="10" t="str">
        <f ca="1">IFERROR(__xludf.UNSUPPORTED("""COMPUTED_VALUE"""),"")</f>
        <v/>
      </c>
      <c r="E111" s="11" t="str">
        <f ca="1">IFERROR(__xludf.UNSUPPORTED("""COMPUTED_VALUE"""),"")</f>
        <v/>
      </c>
    </row>
    <row r="112" spans="1:5" ht="13.2" x14ac:dyDescent="0.25">
      <c r="A112" s="9" t="str">
        <f ca="1">IFERROR(__xludf.UNSUPPORTED("""COMPUTED_VALUE"""),"4")</f>
        <v>4</v>
      </c>
      <c r="B112" s="10" t="str">
        <f ca="1">IFERROR(__xludf.UNSUPPORTED("""COMPUTED_VALUE"""),"The Dam")</f>
        <v>The Dam</v>
      </c>
      <c r="C112" s="9" t="str">
        <f ca="1">IFERROR(__xludf.UNSUPPORTED("""COMPUTED_VALUE"""),"F")</f>
        <v>F</v>
      </c>
      <c r="D112" s="10" t="str">
        <f ca="1">IFERROR(__xludf.UNSUPPORTED("""COMPUTED_VALUE"""),"Almond, David")</f>
        <v>Almond, David</v>
      </c>
      <c r="E112" s="11">
        <f ca="1">IFERROR(__xludf.UNSUPPORTED("""COMPUTED_VALUE"""),9780763695972)</f>
        <v>9780763695972</v>
      </c>
    </row>
    <row r="113" spans="1:5" ht="13.2" x14ac:dyDescent="0.25">
      <c r="A113" s="9" t="str">
        <f ca="1">IFERROR(__xludf.UNSUPPORTED("""COMPUTED_VALUE"""),"4")</f>
        <v>4</v>
      </c>
      <c r="B113" s="10" t="str">
        <f ca="1">IFERROR(__xludf.UNSUPPORTED("""COMPUTED_VALUE"""),"Dad's Camera")</f>
        <v>Dad's Camera</v>
      </c>
      <c r="C113" s="9" t="str">
        <f ca="1">IFERROR(__xludf.UNSUPPORTED("""COMPUTED_VALUE"""),"F")</f>
        <v>F</v>
      </c>
      <c r="D113" s="10" t="str">
        <f ca="1">IFERROR(__xludf.UNSUPPORTED("""COMPUTED_VALUE"""),"Watkins, Ross")</f>
        <v>Watkins, Ross</v>
      </c>
      <c r="E113" s="11">
        <f ca="1">IFERROR(__xludf.UNSUPPORTED("""COMPUTED_VALUE"""),9781536213287)</f>
        <v>9781536213287</v>
      </c>
    </row>
    <row r="114" spans="1:5" ht="13.2" x14ac:dyDescent="0.25">
      <c r="A114" s="9" t="str">
        <f ca="1">IFERROR(__xludf.UNSUPPORTED("""COMPUTED_VALUE"""),"4")</f>
        <v>4</v>
      </c>
      <c r="B114" s="10" t="str">
        <f ca="1">IFERROR(__xludf.UNSUPPORTED("""COMPUTED_VALUE"""),"Eight Days: A Story of Haiti")</f>
        <v>Eight Days: A Story of Haiti</v>
      </c>
      <c r="C114" s="9" t="str">
        <f ca="1">IFERROR(__xludf.UNSUPPORTED("""COMPUTED_VALUE"""),"F")</f>
        <v>F</v>
      </c>
      <c r="D114" s="10" t="str">
        <f ca="1">IFERROR(__xludf.UNSUPPORTED("""COMPUTED_VALUE"""),"Danticat, Edwidge")</f>
        <v>Danticat, Edwidge</v>
      </c>
      <c r="E114" s="11">
        <f ca="1">IFERROR(__xludf.UNSUPPORTED("""COMPUTED_VALUE"""),9780545640978)</f>
        <v>9780545640978</v>
      </c>
    </row>
    <row r="115" spans="1:5" ht="13.2" x14ac:dyDescent="0.25">
      <c r="A115" s="9" t="str">
        <f ca="1">IFERROR(__xludf.UNSUPPORTED("""COMPUTED_VALUE"""),"4")</f>
        <v>4</v>
      </c>
      <c r="B115" s="10" t="str">
        <f ca="1">IFERROR(__xludf.UNSUPPORTED("""COMPUTED_VALUE"""),"Hachiko Waits")</f>
        <v>Hachiko Waits</v>
      </c>
      <c r="C115" s="9" t="str">
        <f ca="1">IFERROR(__xludf.UNSUPPORTED("""COMPUTED_VALUE"""),"F")</f>
        <v>F</v>
      </c>
      <c r="D115" s="10" t="str">
        <f ca="1">IFERROR(__xludf.UNSUPPORTED("""COMPUTED_VALUE"""),"Newman, Leslea")</f>
        <v>Newman, Leslea</v>
      </c>
      <c r="E115" s="11">
        <f ca="1">IFERROR(__xludf.UNSUPPORTED("""COMPUTED_VALUE"""),9780312558062)</f>
        <v>9780312558062</v>
      </c>
    </row>
    <row r="116" spans="1:5" ht="13.2" x14ac:dyDescent="0.25">
      <c r="A116" s="9" t="str">
        <f ca="1">IFERROR(__xludf.UNSUPPORTED("""COMPUTED_VALUE"""),"4")</f>
        <v>4</v>
      </c>
      <c r="B116" s="10" t="str">
        <f ca="1">IFERROR(__xludf.UNSUPPORTED("""COMPUTED_VALUE"""),"The Idea of Home")</f>
        <v>The Idea of Home</v>
      </c>
      <c r="C116" s="9" t="str">
        <f ca="1">IFERROR(__xludf.UNSUPPORTED("""COMPUTED_VALUE"""),"")</f>
        <v/>
      </c>
      <c r="D116" s="10" t="str">
        <f ca="1">IFERROR(__xludf.UNSUPPORTED("""COMPUTED_VALUE"""),"")</f>
        <v/>
      </c>
      <c r="E116" s="11" t="str">
        <f ca="1">IFERROR(__xludf.UNSUPPORTED("""COMPUTED_VALUE"""),"")</f>
        <v/>
      </c>
    </row>
    <row r="117" spans="1:5" ht="13.2" x14ac:dyDescent="0.25">
      <c r="A117" s="9" t="str">
        <f ca="1">IFERROR(__xludf.UNSUPPORTED("""COMPUTED_VALUE"""),"4")</f>
        <v>4</v>
      </c>
      <c r="B117" s="10" t="str">
        <f ca="1">IFERROR(__xludf.UNSUPPORTED("""COMPUTED_VALUE"""),"The Lotus Seed")</f>
        <v>The Lotus Seed</v>
      </c>
      <c r="C117" s="9" t="str">
        <f ca="1">IFERROR(__xludf.UNSUPPORTED("""COMPUTED_VALUE"""),"F")</f>
        <v>F</v>
      </c>
      <c r="D117" s="10" t="str">
        <f ca="1">IFERROR(__xludf.UNSUPPORTED("""COMPUTED_VALUE"""),"Garland, Sherry")</f>
        <v>Garland, Sherry</v>
      </c>
      <c r="E117" s="11">
        <f ca="1">IFERROR(__xludf.UNSUPPORTED("""COMPUTED_VALUE"""),9780152014834)</f>
        <v>9780152014834</v>
      </c>
    </row>
    <row r="118" spans="1:5" ht="26.4" x14ac:dyDescent="0.25">
      <c r="A118" s="9" t="str">
        <f ca="1">IFERROR(__xludf.UNSUPPORTED("""COMPUTED_VALUE"""),"4")</f>
        <v>4</v>
      </c>
      <c r="B118" s="10" t="str">
        <f ca="1">IFERROR(__xludf.UNSUPPORTED("""COMPUTED_VALUE"""),"Red Butterfly: How a Princess Smuggled the Secret of Silk Out of China")</f>
        <v>Red Butterfly: How a Princess Smuggled the Secret of Silk Out of China</v>
      </c>
      <c r="C118" s="9" t="str">
        <f ca="1">IFERROR(__xludf.UNSUPPORTED("""COMPUTED_VALUE"""),"F")</f>
        <v>F</v>
      </c>
      <c r="D118" s="10" t="str">
        <f ca="1">IFERROR(__xludf.UNSUPPORTED("""COMPUTED_VALUE"""),"Noyes, Deborah")</f>
        <v>Noyes, Deborah</v>
      </c>
      <c r="E118" s="11">
        <f ca="1">IFERROR(__xludf.UNSUPPORTED("""COMPUTED_VALUE"""),9781536203769)</f>
        <v>9781536203769</v>
      </c>
    </row>
    <row r="119" spans="1:5" ht="13.2" x14ac:dyDescent="0.25">
      <c r="A119" s="9" t="str">
        <f ca="1">IFERROR(__xludf.UNSUPPORTED("""COMPUTED_VALUE"""),"4")</f>
        <v>4</v>
      </c>
      <c r="B119" s="10" t="str">
        <f ca="1">IFERROR(__xludf.UNSUPPORTED("""COMPUTED_VALUE"""),"Grandfather's Journey")</f>
        <v>Grandfather's Journey</v>
      </c>
      <c r="C119" s="9" t="str">
        <f ca="1">IFERROR(__xludf.UNSUPPORTED("""COMPUTED_VALUE"""),"F")</f>
        <v>F</v>
      </c>
      <c r="D119" s="10" t="str">
        <f ca="1">IFERROR(__xludf.UNSUPPORTED("""COMPUTED_VALUE"""),"Say, Allen")</f>
        <v>Say, Allen</v>
      </c>
      <c r="E119" s="11">
        <f ca="1">IFERROR(__xludf.UNSUPPORTED("""COMPUTED_VALUE"""),9780547076805)</f>
        <v>9780547076805</v>
      </c>
    </row>
    <row r="120" spans="1:5" ht="26.4" x14ac:dyDescent="0.25">
      <c r="A120" s="9" t="str">
        <f ca="1">IFERROR(__xludf.UNSUPPORTED("""COMPUTED_VALUE"""),"4")</f>
        <v>4</v>
      </c>
      <c r="B120" s="10" t="str">
        <f ca="1">IFERROR(__xludf.UNSUPPORTED("""COMPUTED_VALUE"""),"My Name Is Sangoel")</f>
        <v>My Name Is Sangoel</v>
      </c>
      <c r="C120" s="9" t="str">
        <f ca="1">IFERROR(__xludf.UNSUPPORTED("""COMPUTED_VALUE"""),"F")</f>
        <v>F</v>
      </c>
      <c r="D120" s="10" t="str">
        <f ca="1">IFERROR(__xludf.UNSUPPORTED("""COMPUTED_VALUE"""),"Williams, Karen Lynn &amp; Khadra Mohammed")</f>
        <v>Williams, Karen Lynn &amp; Khadra Mohammed</v>
      </c>
      <c r="E120" s="11">
        <f ca="1">IFERROR(__xludf.UNSUPPORTED("""COMPUTED_VALUE"""),9780802853073)</f>
        <v>9780802853073</v>
      </c>
    </row>
    <row r="121" spans="1:5" ht="13.2" x14ac:dyDescent="0.25">
      <c r="A121" s="9" t="str">
        <f ca="1">IFERROR(__xludf.UNSUPPORTED("""COMPUTED_VALUE"""),"4")</f>
        <v>4</v>
      </c>
      <c r="B121" s="10" t="str">
        <f ca="1">IFERROR(__xludf.UNSUPPORTED("""COMPUTED_VALUE"""),"What It Means to Be a Family")</f>
        <v>What It Means to Be a Family</v>
      </c>
      <c r="C121" s="9" t="str">
        <f ca="1">IFERROR(__xludf.UNSUPPORTED("""COMPUTED_VALUE"""),"")</f>
        <v/>
      </c>
      <c r="D121" s="10" t="str">
        <f ca="1">IFERROR(__xludf.UNSUPPORTED("""COMPUTED_VALUE"""),"")</f>
        <v/>
      </c>
      <c r="E121" s="11" t="str">
        <f ca="1">IFERROR(__xludf.UNSUPPORTED("""COMPUTED_VALUE"""),"")</f>
        <v/>
      </c>
    </row>
    <row r="122" spans="1:5" ht="13.2" x14ac:dyDescent="0.25">
      <c r="A122" s="9" t="str">
        <f ca="1">IFERROR(__xludf.UNSUPPORTED("""COMPUTED_VALUE"""),"4")</f>
        <v>4</v>
      </c>
      <c r="B122" s="10" t="str">
        <f ca="1">IFERROR(__xludf.UNSUPPORTED("""COMPUTED_VALUE"""),"Jalapeño Bagels")</f>
        <v>Jalapeño Bagels</v>
      </c>
      <c r="C122" s="9" t="str">
        <f ca="1">IFERROR(__xludf.UNSUPPORTED("""COMPUTED_VALUE"""),"F")</f>
        <v>F</v>
      </c>
      <c r="D122" s="10" t="str">
        <f ca="1">IFERROR(__xludf.UNSUPPORTED("""COMPUTED_VALUE"""),"Wing, Natasha")</f>
        <v>Wing, Natasha</v>
      </c>
      <c r="E122" s="11">
        <f ca="1">IFERROR(__xludf.UNSUPPORTED("""COMPUTED_VALUE"""),9780689805301)</f>
        <v>9780689805301</v>
      </c>
    </row>
    <row r="123" spans="1:5" ht="13.2" x14ac:dyDescent="0.25">
      <c r="A123" s="9" t="str">
        <f ca="1">IFERROR(__xludf.UNSUPPORTED("""COMPUTED_VALUE"""),"4")</f>
        <v>4</v>
      </c>
      <c r="B123" s="10" t="str">
        <f ca="1">IFERROR(__xludf.UNSUPPORTED("""COMPUTED_VALUE"""),"In Our Mothers' House")</f>
        <v>In Our Mothers' House</v>
      </c>
      <c r="C123" s="9" t="str">
        <f ca="1">IFERROR(__xludf.UNSUPPORTED("""COMPUTED_VALUE"""),"F")</f>
        <v>F</v>
      </c>
      <c r="D123" s="10" t="str">
        <f ca="1">IFERROR(__xludf.UNSUPPORTED("""COMPUTED_VALUE"""),"Polacco, Patricia")</f>
        <v>Polacco, Patricia</v>
      </c>
      <c r="E123" s="11">
        <f ca="1">IFERROR(__xludf.UNSUPPORTED("""COMPUTED_VALUE"""),9780399250767)</f>
        <v>9780399250767</v>
      </c>
    </row>
    <row r="124" spans="1:5" ht="13.2" x14ac:dyDescent="0.25">
      <c r="A124" s="9" t="str">
        <f ca="1">IFERROR(__xludf.UNSUPPORTED("""COMPUTED_VALUE"""),"4")</f>
        <v>4</v>
      </c>
      <c r="B124" s="10" t="str">
        <f ca="1">IFERROR(__xludf.UNSUPPORTED("""COMPUTED_VALUE"""),"The Matchbox Diary")</f>
        <v>The Matchbox Diary</v>
      </c>
      <c r="C124" s="9" t="str">
        <f ca="1">IFERROR(__xludf.UNSUPPORTED("""COMPUTED_VALUE"""),"F")</f>
        <v>F</v>
      </c>
      <c r="D124" s="10" t="str">
        <f ca="1">IFERROR(__xludf.UNSUPPORTED("""COMPUTED_VALUE"""),"Fleischman, Paul")</f>
        <v>Fleischman, Paul</v>
      </c>
      <c r="E124" s="11">
        <f ca="1">IFERROR(__xludf.UNSUPPORTED("""COMPUTED_VALUE"""),9780763676384)</f>
        <v>9780763676384</v>
      </c>
    </row>
    <row r="125" spans="1:5" ht="13.2" x14ac:dyDescent="0.25">
      <c r="A125" s="9" t="str">
        <f ca="1">IFERROR(__xludf.UNSUPPORTED("""COMPUTED_VALUE"""),"4")</f>
        <v>4</v>
      </c>
      <c r="B125" s="10" t="str">
        <f ca="1">IFERROR(__xludf.UNSUPPORTED("""COMPUTED_VALUE"""),"Buffalo Bird Girl: A Hidatsa Story")</f>
        <v>Buffalo Bird Girl: A Hidatsa Story</v>
      </c>
      <c r="C125" s="9" t="str">
        <f ca="1">IFERROR(__xludf.UNSUPPORTED("""COMPUTED_VALUE"""),"N")</f>
        <v>N</v>
      </c>
      <c r="D125" s="10" t="str">
        <f ca="1">IFERROR(__xludf.UNSUPPORTED("""COMPUTED_VALUE"""),"Nelson, S. D.")</f>
        <v>Nelson, S. D.</v>
      </c>
      <c r="E125" s="11">
        <f ca="1">IFERROR(__xludf.UNSUPPORTED("""COMPUTED_VALUE"""),9781419718380)</f>
        <v>9781419718380</v>
      </c>
    </row>
    <row r="126" spans="1:5" ht="13.2" x14ac:dyDescent="0.25">
      <c r="A126" s="9" t="str">
        <f ca="1">IFERROR(__xludf.UNSUPPORTED("""COMPUTED_VALUE"""),"4")</f>
        <v>4</v>
      </c>
      <c r="B126" s="10" t="str">
        <f ca="1">IFERROR(__xludf.UNSUPPORTED("""COMPUTED_VALUE"""),"Journey")</f>
        <v>Journey</v>
      </c>
      <c r="C126" s="9" t="str">
        <f ca="1">IFERROR(__xludf.UNSUPPORTED("""COMPUTED_VALUE"""),"F")</f>
        <v>F</v>
      </c>
      <c r="D126" s="10" t="str">
        <f ca="1">IFERROR(__xludf.UNSUPPORTED("""COMPUTED_VALUE"""),"MacLachlan, Patricia")</f>
        <v>MacLachlan, Patricia</v>
      </c>
      <c r="E126" s="11">
        <f ca="1">IFERROR(__xludf.UNSUPPORTED("""COMPUTED_VALUE"""),9780440408093)</f>
        <v>9780440408093</v>
      </c>
    </row>
    <row r="127" spans="1:5" ht="13.2" x14ac:dyDescent="0.25">
      <c r="A127" s="9" t="str">
        <f ca="1">IFERROR(__xludf.UNSUPPORTED("""COMPUTED_VALUE"""),"4")</f>
        <v>4</v>
      </c>
      <c r="B127" s="10" t="str">
        <f ca="1">IFERROR(__xludf.UNSUPPORTED("""COMPUTED_VALUE"""),"Author Study: Patricia McKissack")</f>
        <v>Author Study: Patricia McKissack</v>
      </c>
      <c r="C127" s="9" t="str">
        <f ca="1">IFERROR(__xludf.UNSUPPORTED("""COMPUTED_VALUE"""),"")</f>
        <v/>
      </c>
      <c r="D127" s="10" t="str">
        <f ca="1">IFERROR(__xludf.UNSUPPORTED("""COMPUTED_VALUE"""),"")</f>
        <v/>
      </c>
      <c r="E127" s="11" t="str">
        <f ca="1">IFERROR(__xludf.UNSUPPORTED("""COMPUTED_VALUE"""),"")</f>
        <v/>
      </c>
    </row>
    <row r="128" spans="1:5" ht="13.2" x14ac:dyDescent="0.25">
      <c r="A128" s="9" t="str">
        <f ca="1">IFERROR(__xludf.UNSUPPORTED("""COMPUTED_VALUE"""),"4")</f>
        <v>4</v>
      </c>
      <c r="B128" s="10" t="str">
        <f ca="1">IFERROR(__xludf.UNSUPPORTED("""COMPUTED_VALUE"""),"A Million Fish…More or Less")</f>
        <v>A Million Fish…More or Less</v>
      </c>
      <c r="C128" s="9" t="str">
        <f ca="1">IFERROR(__xludf.UNSUPPORTED("""COMPUTED_VALUE"""),"F")</f>
        <v>F</v>
      </c>
      <c r="D128" s="10" t="str">
        <f ca="1">IFERROR(__xludf.UNSUPPORTED("""COMPUTED_VALUE"""),"McKissack, Patricia")</f>
        <v>McKissack, Patricia</v>
      </c>
      <c r="E128" s="11">
        <f ca="1">IFERROR(__xludf.UNSUPPORTED("""COMPUTED_VALUE"""),9780679880868)</f>
        <v>9780679880868</v>
      </c>
    </row>
    <row r="129" spans="1:5" ht="13.2" x14ac:dyDescent="0.25">
      <c r="A129" s="9" t="str">
        <f ca="1">IFERROR(__xludf.UNSUPPORTED("""COMPUTED_VALUE"""),"4")</f>
        <v>4</v>
      </c>
      <c r="B129" s="10" t="str">
        <f ca="1">IFERROR(__xludf.UNSUPPORTED("""COMPUTED_VALUE"""),"Goin' Someplace Special")</f>
        <v>Goin' Someplace Special</v>
      </c>
      <c r="C129" s="9" t="str">
        <f ca="1">IFERROR(__xludf.UNSUPPORTED("""COMPUTED_VALUE"""),"F")</f>
        <v>F</v>
      </c>
      <c r="D129" s="10" t="str">
        <f ca="1">IFERROR(__xludf.UNSUPPORTED("""COMPUTED_VALUE"""),"McKissack, Patricia")</f>
        <v>McKissack, Patricia</v>
      </c>
      <c r="E129" s="11">
        <f ca="1">IFERROR(__xludf.UNSUPPORTED("""COMPUTED_VALUE"""),9781416927358)</f>
        <v>9781416927358</v>
      </c>
    </row>
    <row r="130" spans="1:5" ht="13.2" x14ac:dyDescent="0.25">
      <c r="A130" s="9" t="str">
        <f ca="1">IFERROR(__xludf.UNSUPPORTED("""COMPUTED_VALUE"""),"4")</f>
        <v>4</v>
      </c>
      <c r="B130" s="10" t="str">
        <f ca="1">IFERROR(__xludf.UNSUPPORTED("""COMPUTED_VALUE"""),"The Honest-to-Goodness Truth")</f>
        <v>The Honest-to-Goodness Truth</v>
      </c>
      <c r="C130" s="9" t="str">
        <f ca="1">IFERROR(__xludf.UNSUPPORTED("""COMPUTED_VALUE"""),"F")</f>
        <v>F</v>
      </c>
      <c r="D130" s="10" t="str">
        <f ca="1">IFERROR(__xludf.UNSUPPORTED("""COMPUTED_VALUE"""),"McKissack, Patricia")</f>
        <v>McKissack, Patricia</v>
      </c>
      <c r="E130" s="11">
        <f ca="1">IFERROR(__xludf.UNSUPPORTED("""COMPUTED_VALUE"""),9780689853951)</f>
        <v>9780689853951</v>
      </c>
    </row>
    <row r="131" spans="1:5" ht="13.2" x14ac:dyDescent="0.25">
      <c r="A131" s="9" t="str">
        <f ca="1">IFERROR(__xludf.UNSUPPORTED("""COMPUTED_VALUE"""),"4")</f>
        <v>4</v>
      </c>
      <c r="B131" s="10" t="str">
        <f ca="1">IFERROR(__xludf.UNSUPPORTED("""COMPUTED_VALUE"""),"Stitchin' and Pullin': A Gee's Bend Quilt")</f>
        <v>Stitchin' and Pullin': A Gee's Bend Quilt</v>
      </c>
      <c r="C131" s="9" t="str">
        <f ca="1">IFERROR(__xludf.UNSUPPORTED("""COMPUTED_VALUE"""),"F")</f>
        <v>F</v>
      </c>
      <c r="D131" s="10" t="str">
        <f ca="1">IFERROR(__xludf.UNSUPPORTED("""COMPUTED_VALUE"""),"McKissack, Patricia")</f>
        <v>McKissack, Patricia</v>
      </c>
      <c r="E131" s="11">
        <f ca="1">IFERROR(__xludf.UNSUPPORTED("""COMPUTED_VALUE"""),9780399549502)</f>
        <v>9780399549502</v>
      </c>
    </row>
    <row r="132" spans="1:5" ht="13.2" x14ac:dyDescent="0.25">
      <c r="A132" s="9" t="str">
        <f ca="1">IFERROR(__xludf.UNSUPPORTED("""COMPUTED_VALUE"""),"4")</f>
        <v>4</v>
      </c>
      <c r="B132" s="10" t="str">
        <f ca="1">IFERROR(__xludf.UNSUPPORTED("""COMPUTED_VALUE"""),"Genre Study: Fantasy")</f>
        <v>Genre Study: Fantasy</v>
      </c>
      <c r="C132" s="9" t="str">
        <f ca="1">IFERROR(__xludf.UNSUPPORTED("""COMPUTED_VALUE"""),"")</f>
        <v/>
      </c>
      <c r="D132" s="10" t="str">
        <f ca="1">IFERROR(__xludf.UNSUPPORTED("""COMPUTED_VALUE"""),"")</f>
        <v/>
      </c>
      <c r="E132" s="11" t="str">
        <f ca="1">IFERROR(__xludf.UNSUPPORTED("""COMPUTED_VALUE"""),"")</f>
        <v/>
      </c>
    </row>
    <row r="133" spans="1:5" ht="13.2" x14ac:dyDescent="0.25">
      <c r="A133" s="9" t="str">
        <f ca="1">IFERROR(__xludf.UNSUPPORTED("""COMPUTED_VALUE"""),"4")</f>
        <v>4</v>
      </c>
      <c r="B133" s="10" t="str">
        <f ca="1">IFERROR(__xludf.UNSUPPORTED("""COMPUTED_VALUE"""),"Weslandia")</f>
        <v>Weslandia</v>
      </c>
      <c r="C133" s="9" t="str">
        <f ca="1">IFERROR(__xludf.UNSUPPORTED("""COMPUTED_VALUE"""),"F")</f>
        <v>F</v>
      </c>
      <c r="D133" s="10" t="str">
        <f ca="1">IFERROR(__xludf.UNSUPPORTED("""COMPUTED_VALUE"""),"Fleischman, Paul")</f>
        <v>Fleischman, Paul</v>
      </c>
      <c r="E133" s="11">
        <f ca="1">IFERROR(__xludf.UNSUPPORTED("""COMPUTED_VALUE"""),9780763610524)</f>
        <v>9780763610524</v>
      </c>
    </row>
    <row r="134" spans="1:5" ht="13.2" x14ac:dyDescent="0.25">
      <c r="A134" s="9" t="str">
        <f ca="1">IFERROR(__xludf.UNSUPPORTED("""COMPUTED_VALUE"""),"4")</f>
        <v>4</v>
      </c>
      <c r="B134" s="10" t="str">
        <f ca="1">IFERROR(__xludf.UNSUPPORTED("""COMPUTED_VALUE"""),"Night of the Gargoyles")</f>
        <v>Night of the Gargoyles</v>
      </c>
      <c r="C134" s="9" t="str">
        <f ca="1">IFERROR(__xludf.UNSUPPORTED("""COMPUTED_VALUE"""),"F")</f>
        <v>F</v>
      </c>
      <c r="D134" s="10" t="str">
        <f ca="1">IFERROR(__xludf.UNSUPPORTED("""COMPUTED_VALUE"""),"Bunting, Eve")</f>
        <v>Bunting, Eve</v>
      </c>
      <c r="E134" s="11">
        <f ca="1">IFERROR(__xludf.UNSUPPORTED("""COMPUTED_VALUE"""),9780395968871)</f>
        <v>9780395968871</v>
      </c>
    </row>
    <row r="135" spans="1:5" ht="13.2" x14ac:dyDescent="0.25">
      <c r="A135" s="9" t="str">
        <f ca="1">IFERROR(__xludf.UNSUPPORTED("""COMPUTED_VALUE"""),"4")</f>
        <v>4</v>
      </c>
      <c r="B135" s="10" t="str">
        <f ca="1">IFERROR(__xludf.UNSUPPORTED("""COMPUTED_VALUE"""),"The Wolves in the Walls")</f>
        <v>The Wolves in the Walls</v>
      </c>
      <c r="C135" s="9" t="str">
        <f ca="1">IFERROR(__xludf.UNSUPPORTED("""COMPUTED_VALUE"""),"F")</f>
        <v>F</v>
      </c>
      <c r="D135" s="10" t="str">
        <f ca="1">IFERROR(__xludf.UNSUPPORTED("""COMPUTED_VALUE"""),"Gaiman, Neil")</f>
        <v>Gaiman, Neil</v>
      </c>
      <c r="E135" s="11">
        <f ca="1">IFERROR(__xludf.UNSUPPORTED("""COMPUTED_VALUE"""),9780380810956)</f>
        <v>9780380810956</v>
      </c>
    </row>
    <row r="136" spans="1:5" ht="13.2" x14ac:dyDescent="0.25">
      <c r="A136" s="9" t="str">
        <f ca="1">IFERROR(__xludf.UNSUPPORTED("""COMPUTED_VALUE"""),"4")</f>
        <v>4</v>
      </c>
      <c r="B136" s="10" t="str">
        <f ca="1">IFERROR(__xludf.UNSUPPORTED("""COMPUTED_VALUE"""),"The Field Guide (The Spiderwick Chronicles, Book 1)")</f>
        <v>The Field Guide (The Spiderwick Chronicles, Book 1)</v>
      </c>
      <c r="C136" s="9" t="str">
        <f ca="1">IFERROR(__xludf.UNSUPPORTED("""COMPUTED_VALUE"""),"F")</f>
        <v>F</v>
      </c>
      <c r="D136" s="10" t="str">
        <f ca="1">IFERROR(__xludf.UNSUPPORTED("""COMPUTED_VALUE"""),"DiTerlizzi, Tony &amp; Holly Black")</f>
        <v>DiTerlizzi, Tony &amp; Holly Black</v>
      </c>
      <c r="E136" s="11">
        <f ca="1">IFERROR(__xludf.UNSUPPORTED("""COMPUTED_VALUE"""),9781442486928)</f>
        <v>9781442486928</v>
      </c>
    </row>
    <row r="137" spans="1:5" ht="13.2" x14ac:dyDescent="0.25">
      <c r="A137" s="9" t="str">
        <f ca="1">IFERROR(__xludf.UNSUPPORTED("""COMPUTED_VALUE"""),"4")</f>
        <v>4</v>
      </c>
      <c r="B137" s="10" t="str">
        <f ca="1">IFERROR(__xludf.UNSUPPORTED("""COMPUTED_VALUE"""),"Tuck Everlasting")</f>
        <v>Tuck Everlasting</v>
      </c>
      <c r="C137" s="9" t="str">
        <f ca="1">IFERROR(__xludf.UNSUPPORTED("""COMPUTED_VALUE"""),"F")</f>
        <v>F</v>
      </c>
      <c r="D137" s="10" t="str">
        <f ca="1">IFERROR(__xludf.UNSUPPORTED("""COMPUTED_VALUE"""),"Babbitt, Natalie")</f>
        <v>Babbitt, Natalie</v>
      </c>
      <c r="E137" s="11">
        <f ca="1">IFERROR(__xludf.UNSUPPORTED("""COMPUTED_VALUE"""),9780312369811)</f>
        <v>9780312369811</v>
      </c>
    </row>
    <row r="138" spans="1:5" ht="13.2" x14ac:dyDescent="0.25">
      <c r="A138" s="9" t="str">
        <f ca="1">IFERROR(__xludf.UNSUPPORTED("""COMPUTED_VALUE"""),"4")</f>
        <v>4</v>
      </c>
      <c r="B138" s="10" t="str">
        <f ca="1">IFERROR(__xludf.UNSUPPORTED("""COMPUTED_VALUE"""),"Genre Study: Fairy Tales")</f>
        <v>Genre Study: Fairy Tales</v>
      </c>
      <c r="C138" s="9" t="str">
        <f ca="1">IFERROR(__xludf.UNSUPPORTED("""COMPUTED_VALUE"""),"")</f>
        <v/>
      </c>
      <c r="D138" s="10" t="str">
        <f ca="1">IFERROR(__xludf.UNSUPPORTED("""COMPUTED_VALUE"""),"")</f>
        <v/>
      </c>
      <c r="E138" s="11" t="str">
        <f ca="1">IFERROR(__xludf.UNSUPPORTED("""COMPUTED_VALUE"""),"")</f>
        <v/>
      </c>
    </row>
    <row r="139" spans="1:5" ht="13.2" x14ac:dyDescent="0.25">
      <c r="A139" s="9" t="str">
        <f ca="1">IFERROR(__xludf.UNSUPPORTED("""COMPUTED_VALUE"""),"4")</f>
        <v>4</v>
      </c>
      <c r="B139" s="10" t="str">
        <f ca="1">IFERROR(__xludf.UNSUPPORTED("""COMPUTED_VALUE"""),"Beauty and the Beast")</f>
        <v>Beauty and the Beast</v>
      </c>
      <c r="C139" s="9" t="str">
        <f ca="1">IFERROR(__xludf.UNSUPPORTED("""COMPUTED_VALUE"""),"F")</f>
        <v>F</v>
      </c>
      <c r="D139" s="10" t="str">
        <f ca="1">IFERROR(__xludf.UNSUPPORTED("""COMPUTED_VALUE"""),"Brett, Jan")</f>
        <v>Brett, Jan</v>
      </c>
      <c r="E139" s="11">
        <f ca="1">IFERROR(__xludf.UNSUPPORTED("""COMPUTED_VALUE"""),9780395557020)</f>
        <v>9780395557020</v>
      </c>
    </row>
    <row r="140" spans="1:5" ht="13.2" x14ac:dyDescent="0.25">
      <c r="A140" s="9" t="str">
        <f ca="1">IFERROR(__xludf.UNSUPPORTED("""COMPUTED_VALUE"""),"4")</f>
        <v>4</v>
      </c>
      <c r="B140" s="10" t="str">
        <f ca="1">IFERROR(__xludf.UNSUPPORTED("""COMPUTED_VALUE"""),"The Twelve Dancing Princesses")</f>
        <v>The Twelve Dancing Princesses</v>
      </c>
      <c r="C140" s="9" t="str">
        <f ca="1">IFERROR(__xludf.UNSUPPORTED("""COMPUTED_VALUE"""),"F")</f>
        <v>F</v>
      </c>
      <c r="D140" s="10" t="str">
        <f ca="1">IFERROR(__xludf.UNSUPPORTED("""COMPUTED_VALUE"""),"Isadora, Rachel")</f>
        <v>Isadora, Rachel</v>
      </c>
      <c r="E140" s="11">
        <f ca="1">IFERROR(__xludf.UNSUPPORTED("""COMPUTED_VALUE"""),9780142414507)</f>
        <v>9780142414507</v>
      </c>
    </row>
    <row r="141" spans="1:5" ht="13.2" x14ac:dyDescent="0.25">
      <c r="A141" s="9" t="str">
        <f ca="1">IFERROR(__xludf.UNSUPPORTED("""COMPUTED_VALUE"""),"4")</f>
        <v>4</v>
      </c>
      <c r="B141" s="10" t="str">
        <f ca="1">IFERROR(__xludf.UNSUPPORTED("""COMPUTED_VALUE"""),"The Dragon Prince: A Chinese Beauty and the Beast Tale")</f>
        <v>The Dragon Prince: A Chinese Beauty and the Beast Tale</v>
      </c>
      <c r="C141" s="9" t="str">
        <f ca="1">IFERROR(__xludf.UNSUPPORTED("""COMPUTED_VALUE"""),"F")</f>
        <v>F</v>
      </c>
      <c r="D141" s="10" t="str">
        <f ca="1">IFERROR(__xludf.UNSUPPORTED("""COMPUTED_VALUE"""),"Yep, Laurence")</f>
        <v>Yep, Laurence</v>
      </c>
      <c r="E141" s="11">
        <f ca="1">IFERROR(__xludf.UNSUPPORTED("""COMPUTED_VALUE"""),9780064435185)</f>
        <v>9780064435185</v>
      </c>
    </row>
    <row r="142" spans="1:5" ht="13.2" x14ac:dyDescent="0.25">
      <c r="A142" s="9" t="str">
        <f ca="1">IFERROR(__xludf.UNSUPPORTED("""COMPUTED_VALUE"""),"4")</f>
        <v>4</v>
      </c>
      <c r="B142" s="10" t="str">
        <f ca="1">IFERROR(__xludf.UNSUPPORTED("""COMPUTED_VALUE"""),"Rumpelstiltskin")</f>
        <v>Rumpelstiltskin</v>
      </c>
      <c r="C142" s="9" t="str">
        <f ca="1">IFERROR(__xludf.UNSUPPORTED("""COMPUTED_VALUE"""),"F")</f>
        <v>F</v>
      </c>
      <c r="D142" s="10" t="str">
        <f ca="1">IFERROR(__xludf.UNSUPPORTED("""COMPUTED_VALUE"""),"Zelinsky, Paul O.")</f>
        <v>Zelinsky, Paul O.</v>
      </c>
      <c r="E142" s="11">
        <f ca="1">IFERROR(__xludf.UNSUPPORTED("""COMPUTED_VALUE"""),9780140558647)</f>
        <v>9780140558647</v>
      </c>
    </row>
    <row r="143" spans="1:5" ht="13.2" x14ac:dyDescent="0.25">
      <c r="A143" s="9" t="str">
        <f ca="1">IFERROR(__xludf.UNSUPPORTED("""COMPUTED_VALUE"""),"4")</f>
        <v>4</v>
      </c>
      <c r="B143" s="10" t="str">
        <f ca="1">IFERROR(__xludf.UNSUPPORTED("""COMPUTED_VALUE"""),"Brave Red, Smart Frog: A New Book of Old Tales")</f>
        <v>Brave Red, Smart Frog: A New Book of Old Tales</v>
      </c>
      <c r="C143" s="9" t="str">
        <f ca="1">IFERROR(__xludf.UNSUPPORTED("""COMPUTED_VALUE"""),"F")</f>
        <v>F</v>
      </c>
      <c r="D143" s="10" t="str">
        <f ca="1">IFERROR(__xludf.UNSUPPORTED("""COMPUTED_VALUE"""),"Jenkins, Emily")</f>
        <v>Jenkins, Emily</v>
      </c>
      <c r="E143" s="11">
        <f ca="1">IFERROR(__xludf.UNSUPPORTED("""COMPUTED_VALUE"""),9781536213294)</f>
        <v>9781536213294</v>
      </c>
    </row>
    <row r="144" spans="1:5" ht="13.2" x14ac:dyDescent="0.25">
      <c r="A144" s="9" t="str">
        <f ca="1">IFERROR(__xludf.UNSUPPORTED("""COMPUTED_VALUE"""),"4")</f>
        <v>4</v>
      </c>
      <c r="B144" s="10" t="str">
        <f ca="1">IFERROR(__xludf.UNSUPPORTED("""COMPUTED_VALUE"""),"Cinderella Stories")</f>
        <v>Cinderella Stories</v>
      </c>
      <c r="C144" s="9" t="str">
        <f ca="1">IFERROR(__xludf.UNSUPPORTED("""COMPUTED_VALUE"""),"")</f>
        <v/>
      </c>
      <c r="D144" s="10" t="str">
        <f ca="1">IFERROR(__xludf.UNSUPPORTED("""COMPUTED_VALUE"""),"")</f>
        <v/>
      </c>
      <c r="E144" s="11" t="str">
        <f ca="1">IFERROR(__xludf.UNSUPPORTED("""COMPUTED_VALUE"""),"")</f>
        <v/>
      </c>
    </row>
    <row r="145" spans="1:5" ht="13.2" x14ac:dyDescent="0.25">
      <c r="A145" s="9" t="str">
        <f ca="1">IFERROR(__xludf.UNSUPPORTED("""COMPUTED_VALUE"""),"4")</f>
        <v>4</v>
      </c>
      <c r="B145" s="10" t="str">
        <f ca="1">IFERROR(__xludf.UNSUPPORTED("""COMPUTED_VALUE"""),"The Rough-Face Girl")</f>
        <v>The Rough-Face Girl</v>
      </c>
      <c r="C145" s="9" t="str">
        <f ca="1">IFERROR(__xludf.UNSUPPORTED("""COMPUTED_VALUE"""),"F")</f>
        <v>F</v>
      </c>
      <c r="D145" s="10" t="str">
        <f ca="1">IFERROR(__xludf.UNSUPPORTED("""COMPUTED_VALUE"""),"Martin, Rafe")</f>
        <v>Martin, Rafe</v>
      </c>
      <c r="E145" s="11">
        <f ca="1">IFERROR(__xludf.UNSUPPORTED("""COMPUTED_VALUE"""),9780698116269)</f>
        <v>9780698116269</v>
      </c>
    </row>
    <row r="146" spans="1:5" ht="13.2" x14ac:dyDescent="0.25">
      <c r="A146" s="9" t="str">
        <f ca="1">IFERROR(__xludf.UNSUPPORTED("""COMPUTED_VALUE"""),"4")</f>
        <v>4</v>
      </c>
      <c r="B146" s="10" t="str">
        <f ca="1">IFERROR(__xludf.UNSUPPORTED("""COMPUTED_VALUE"""),"Sootface: An Ojibwa Cinderella Story")</f>
        <v>Sootface: An Ojibwa Cinderella Story</v>
      </c>
      <c r="C146" s="9" t="str">
        <f ca="1">IFERROR(__xludf.UNSUPPORTED("""COMPUTED_VALUE"""),"F")</f>
        <v>F</v>
      </c>
      <c r="D146" s="10" t="str">
        <f ca="1">IFERROR(__xludf.UNSUPPORTED("""COMPUTED_VALUE"""),"San Souci, Robert D.")</f>
        <v>San Souci, Robert D.</v>
      </c>
      <c r="E146" s="11">
        <f ca="1">IFERROR(__xludf.UNSUPPORTED("""COMPUTED_VALUE"""),9780440413639)</f>
        <v>9780440413639</v>
      </c>
    </row>
    <row r="147" spans="1:5" ht="13.2" x14ac:dyDescent="0.25">
      <c r="A147" s="9" t="str">
        <f ca="1">IFERROR(__xludf.UNSUPPORTED("""COMPUTED_VALUE"""),"4")</f>
        <v>4</v>
      </c>
      <c r="B147" s="10" t="str">
        <f ca="1">IFERROR(__xludf.UNSUPPORTED("""COMPUTED_VALUE"""),"Cendrillon: A Caribbean Cinderella")</f>
        <v>Cendrillon: A Caribbean Cinderella</v>
      </c>
      <c r="C147" s="9" t="str">
        <f ca="1">IFERROR(__xludf.UNSUPPORTED("""COMPUTED_VALUE"""),"F")</f>
        <v>F</v>
      </c>
      <c r="D147" s="10" t="str">
        <f ca="1">IFERROR(__xludf.UNSUPPORTED("""COMPUTED_VALUE"""),"San Souci, Robert D.")</f>
        <v>San Souci, Robert D.</v>
      </c>
      <c r="E147" s="11">
        <f ca="1">IFERROR(__xludf.UNSUPPORTED("""COMPUTED_VALUE"""),9780689848889)</f>
        <v>9780689848889</v>
      </c>
    </row>
    <row r="148" spans="1:5" ht="13.2" x14ac:dyDescent="0.25">
      <c r="A148" s="9" t="str">
        <f ca="1">IFERROR(__xludf.UNSUPPORTED("""COMPUTED_VALUE"""),"4")</f>
        <v>4</v>
      </c>
      <c r="B148" s="10" t="str">
        <f ca="1">IFERROR(__xludf.UNSUPPORTED("""COMPUTED_VALUE"""),"Domitila: A Cinderella Tale from the Mexican Tradition")</f>
        <v>Domitila: A Cinderella Tale from the Mexican Tradition</v>
      </c>
      <c r="C148" s="9" t="str">
        <f ca="1">IFERROR(__xludf.UNSUPPORTED("""COMPUTED_VALUE"""),"F")</f>
        <v>F</v>
      </c>
      <c r="D148" s="10" t="str">
        <f ca="1">IFERROR(__xludf.UNSUPPORTED("""COMPUTED_VALUE"""),"Coburn, Jewell Reinhart")</f>
        <v>Coburn, Jewell Reinhart</v>
      </c>
      <c r="E148" s="11">
        <f ca="1">IFERROR(__xludf.UNSUPPORTED("""COMPUTED_VALUE"""),9781885008435)</f>
        <v>9781885008435</v>
      </c>
    </row>
    <row r="149" spans="1:5" ht="13.2" x14ac:dyDescent="0.25">
      <c r="A149" s="9" t="str">
        <f ca="1">IFERROR(__xludf.UNSUPPORTED("""COMPUTED_VALUE"""),"4")</f>
        <v>4</v>
      </c>
      <c r="B149" s="10" t="str">
        <f ca="1">IFERROR(__xludf.UNSUPPORTED("""COMPUTED_VALUE"""),"The Persian Cinderella")</f>
        <v>The Persian Cinderella</v>
      </c>
      <c r="C149" s="9" t="str">
        <f ca="1">IFERROR(__xludf.UNSUPPORTED("""COMPUTED_VALUE"""),"F")</f>
        <v>F</v>
      </c>
      <c r="D149" s="10" t="str">
        <f ca="1">IFERROR(__xludf.UNSUPPORTED("""COMPUTED_VALUE"""),"Climo, Shirley")</f>
        <v>Climo, Shirley</v>
      </c>
      <c r="E149" s="11">
        <f ca="1">IFERROR(__xludf.UNSUPPORTED("""COMPUTED_VALUE"""),9780064438537)</f>
        <v>9780064438537</v>
      </c>
    </row>
    <row r="150" spans="1:5" ht="13.2" x14ac:dyDescent="0.25">
      <c r="A150" s="9" t="str">
        <f ca="1">IFERROR(__xludf.UNSUPPORTED("""COMPUTED_VALUE"""),"4")</f>
        <v>4</v>
      </c>
      <c r="B150" s="10" t="str">
        <f ca="1">IFERROR(__xludf.UNSUPPORTED("""COMPUTED_VALUE"""),"Yeh-Shen: A Cinderella Story from China")</f>
        <v>Yeh-Shen: A Cinderella Story from China</v>
      </c>
      <c r="C150" s="9" t="str">
        <f ca="1">IFERROR(__xludf.UNSUPPORTED("""COMPUTED_VALUE"""),"F")</f>
        <v>F</v>
      </c>
      <c r="D150" s="10" t="str">
        <f ca="1">IFERROR(__xludf.UNSUPPORTED("""COMPUTED_VALUE"""),"Ai-Ling, Louie")</f>
        <v>Ai-Ling, Louie</v>
      </c>
      <c r="E150" s="11">
        <f ca="1">IFERROR(__xludf.UNSUPPORTED("""COMPUTED_VALUE"""),9780698113886)</f>
        <v>9780698113886</v>
      </c>
    </row>
  </sheetData>
  <mergeCells count="1">
    <mergeCell ref="A1:D1"/>
  </mergeCells>
  <conditionalFormatting sqref="A5">
    <cfRule type="expression" dxfId="5" priority="1">
      <formula>B5=""</formula>
    </cfRule>
  </conditionalFormatting>
  <conditionalFormatting sqref="B5:B650">
    <cfRule type="expression" dxfId="4" priority="3">
      <formula>D5=""</formula>
    </cfRule>
  </conditionalFormatting>
  <conditionalFormatting sqref="C5:C650">
    <cfRule type="beginsWith" dxfId="3" priority="2" operator="beginsWith" text="N">
      <formula>LEFT((C5),LEN("N"))=("N")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97C23-1AF7-4EFE-9DCB-5D37F82B9EB3}">
  <sheetPr>
    <tabColor rgb="FFFF0000"/>
    <outlinePr summaryBelow="0" summaryRight="0"/>
  </sheetPr>
  <dimension ref="A1:E150"/>
  <sheetViews>
    <sheetView tabSelected="1" workbookViewId="0">
      <pane ySplit="5" topLeftCell="A6" activePane="bottomLeft" state="frozen"/>
      <selection activeCell="A151" sqref="A151:E295"/>
      <selection pane="bottomLeft" activeCell="A151" sqref="A151"/>
    </sheetView>
  </sheetViews>
  <sheetFormatPr defaultColWidth="14.44140625" defaultRowHeight="15.75" customHeight="1" x14ac:dyDescent="0.25"/>
  <cols>
    <col min="1" max="1" width="9.109375" style="8" customWidth="1"/>
    <col min="2" max="2" width="48.44140625" style="8" customWidth="1"/>
    <col min="3" max="3" width="9.44140625" style="8" customWidth="1"/>
    <col min="4" max="4" width="25.6640625" style="8" customWidth="1"/>
    <col min="5" max="5" width="18.44140625" style="8" customWidth="1"/>
    <col min="6" max="16384" width="14.44140625" style="8"/>
  </cols>
  <sheetData>
    <row r="1" spans="1:5" ht="15.75" customHeight="1" x14ac:dyDescent="0.25">
      <c r="A1" s="16" t="s">
        <v>901</v>
      </c>
      <c r="B1" s="10"/>
      <c r="C1" s="15"/>
      <c r="D1" s="17"/>
      <c r="E1" s="15"/>
    </row>
    <row r="2" spans="1:5" ht="15.75" customHeight="1" x14ac:dyDescent="0.25">
      <c r="A2" s="16" t="s">
        <v>894</v>
      </c>
      <c r="B2" s="10"/>
      <c r="C2" s="15"/>
      <c r="D2" s="17"/>
      <c r="E2" s="15"/>
    </row>
    <row r="3" spans="1:5" ht="15.75" customHeight="1" x14ac:dyDescent="0.25">
      <c r="A3" s="16" t="s">
        <v>895</v>
      </c>
      <c r="B3" s="10"/>
      <c r="C3" s="15"/>
      <c r="D3" s="17"/>
      <c r="E3" s="15"/>
    </row>
    <row r="4" spans="1:5" ht="15.75" customHeight="1" x14ac:dyDescent="0.25">
      <c r="A4" s="16" t="s">
        <v>896</v>
      </c>
      <c r="B4" s="10"/>
      <c r="C4" s="15"/>
      <c r="D4" s="17"/>
      <c r="E4" s="15"/>
    </row>
    <row r="5" spans="1:5" ht="15.75" customHeight="1" x14ac:dyDescent="0.25">
      <c r="A5" s="14" t="s">
        <v>897</v>
      </c>
      <c r="B5" s="13" t="s">
        <v>898</v>
      </c>
      <c r="C5" s="12" t="s">
        <v>8</v>
      </c>
      <c r="D5" s="13" t="s">
        <v>899</v>
      </c>
      <c r="E5" s="12" t="s">
        <v>900</v>
      </c>
    </row>
    <row r="6" spans="1:5" ht="13.2" x14ac:dyDescent="0.25">
      <c r="A6" s="9" t="str">
        <f ca="1">IFERROR(__xludf.UNSUPPORTED("""COMPUTED_VALUE"""),"5")</f>
        <v>5</v>
      </c>
      <c r="B6" s="10" t="str">
        <f ca="1">IFERROR(__xludf.UNSUPPORTED("""COMPUTED_VALUE"""),"Empathy")</f>
        <v>Empathy</v>
      </c>
      <c r="C6" s="9" t="str">
        <f ca="1">IFERROR(__xludf.UNSUPPORTED("""COMPUTED_VALUE"""),"")</f>
        <v/>
      </c>
      <c r="D6" s="10" t="str">
        <f ca="1">IFERROR(__xludf.UNSUPPORTED("""COMPUTED_VALUE"""),"")</f>
        <v/>
      </c>
      <c r="E6" s="11" t="str">
        <f ca="1">IFERROR(__xludf.UNSUPPORTED("""COMPUTED_VALUE"""),"")</f>
        <v/>
      </c>
    </row>
    <row r="7" spans="1:5" ht="13.2" x14ac:dyDescent="0.25">
      <c r="A7" s="9" t="str">
        <f ca="1">IFERROR(__xludf.UNSUPPORTED("""COMPUTED_VALUE"""),"5")</f>
        <v>5</v>
      </c>
      <c r="B7" s="10" t="str">
        <f ca="1">IFERROR(__xludf.UNSUPPORTED("""COMPUTED_VALUE"""),"Mrs. Katz and Tush")</f>
        <v>Mrs. Katz and Tush</v>
      </c>
      <c r="C7" s="9" t="str">
        <f ca="1">IFERROR(__xludf.UNSUPPORTED("""COMPUTED_VALUE"""),"F")</f>
        <v>F</v>
      </c>
      <c r="D7" s="10" t="str">
        <f ca="1">IFERROR(__xludf.UNSUPPORTED("""COMPUTED_VALUE"""),"Polacco, Patricia")</f>
        <v>Polacco, Patricia</v>
      </c>
      <c r="E7" s="11">
        <f ca="1">IFERROR(__xludf.UNSUPPORTED("""COMPUTED_VALUE"""),9780440409366)</f>
        <v>9780440409366</v>
      </c>
    </row>
    <row r="8" spans="1:5" ht="13.2" x14ac:dyDescent="0.25">
      <c r="A8" s="9" t="str">
        <f ca="1">IFERROR(__xludf.UNSUPPORTED("""COMPUTED_VALUE"""),"5")</f>
        <v>5</v>
      </c>
      <c r="B8" s="10" t="str">
        <f ca="1">IFERROR(__xludf.UNSUPPORTED("""COMPUTED_VALUE"""),"Smoky Night")</f>
        <v>Smoky Night</v>
      </c>
      <c r="C8" s="9" t="str">
        <f ca="1">IFERROR(__xludf.UNSUPPORTED("""COMPUTED_VALUE"""),"F")</f>
        <v>F</v>
      </c>
      <c r="D8" s="10" t="str">
        <f ca="1">IFERROR(__xludf.UNSUPPORTED("""COMPUTED_VALUE"""),"Bunting, Eve")</f>
        <v>Bunting, Eve</v>
      </c>
      <c r="E8" s="11">
        <f ca="1">IFERROR(__xludf.UNSUPPORTED("""COMPUTED_VALUE"""),9780152018849)</f>
        <v>9780152018849</v>
      </c>
    </row>
    <row r="9" spans="1:5" ht="13.2" x14ac:dyDescent="0.25">
      <c r="A9" s="9" t="str">
        <f ca="1">IFERROR(__xludf.UNSUPPORTED("""COMPUTED_VALUE"""),"5")</f>
        <v>5</v>
      </c>
      <c r="B9" s="10" t="str">
        <f ca="1">IFERROR(__xludf.UNSUPPORTED("""COMPUTED_VALUE"""),"My Man Blue")</f>
        <v>My Man Blue</v>
      </c>
      <c r="C9" s="9" t="str">
        <f ca="1">IFERROR(__xludf.UNSUPPORTED("""COMPUTED_VALUE"""),"F")</f>
        <v>F</v>
      </c>
      <c r="D9" s="10" t="str">
        <f ca="1">IFERROR(__xludf.UNSUPPORTED("""COMPUTED_VALUE"""),"Grimes, Nikki")</f>
        <v>Grimes, Nikki</v>
      </c>
      <c r="E9" s="11">
        <f ca="1">IFERROR(__xludf.UNSUPPORTED("""COMPUTED_VALUE"""),9780142301975)</f>
        <v>9780142301975</v>
      </c>
    </row>
    <row r="10" spans="1:5" ht="13.2" x14ac:dyDescent="0.25">
      <c r="A10" s="9" t="str">
        <f ca="1">IFERROR(__xludf.UNSUPPORTED("""COMPUTED_VALUE"""),"5")</f>
        <v>5</v>
      </c>
      <c r="B10" s="10" t="str">
        <f ca="1">IFERROR(__xludf.UNSUPPORTED("""COMPUTED_VALUE"""),"The Crane Girl")</f>
        <v>The Crane Girl</v>
      </c>
      <c r="C10" s="9" t="str">
        <f ca="1">IFERROR(__xludf.UNSUPPORTED("""COMPUTED_VALUE"""),"F")</f>
        <v>F</v>
      </c>
      <c r="D10" s="10" t="str">
        <f ca="1">IFERROR(__xludf.UNSUPPORTED("""COMPUTED_VALUE"""),"Manley, Curtis")</f>
        <v>Manley, Curtis</v>
      </c>
      <c r="E10" s="11">
        <f ca="1">IFERROR(__xludf.UNSUPPORTED("""COMPUTED_VALUE"""),9781885008572)</f>
        <v>9781885008572</v>
      </c>
    </row>
    <row r="11" spans="1:5" ht="13.2" x14ac:dyDescent="0.25">
      <c r="A11" s="9" t="str">
        <f ca="1">IFERROR(__xludf.UNSUPPORTED("""COMPUTED_VALUE"""),"5")</f>
        <v>5</v>
      </c>
      <c r="B11" s="10" t="str">
        <f ca="1">IFERROR(__xludf.UNSUPPORTED("""COMPUTED_VALUE"""),"The Poet's Dog")</f>
        <v>The Poet's Dog</v>
      </c>
      <c r="C11" s="9" t="str">
        <f ca="1">IFERROR(__xludf.UNSUPPORTED("""COMPUTED_VALUE"""),"F")</f>
        <v>F</v>
      </c>
      <c r="D11" s="10" t="str">
        <f ca="1">IFERROR(__xludf.UNSUPPORTED("""COMPUTED_VALUE"""),"MacLachlan, Patricia")</f>
        <v>MacLachlan, Patricia</v>
      </c>
      <c r="E11" s="11">
        <f ca="1">IFERROR(__xludf.UNSUPPORTED("""COMPUTED_VALUE"""),9780062292643)</f>
        <v>9780062292643</v>
      </c>
    </row>
    <row r="12" spans="1:5" ht="13.2" x14ac:dyDescent="0.25">
      <c r="A12" s="9" t="str">
        <f ca="1">IFERROR(__xludf.UNSUPPORTED("""COMPUTED_VALUE"""),"5")</f>
        <v>5</v>
      </c>
      <c r="B12" s="10" t="str">
        <f ca="1">IFERROR(__xludf.UNSUPPORTED("""COMPUTED_VALUE"""),"Conflict Resolution")</f>
        <v>Conflict Resolution</v>
      </c>
      <c r="C12" s="9" t="str">
        <f ca="1">IFERROR(__xludf.UNSUPPORTED("""COMPUTED_VALUE"""),"")</f>
        <v/>
      </c>
      <c r="D12" s="10" t="str">
        <f ca="1">IFERROR(__xludf.UNSUPPORTED("""COMPUTED_VALUE"""),"")</f>
        <v/>
      </c>
      <c r="E12" s="11" t="str">
        <f ca="1">IFERROR(__xludf.UNSUPPORTED("""COMPUTED_VALUE"""),"")</f>
        <v/>
      </c>
    </row>
    <row r="13" spans="1:5" ht="26.4" x14ac:dyDescent="0.25">
      <c r="A13" s="9" t="str">
        <f ca="1">IFERROR(__xludf.UNSUPPORTED("""COMPUTED_VALUE"""),"5")</f>
        <v>5</v>
      </c>
      <c r="B13" s="10" t="str">
        <f ca="1">IFERROR(__xludf.UNSUPPORTED("""COMPUTED_VALUE"""),"Desmond and the Very Mean Word")</f>
        <v>Desmond and the Very Mean Word</v>
      </c>
      <c r="C13" s="9" t="str">
        <f ca="1">IFERROR(__xludf.UNSUPPORTED("""COMPUTED_VALUE"""),"F")</f>
        <v>F</v>
      </c>
      <c r="D13" s="10" t="str">
        <f ca="1">IFERROR(__xludf.UNSUPPORTED("""COMPUTED_VALUE"""),"Tutu, Archbishop Desmond &amp; Douglas Carlton Abrams")</f>
        <v>Tutu, Archbishop Desmond &amp; Douglas Carlton Abrams</v>
      </c>
      <c r="E13" s="11">
        <f ca="1">IFERROR(__xludf.UNSUPPORTED("""COMPUTED_VALUE"""),9781536213454)</f>
        <v>9781536213454</v>
      </c>
    </row>
    <row r="14" spans="1:5" ht="26.4" x14ac:dyDescent="0.25">
      <c r="A14" s="9" t="str">
        <f ca="1">IFERROR(__xludf.UNSUPPORTED("""COMPUTED_VALUE"""),"5")</f>
        <v>5</v>
      </c>
      <c r="B14" s="10" t="str">
        <f ca="1">IFERROR(__xludf.UNSUPPORTED("""COMPUTED_VALUE"""),"Thirty Minutes Over Oregon: A Japanese Pilot's World War II Story")</f>
        <v>Thirty Minutes Over Oregon: A Japanese Pilot's World War II Story</v>
      </c>
      <c r="C14" s="9" t="str">
        <f ca="1">IFERROR(__xludf.UNSUPPORTED("""COMPUTED_VALUE"""),"N")</f>
        <v>N</v>
      </c>
      <c r="D14" s="10" t="str">
        <f ca="1">IFERROR(__xludf.UNSUPPORTED("""COMPUTED_VALUE"""),"Nobleman, Marc Tyler")</f>
        <v>Nobleman, Marc Tyler</v>
      </c>
      <c r="E14" s="11">
        <f ca="1">IFERROR(__xludf.UNSUPPORTED("""COMPUTED_VALUE"""),9780544430761)</f>
        <v>9780544430761</v>
      </c>
    </row>
    <row r="15" spans="1:5" ht="13.2" x14ac:dyDescent="0.25">
      <c r="A15" s="9" t="str">
        <f ca="1">IFERROR(__xludf.UNSUPPORTED("""COMPUTED_VALUE"""),"5")</f>
        <v>5</v>
      </c>
      <c r="B15" s="10" t="str">
        <f ca="1">IFERROR(__xludf.UNSUPPORTED("""COMPUTED_VALUE"""),"Shooting at the Stars")</f>
        <v>Shooting at the Stars</v>
      </c>
      <c r="C15" s="9" t="str">
        <f ca="1">IFERROR(__xludf.UNSUPPORTED("""COMPUTED_VALUE"""),"F")</f>
        <v>F</v>
      </c>
      <c r="D15" s="10" t="str">
        <f ca="1">IFERROR(__xludf.UNSUPPORTED("""COMPUTED_VALUE"""),"Hendrix, John")</f>
        <v>Hendrix, John</v>
      </c>
      <c r="E15" s="11">
        <f ca="1">IFERROR(__xludf.UNSUPPORTED("""COMPUTED_VALUE"""),9781419711756)</f>
        <v>9781419711756</v>
      </c>
    </row>
    <row r="16" spans="1:5" ht="13.2" x14ac:dyDescent="0.25">
      <c r="A16" s="9" t="str">
        <f ca="1">IFERROR(__xludf.UNSUPPORTED("""COMPUTED_VALUE"""),"5")</f>
        <v>5</v>
      </c>
      <c r="B16" s="10" t="str">
        <f ca="1">IFERROR(__xludf.UNSUPPORTED("""COMPUTED_VALUE"""),"The Lion Who Stole My Arm")</f>
        <v>The Lion Who Stole My Arm</v>
      </c>
      <c r="C16" s="9" t="str">
        <f ca="1">IFERROR(__xludf.UNSUPPORTED("""COMPUTED_VALUE"""),"F")</f>
        <v>F</v>
      </c>
      <c r="D16" s="10" t="str">
        <f ca="1">IFERROR(__xludf.UNSUPPORTED("""COMPUTED_VALUE"""),"Davies, Nicola")</f>
        <v>Davies, Nicola</v>
      </c>
      <c r="E16" s="11">
        <f ca="1">IFERROR(__xludf.UNSUPPORTED("""COMPUTED_VALUE"""),9781536213485)</f>
        <v>9781536213485</v>
      </c>
    </row>
    <row r="17" spans="1:5" ht="13.2" x14ac:dyDescent="0.25">
      <c r="A17" s="9" t="str">
        <f ca="1">IFERROR(__xludf.UNSUPPORTED("""COMPUTED_VALUE"""),"5")</f>
        <v>5</v>
      </c>
      <c r="B17" s="10" t="str">
        <f ca="1">IFERROR(__xludf.UNSUPPORTED("""COMPUTED_VALUE"""),"Family")</f>
        <v>Family</v>
      </c>
      <c r="C17" s="9" t="str">
        <f ca="1">IFERROR(__xludf.UNSUPPORTED("""COMPUTED_VALUE"""),"")</f>
        <v/>
      </c>
      <c r="D17" s="10" t="str">
        <f ca="1">IFERROR(__xludf.UNSUPPORTED("""COMPUTED_VALUE"""),"")</f>
        <v/>
      </c>
      <c r="E17" s="11" t="str">
        <f ca="1">IFERROR(__xludf.UNSUPPORTED("""COMPUTED_VALUE"""),"")</f>
        <v/>
      </c>
    </row>
    <row r="18" spans="1:5" ht="13.2" x14ac:dyDescent="0.25">
      <c r="A18" s="9" t="str">
        <f ca="1">IFERROR(__xludf.UNSUPPORTED("""COMPUTED_VALUE"""),"5")</f>
        <v>5</v>
      </c>
      <c r="B18" s="10" t="str">
        <f ca="1">IFERROR(__xludf.UNSUPPORTED("""COMPUTED_VALUE"""),"Morning on the Lake")</f>
        <v>Morning on the Lake</v>
      </c>
      <c r="C18" s="9" t="str">
        <f ca="1">IFERROR(__xludf.UNSUPPORTED("""COMPUTED_VALUE"""),"F")</f>
        <v>F</v>
      </c>
      <c r="D18" s="10" t="str">
        <f ca="1">IFERROR(__xludf.UNSUPPORTED("""COMPUTED_VALUE"""),"Waboose, Jan Bourdeau")</f>
        <v>Waboose, Jan Bourdeau</v>
      </c>
      <c r="E18" s="11">
        <f ca="1">IFERROR(__xludf.UNSUPPORTED("""COMPUTED_VALUE"""),9781550745887)</f>
        <v>9781550745887</v>
      </c>
    </row>
    <row r="19" spans="1:5" ht="13.2" x14ac:dyDescent="0.25">
      <c r="A19" s="9" t="str">
        <f ca="1">IFERROR(__xludf.UNSUPPORTED("""COMPUTED_VALUE"""),"5")</f>
        <v>5</v>
      </c>
      <c r="B19" s="10" t="str">
        <f ca="1">IFERROR(__xludf.UNSUPPORTED("""COMPUTED_VALUE"""),"The Raft")</f>
        <v>The Raft</v>
      </c>
      <c r="C19" s="9" t="str">
        <f ca="1">IFERROR(__xludf.UNSUPPORTED("""COMPUTED_VALUE"""),"F")</f>
        <v>F</v>
      </c>
      <c r="D19" s="10" t="str">
        <f ca="1">IFERROR(__xludf.UNSUPPORTED("""COMPUTED_VALUE"""),"LaMarche, Jim")</f>
        <v>LaMarche, Jim</v>
      </c>
      <c r="E19" s="11">
        <f ca="1">IFERROR(__xludf.UNSUPPORTED("""COMPUTED_VALUE"""),9780064438568)</f>
        <v>9780064438568</v>
      </c>
    </row>
    <row r="20" spans="1:5" ht="13.2" x14ac:dyDescent="0.25">
      <c r="A20" s="9" t="str">
        <f ca="1">IFERROR(__xludf.UNSUPPORTED("""COMPUTED_VALUE"""),"5")</f>
        <v>5</v>
      </c>
      <c r="B20" s="10" t="str">
        <f ca="1">IFERROR(__xludf.UNSUPPORTED("""COMPUTED_VALUE"""),"This Is the Rope: A Story from the Great Migration")</f>
        <v>This Is the Rope: A Story from the Great Migration</v>
      </c>
      <c r="C20" s="9" t="str">
        <f ca="1">IFERROR(__xludf.UNSUPPORTED("""COMPUTED_VALUE"""),"F")</f>
        <v>F</v>
      </c>
      <c r="D20" s="10" t="str">
        <f ca="1">IFERROR(__xludf.UNSUPPORTED("""COMPUTED_VALUE"""),"Woodson, Jacqueline")</f>
        <v>Woodson, Jacqueline</v>
      </c>
      <c r="E20" s="11">
        <f ca="1">IFERROR(__xludf.UNSUPPORTED("""COMPUTED_VALUE"""),9780425288948)</f>
        <v>9780425288948</v>
      </c>
    </row>
    <row r="21" spans="1:5" ht="13.2" x14ac:dyDescent="0.25">
      <c r="A21" s="9" t="str">
        <f ca="1">IFERROR(__xludf.UNSUPPORTED("""COMPUTED_VALUE"""),"5")</f>
        <v>5</v>
      </c>
      <c r="B21" s="10" t="str">
        <f ca="1">IFERROR(__xludf.UNSUPPORTED("""COMPUTED_VALUE"""),"The Way a Door Closes")</f>
        <v>The Way a Door Closes</v>
      </c>
      <c r="C21" s="9" t="str">
        <f ca="1">IFERROR(__xludf.UNSUPPORTED("""COMPUTED_VALUE"""),"F")</f>
        <v>F</v>
      </c>
      <c r="D21" s="10" t="str">
        <f ca="1">IFERROR(__xludf.UNSUPPORTED("""COMPUTED_VALUE"""),"Smith, Hope Anita")</f>
        <v>Smith, Hope Anita</v>
      </c>
      <c r="E21" s="11">
        <f ca="1">IFERROR(__xludf.UNSUPPORTED("""COMPUTED_VALUE"""),9780312661694)</f>
        <v>9780312661694</v>
      </c>
    </row>
    <row r="22" spans="1:5" ht="13.2" x14ac:dyDescent="0.25">
      <c r="A22" s="9" t="str">
        <f ca="1">IFERROR(__xludf.UNSUPPORTED("""COMPUTED_VALUE"""),"5")</f>
        <v>5</v>
      </c>
      <c r="B22" s="10" t="str">
        <f ca="1">IFERROR(__xludf.UNSUPPORTED("""COMPUTED_VALUE"""),"Keeping the Night Watch")</f>
        <v>Keeping the Night Watch</v>
      </c>
      <c r="C22" s="9" t="str">
        <f ca="1">IFERROR(__xludf.UNSUPPORTED("""COMPUTED_VALUE"""),"F")</f>
        <v>F</v>
      </c>
      <c r="D22" s="10" t="str">
        <f ca="1">IFERROR(__xludf.UNSUPPORTED("""COMPUTED_VALUE"""),"Smith, Hope Anita")</f>
        <v>Smith, Hope Anita</v>
      </c>
      <c r="E22" s="11">
        <f ca="1">IFERROR(__xludf.UNSUPPORTED("""COMPUTED_VALUE"""),9780312659363)</f>
        <v>9780312659363</v>
      </c>
    </row>
    <row r="23" spans="1:5" ht="13.2" x14ac:dyDescent="0.25">
      <c r="A23" s="9" t="str">
        <f ca="1">IFERROR(__xludf.UNSUPPORTED("""COMPUTED_VALUE"""),"5")</f>
        <v>5</v>
      </c>
      <c r="B23" s="10" t="str">
        <f ca="1">IFERROR(__xludf.UNSUPPORTED("""COMPUTED_VALUE"""),"Author Study: Joyce Sidman")</f>
        <v>Author Study: Joyce Sidman</v>
      </c>
      <c r="C23" s="9" t="str">
        <f ca="1">IFERROR(__xludf.UNSUPPORTED("""COMPUTED_VALUE"""),"")</f>
        <v/>
      </c>
      <c r="D23" s="10" t="str">
        <f ca="1">IFERROR(__xludf.UNSUPPORTED("""COMPUTED_VALUE"""),"")</f>
        <v/>
      </c>
      <c r="E23" s="11" t="str">
        <f ca="1">IFERROR(__xludf.UNSUPPORTED("""COMPUTED_VALUE"""),"")</f>
        <v/>
      </c>
    </row>
    <row r="24" spans="1:5" ht="13.2" x14ac:dyDescent="0.25">
      <c r="A24" s="9" t="str">
        <f ca="1">IFERROR(__xludf.UNSUPPORTED("""COMPUTED_VALUE"""),"5")</f>
        <v>5</v>
      </c>
      <c r="B24" s="10" t="str">
        <f ca="1">IFERROR(__xludf.UNSUPPORTED("""COMPUTED_VALUE"""),"Song of the Water Boatman and Other Pond Poems")</f>
        <v>Song of the Water Boatman and Other Pond Poems</v>
      </c>
      <c r="C24" s="9" t="str">
        <f ca="1">IFERROR(__xludf.UNSUPPORTED("""COMPUTED_VALUE"""),"N")</f>
        <v>N</v>
      </c>
      <c r="D24" s="10" t="str">
        <f ca="1">IFERROR(__xludf.UNSUPPORTED("""COMPUTED_VALUE"""),"Sidman, Joyce")</f>
        <v>Sidman, Joyce</v>
      </c>
      <c r="E24" s="11">
        <f ca="1">IFERROR(__xludf.UNSUPPORTED("""COMPUTED_VALUE"""),9780618135479)</f>
        <v>9780618135479</v>
      </c>
    </row>
    <row r="25" spans="1:5" ht="13.2" x14ac:dyDescent="0.25">
      <c r="A25" s="9" t="str">
        <f ca="1">IFERROR(__xludf.UNSUPPORTED("""COMPUTED_VALUE"""),"5")</f>
        <v>5</v>
      </c>
      <c r="B25" s="10" t="str">
        <f ca="1">IFERROR(__xludf.UNSUPPORTED("""COMPUTED_VALUE"""),"Winter Bees and Other Poems of the Cold")</f>
        <v>Winter Bees and Other Poems of the Cold</v>
      </c>
      <c r="C25" s="9" t="str">
        <f ca="1">IFERROR(__xludf.UNSUPPORTED("""COMPUTED_VALUE"""),"N")</f>
        <v>N</v>
      </c>
      <c r="D25" s="10" t="str">
        <f ca="1">IFERROR(__xludf.UNSUPPORTED("""COMPUTED_VALUE"""),"Sidman, Joyce")</f>
        <v>Sidman, Joyce</v>
      </c>
      <c r="E25" s="11">
        <f ca="1">IFERROR(__xludf.UNSUPPORTED("""COMPUTED_VALUE"""),9780547906508)</f>
        <v>9780547906508</v>
      </c>
    </row>
    <row r="26" spans="1:5" ht="13.2" x14ac:dyDescent="0.25">
      <c r="A26" s="9" t="str">
        <f ca="1">IFERROR(__xludf.UNSUPPORTED("""COMPUTED_VALUE"""),"5")</f>
        <v>5</v>
      </c>
      <c r="B26" s="10" t="str">
        <f ca="1">IFERROR(__xludf.UNSUPPORTED("""COMPUTED_VALUE"""),"This Is Just to Say: Poems of Apology and Forgiveness")</f>
        <v>This Is Just to Say: Poems of Apology and Forgiveness</v>
      </c>
      <c r="C26" s="9" t="str">
        <f ca="1">IFERROR(__xludf.UNSUPPORTED("""COMPUTED_VALUE"""),"F")</f>
        <v>F</v>
      </c>
      <c r="D26" s="10" t="str">
        <f ca="1">IFERROR(__xludf.UNSUPPORTED("""COMPUTED_VALUE"""),"Sidman, Joyce")</f>
        <v>Sidman, Joyce</v>
      </c>
      <c r="E26" s="11">
        <f ca="1">IFERROR(__xludf.UNSUPPORTED("""COMPUTED_VALUE"""),9780544105072)</f>
        <v>9780544105072</v>
      </c>
    </row>
    <row r="27" spans="1:5" ht="13.2" x14ac:dyDescent="0.25">
      <c r="A27" s="9" t="str">
        <f ca="1">IFERROR(__xludf.UNSUPPORTED("""COMPUTED_VALUE"""),"5")</f>
        <v>5</v>
      </c>
      <c r="B27" s="10" t="str">
        <f ca="1">IFERROR(__xludf.UNSUPPORTED("""COMPUTED_VALUE"""),"Dark Emperor and Other Poems of the Night")</f>
        <v>Dark Emperor and Other Poems of the Night</v>
      </c>
      <c r="C27" s="9" t="str">
        <f ca="1">IFERROR(__xludf.UNSUPPORTED("""COMPUTED_VALUE"""),"F")</f>
        <v>F</v>
      </c>
      <c r="D27" s="10" t="str">
        <f ca="1">IFERROR(__xludf.UNSUPPORTED("""COMPUTED_VALUE"""),"Sidman, Joyce")</f>
        <v>Sidman, Joyce</v>
      </c>
      <c r="E27" s="11">
        <f ca="1">IFERROR(__xludf.UNSUPPORTED("""COMPUTED_VALUE"""),9780547152288)</f>
        <v>9780547152288</v>
      </c>
    </row>
    <row r="28" spans="1:5" ht="13.2" x14ac:dyDescent="0.25">
      <c r="A28" s="9" t="str">
        <f ca="1">IFERROR(__xludf.UNSUPPORTED("""COMPUTED_VALUE"""),"5")</f>
        <v>5</v>
      </c>
      <c r="B28" s="10" t="str">
        <f ca="1">IFERROR(__xludf.UNSUPPORTED("""COMPUTED_VALUE"""),"The Power of Knowledge")</f>
        <v>The Power of Knowledge</v>
      </c>
      <c r="C28" s="9" t="str">
        <f ca="1">IFERROR(__xludf.UNSUPPORTED("""COMPUTED_VALUE"""),"")</f>
        <v/>
      </c>
      <c r="D28" s="10" t="str">
        <f ca="1">IFERROR(__xludf.UNSUPPORTED("""COMPUTED_VALUE"""),"")</f>
        <v/>
      </c>
      <c r="E28" s="11" t="str">
        <f ca="1">IFERROR(__xludf.UNSUPPORTED("""COMPUTED_VALUE"""),"")</f>
        <v/>
      </c>
    </row>
    <row r="29" spans="1:5" ht="13.2" x14ac:dyDescent="0.25">
      <c r="A29" s="9" t="str">
        <f ca="1">IFERROR(__xludf.UNSUPPORTED("""COMPUTED_VALUE"""),"5")</f>
        <v>5</v>
      </c>
      <c r="B29" s="10" t="str">
        <f ca="1">IFERROR(__xludf.UNSUPPORTED("""COMPUTED_VALUE"""),"The Treasure Box")</f>
        <v>The Treasure Box</v>
      </c>
      <c r="C29" s="9" t="str">
        <f ca="1">IFERROR(__xludf.UNSUPPORTED("""COMPUTED_VALUE"""),"F")</f>
        <v>F</v>
      </c>
      <c r="D29" s="10" t="str">
        <f ca="1">IFERROR(__xludf.UNSUPPORTED("""COMPUTED_VALUE"""),"Wild, Margaret")</f>
        <v>Wild, Margaret</v>
      </c>
      <c r="E29" s="11">
        <f ca="1">IFERROR(__xludf.UNSUPPORTED("""COMPUTED_VALUE"""),9781536213492)</f>
        <v>9781536213492</v>
      </c>
    </row>
    <row r="30" spans="1:5" ht="26.4" x14ac:dyDescent="0.25">
      <c r="A30" s="9" t="str">
        <f ca="1">IFERROR(__xludf.UNSUPPORTED("""COMPUTED_VALUE"""),"5")</f>
        <v>5</v>
      </c>
      <c r="B30" s="10" t="str">
        <f ca="1">IFERROR(__xludf.UNSUPPORTED("""COMPUTED_VALUE"""),"Seeker of Knowledge: The Man Who Deciphered Egyptian Hieroglyphics")</f>
        <v>Seeker of Knowledge: The Man Who Deciphered Egyptian Hieroglyphics</v>
      </c>
      <c r="C30" s="9" t="str">
        <f ca="1">IFERROR(__xludf.UNSUPPORTED("""COMPUTED_VALUE"""),"N")</f>
        <v>N</v>
      </c>
      <c r="D30" s="10" t="str">
        <f ca="1">IFERROR(__xludf.UNSUPPORTED("""COMPUTED_VALUE"""),"Rumford, James")</f>
        <v>Rumford, James</v>
      </c>
      <c r="E30" s="11">
        <f ca="1">IFERROR(__xludf.UNSUPPORTED("""COMPUTED_VALUE"""),9780618333455)</f>
        <v>9780618333455</v>
      </c>
    </row>
    <row r="31" spans="1:5" ht="13.2" x14ac:dyDescent="0.25">
      <c r="A31" s="9" t="str">
        <f ca="1">IFERROR(__xludf.UNSUPPORTED("""COMPUTED_VALUE"""),"5")</f>
        <v>5</v>
      </c>
      <c r="B31" s="10" t="str">
        <f ca="1">IFERROR(__xludf.UNSUPPORTED("""COMPUTED_VALUE"""),"Richard Wright and the Library Card")</f>
        <v>Richard Wright and the Library Card</v>
      </c>
      <c r="C31" s="9" t="str">
        <f ca="1">IFERROR(__xludf.UNSUPPORTED("""COMPUTED_VALUE"""),"N")</f>
        <v>N</v>
      </c>
      <c r="D31" s="10" t="str">
        <f ca="1">IFERROR(__xludf.UNSUPPORTED("""COMPUTED_VALUE"""),"Miller, William")</f>
        <v>Miller, William</v>
      </c>
      <c r="E31" s="11">
        <f ca="1">IFERROR(__xludf.UNSUPPORTED("""COMPUTED_VALUE"""),9781880000885)</f>
        <v>9781880000885</v>
      </c>
    </row>
    <row r="32" spans="1:5" ht="13.2" x14ac:dyDescent="0.25">
      <c r="A32" s="9" t="str">
        <f ca="1">IFERROR(__xludf.UNSUPPORTED("""COMPUTED_VALUE"""),"5")</f>
        <v>5</v>
      </c>
      <c r="B32" s="10" t="str">
        <f ca="1">IFERROR(__xludf.UNSUPPORTED("""COMPUTED_VALUE"""),"Pablo Neruda: Poet of the People")</f>
        <v>Pablo Neruda: Poet of the People</v>
      </c>
      <c r="C32" s="9" t="str">
        <f ca="1">IFERROR(__xludf.UNSUPPORTED("""COMPUTED_VALUE"""),"N")</f>
        <v>N</v>
      </c>
      <c r="D32" s="10" t="str">
        <f ca="1">IFERROR(__xludf.UNSUPPORTED("""COMPUTED_VALUE"""),"Brown, Monica")</f>
        <v>Brown, Monica</v>
      </c>
      <c r="E32" s="11">
        <f ca="1">IFERROR(__xludf.UNSUPPORTED("""COMPUTED_VALUE"""),9780805091984)</f>
        <v>9780805091984</v>
      </c>
    </row>
    <row r="33" spans="1:5" ht="13.2" x14ac:dyDescent="0.25">
      <c r="A33" s="9" t="str">
        <f ca="1">IFERROR(__xludf.UNSUPPORTED("""COMPUTED_VALUE"""),"5")</f>
        <v>5</v>
      </c>
      <c r="B33" s="10" t="str">
        <f ca="1">IFERROR(__xludf.UNSUPPORTED("""COMPUTED_VALUE"""),"The Storyteller")</f>
        <v>The Storyteller</v>
      </c>
      <c r="C33" s="9" t="str">
        <f ca="1">IFERROR(__xludf.UNSUPPORTED("""COMPUTED_VALUE"""),"F")</f>
        <v>F</v>
      </c>
      <c r="D33" s="10" t="str">
        <f ca="1">IFERROR(__xludf.UNSUPPORTED("""COMPUTED_VALUE"""),"Turk, Evan")</f>
        <v>Turk, Evan</v>
      </c>
      <c r="E33" s="11">
        <f ca="1">IFERROR(__xludf.UNSUPPORTED("""COMPUTED_VALUE"""),9781481435185)</f>
        <v>9781481435185</v>
      </c>
    </row>
    <row r="34" spans="1:5" ht="13.2" x14ac:dyDescent="0.25">
      <c r="A34" s="9" t="str">
        <f ca="1">IFERROR(__xludf.UNSUPPORTED("""COMPUTED_VALUE"""),"5")</f>
        <v>5</v>
      </c>
      <c r="B34" s="10" t="str">
        <f ca="1">IFERROR(__xludf.UNSUPPORTED("""COMPUTED_VALUE"""),"Freedom")</f>
        <v>Freedom</v>
      </c>
      <c r="C34" s="9" t="str">
        <f ca="1">IFERROR(__xludf.UNSUPPORTED("""COMPUTED_VALUE"""),"")</f>
        <v/>
      </c>
      <c r="D34" s="10" t="str">
        <f ca="1">IFERROR(__xludf.UNSUPPORTED("""COMPUTED_VALUE"""),"")</f>
        <v/>
      </c>
      <c r="E34" s="11" t="str">
        <f ca="1">IFERROR(__xludf.UNSUPPORTED("""COMPUTED_VALUE"""),"")</f>
        <v/>
      </c>
    </row>
    <row r="35" spans="1:5" ht="13.2" x14ac:dyDescent="0.25">
      <c r="A35" s="9" t="str">
        <f ca="1">IFERROR(__xludf.UNSUPPORTED("""COMPUTED_VALUE"""),"5")</f>
        <v>5</v>
      </c>
      <c r="B35" s="10" t="str">
        <f ca="1">IFERROR(__xludf.UNSUPPORTED("""COMPUTED_VALUE"""),"Under the Quilt of Night")</f>
        <v>Under the Quilt of Night</v>
      </c>
      <c r="C35" s="9" t="str">
        <f ca="1">IFERROR(__xludf.UNSUPPORTED("""COMPUTED_VALUE"""),"F")</f>
        <v>F</v>
      </c>
      <c r="D35" s="10" t="str">
        <f ca="1">IFERROR(__xludf.UNSUPPORTED("""COMPUTED_VALUE"""),"Hopkinson, Deborah")</f>
        <v>Hopkinson, Deborah</v>
      </c>
      <c r="E35" s="11">
        <f ca="1">IFERROR(__xludf.UNSUPPORTED("""COMPUTED_VALUE"""),9780689877001)</f>
        <v>9780689877001</v>
      </c>
    </row>
    <row r="36" spans="1:5" ht="13.2" x14ac:dyDescent="0.25">
      <c r="A36" s="9" t="str">
        <f ca="1">IFERROR(__xludf.UNSUPPORTED("""COMPUTED_VALUE"""),"5")</f>
        <v>5</v>
      </c>
      <c r="B36" s="10" t="str">
        <f ca="1">IFERROR(__xludf.UNSUPPORTED("""COMPUTED_VALUE"""),"Marti's Song for Freedom")</f>
        <v>Marti's Song for Freedom</v>
      </c>
      <c r="C36" s="9" t="str">
        <f ca="1">IFERROR(__xludf.UNSUPPORTED("""COMPUTED_VALUE"""),"N")</f>
        <v>N</v>
      </c>
      <c r="D36" s="10" t="str">
        <f ca="1">IFERROR(__xludf.UNSUPPORTED("""COMPUTED_VALUE"""),"Otheguy, Emma")</f>
        <v>Otheguy, Emma</v>
      </c>
      <c r="E36" s="11">
        <f ca="1">IFERROR(__xludf.UNSUPPORTED("""COMPUTED_VALUE"""),9780892393756)</f>
        <v>9780892393756</v>
      </c>
    </row>
    <row r="37" spans="1:5" ht="26.4" x14ac:dyDescent="0.25">
      <c r="A37" s="9" t="str">
        <f ca="1">IFERROR(__xludf.UNSUPPORTED("""COMPUTED_VALUE"""),"5")</f>
        <v>5</v>
      </c>
      <c r="B37" s="10" t="str">
        <f ca="1">IFERROR(__xludf.UNSUPPORTED("""COMPUTED_VALUE"""),"Dia's Story Cloth: The Hmong People's Journey of Freedom")</f>
        <v>Dia's Story Cloth: The Hmong People's Journey of Freedom</v>
      </c>
      <c r="C37" s="9" t="str">
        <f ca="1">IFERROR(__xludf.UNSUPPORTED("""COMPUTED_VALUE"""),"N")</f>
        <v>N</v>
      </c>
      <c r="D37" s="10" t="str">
        <f ca="1">IFERROR(__xludf.UNSUPPORTED("""COMPUTED_VALUE"""),"Cha, Dia")</f>
        <v>Cha, Dia</v>
      </c>
      <c r="E37" s="11">
        <f ca="1">IFERROR(__xludf.UNSUPPORTED("""COMPUTED_VALUE"""),9781880000632)</f>
        <v>9781880000632</v>
      </c>
    </row>
    <row r="38" spans="1:5" ht="13.2" x14ac:dyDescent="0.25">
      <c r="A38" s="9" t="str">
        <f ca="1">IFERROR(__xludf.UNSUPPORTED("""COMPUTED_VALUE"""),"5")</f>
        <v>5</v>
      </c>
      <c r="B38" s="10" t="str">
        <f ca="1">IFERROR(__xludf.UNSUPPORTED("""COMPUTED_VALUE"""),"Wall")</f>
        <v>Wall</v>
      </c>
      <c r="C38" s="9" t="str">
        <f ca="1">IFERROR(__xludf.UNSUPPORTED("""COMPUTED_VALUE"""),"F")</f>
        <v>F</v>
      </c>
      <c r="D38" s="10" t="str">
        <f ca="1">IFERROR(__xludf.UNSUPPORTED("""COMPUTED_VALUE"""),"Cole, Tom Clohosy")</f>
        <v>Cole, Tom Clohosy</v>
      </c>
      <c r="E38" s="11">
        <f ca="1">IFERROR(__xludf.UNSUPPORTED("""COMPUTED_VALUE"""),9781536213508)</f>
        <v>9781536213508</v>
      </c>
    </row>
    <row r="39" spans="1:5" ht="13.2" x14ac:dyDescent="0.25">
      <c r="A39" s="9" t="str">
        <f ca="1">IFERROR(__xludf.UNSUPPORTED("""COMPUTED_VALUE"""),"5")</f>
        <v>5</v>
      </c>
      <c r="B39" s="10" t="str">
        <f ca="1">IFERROR(__xludf.UNSUPPORTED("""COMPUTED_VALUE"""),"The Composition")</f>
        <v>The Composition</v>
      </c>
      <c r="C39" s="9" t="str">
        <f ca="1">IFERROR(__xludf.UNSUPPORTED("""COMPUTED_VALUE"""),"F")</f>
        <v>F</v>
      </c>
      <c r="D39" s="10" t="str">
        <f ca="1">IFERROR(__xludf.UNSUPPORTED("""COMPUTED_VALUE"""),"Skármeta, Antonio")</f>
        <v>Skármeta, Antonio</v>
      </c>
      <c r="E39" s="11">
        <f ca="1">IFERROR(__xludf.UNSUPPORTED("""COMPUTED_VALUE"""),9780888995506)</f>
        <v>9780888995506</v>
      </c>
    </row>
    <row r="40" spans="1:5" ht="13.2" x14ac:dyDescent="0.25">
      <c r="A40" s="9" t="str">
        <f ca="1">IFERROR(__xludf.UNSUPPORTED("""COMPUTED_VALUE"""),"5")</f>
        <v>5</v>
      </c>
      <c r="B40" s="10" t="str">
        <f ca="1">IFERROR(__xludf.UNSUPPORTED("""COMPUTED_VALUE"""),"Exploring Literary Language")</f>
        <v>Exploring Literary Language</v>
      </c>
      <c r="C40" s="9" t="str">
        <f ca="1">IFERROR(__xludf.UNSUPPORTED("""COMPUTED_VALUE"""),"")</f>
        <v/>
      </c>
      <c r="D40" s="10" t="str">
        <f ca="1">IFERROR(__xludf.UNSUPPORTED("""COMPUTED_VALUE"""),"")</f>
        <v/>
      </c>
      <c r="E40" s="11" t="str">
        <f ca="1">IFERROR(__xludf.UNSUPPORTED("""COMPUTED_VALUE"""),"")</f>
        <v/>
      </c>
    </row>
    <row r="41" spans="1:5" ht="13.2" x14ac:dyDescent="0.25">
      <c r="A41" s="9" t="str">
        <f ca="1">IFERROR(__xludf.UNSUPPORTED("""COMPUTED_VALUE"""),"5")</f>
        <v>5</v>
      </c>
      <c r="B41" s="10" t="str">
        <f ca="1">IFERROR(__xludf.UNSUPPORTED("""COMPUTED_VALUE"""),"If You're Not from the Prairie...")</f>
        <v>If You're Not from the Prairie...</v>
      </c>
      <c r="C41" s="9" t="str">
        <f ca="1">IFERROR(__xludf.UNSUPPORTED("""COMPUTED_VALUE"""),"N")</f>
        <v>N</v>
      </c>
      <c r="D41" s="10" t="str">
        <f ca="1">IFERROR(__xludf.UNSUPPORTED("""COMPUTED_VALUE"""),"Bouchard, David")</f>
        <v>Bouchard, David</v>
      </c>
      <c r="E41" s="11">
        <f ca="1">IFERROR(__xludf.UNSUPPORTED("""COMPUTED_VALUE"""),9780689820359)</f>
        <v>9780689820359</v>
      </c>
    </row>
    <row r="42" spans="1:5" ht="13.2" x14ac:dyDescent="0.25">
      <c r="A42" s="9" t="str">
        <f ca="1">IFERROR(__xludf.UNSUPPORTED("""COMPUTED_VALUE"""),"5")</f>
        <v>5</v>
      </c>
      <c r="B42" s="10" t="str">
        <f ca="1">IFERROR(__xludf.UNSUPPORTED("""COMPUTED_VALUE"""),"The Secret Pool")</f>
        <v>The Secret Pool</v>
      </c>
      <c r="C42" s="9" t="str">
        <f ca="1">IFERROR(__xludf.UNSUPPORTED("""COMPUTED_VALUE"""),"N")</f>
        <v>N</v>
      </c>
      <c r="D42" s="10" t="str">
        <f ca="1">IFERROR(__xludf.UNSUPPORTED("""COMPUTED_VALUE"""),"Ridley, Kimberly")</f>
        <v>Ridley, Kimberly</v>
      </c>
      <c r="E42" s="11">
        <f ca="1">IFERROR(__xludf.UNSUPPORTED("""COMPUTED_VALUE"""),9780884484943)</f>
        <v>9780884484943</v>
      </c>
    </row>
    <row r="43" spans="1:5" ht="13.2" x14ac:dyDescent="0.25">
      <c r="A43" s="9" t="str">
        <f ca="1">IFERROR(__xludf.UNSUPPORTED("""COMPUTED_VALUE"""),"5")</f>
        <v>5</v>
      </c>
      <c r="B43" s="10" t="str">
        <f ca="1">IFERROR(__xludf.UNSUPPORTED("""COMPUTED_VALUE"""),"Sequoia")</f>
        <v>Sequoia</v>
      </c>
      <c r="C43" s="9" t="str">
        <f ca="1">IFERROR(__xludf.UNSUPPORTED("""COMPUTED_VALUE"""),"F")</f>
        <v>F</v>
      </c>
      <c r="D43" s="10" t="str">
        <f ca="1">IFERROR(__xludf.UNSUPPORTED("""COMPUTED_VALUE"""),"Johnston, Tony")</f>
        <v>Johnston, Tony</v>
      </c>
      <c r="E43" s="11">
        <f ca="1">IFERROR(__xludf.UNSUPPORTED("""COMPUTED_VALUE"""),9781596437272)</f>
        <v>9781596437272</v>
      </c>
    </row>
    <row r="44" spans="1:5" ht="13.2" x14ac:dyDescent="0.25">
      <c r="A44" s="9" t="str">
        <f ca="1">IFERROR(__xludf.UNSUPPORTED("""COMPUTED_VALUE"""),"5")</f>
        <v>5</v>
      </c>
      <c r="B44" s="10" t="str">
        <f ca="1">IFERROR(__xludf.UNSUPPORTED("""COMPUTED_VALUE"""),"Hoops")</f>
        <v>Hoops</v>
      </c>
      <c r="C44" s="9" t="str">
        <f ca="1">IFERROR(__xludf.UNSUPPORTED("""COMPUTED_VALUE"""),"N")</f>
        <v>N</v>
      </c>
      <c r="D44" s="10" t="str">
        <f ca="1">IFERROR(__xludf.UNSUPPORTED("""COMPUTED_VALUE"""),"Burleigh, Robert")</f>
        <v>Burleigh, Robert</v>
      </c>
      <c r="E44" s="11">
        <f ca="1">IFERROR(__xludf.UNSUPPORTED("""COMPUTED_VALUE"""),9780152163808)</f>
        <v>9780152163808</v>
      </c>
    </row>
    <row r="45" spans="1:5" ht="13.2" x14ac:dyDescent="0.25">
      <c r="A45" s="9" t="str">
        <f ca="1">IFERROR(__xludf.UNSUPPORTED("""COMPUTED_VALUE"""),"5")</f>
        <v>5</v>
      </c>
      <c r="B45" s="10" t="str">
        <f ca="1">IFERROR(__xludf.UNSUPPORTED("""COMPUTED_VALUE"""),"Grit and Perseverance")</f>
        <v>Grit and Perseverance</v>
      </c>
      <c r="C45" s="9" t="str">
        <f ca="1">IFERROR(__xludf.UNSUPPORTED("""COMPUTED_VALUE"""),"")</f>
        <v/>
      </c>
      <c r="D45" s="10" t="str">
        <f ca="1">IFERROR(__xludf.UNSUPPORTED("""COMPUTED_VALUE"""),"")</f>
        <v/>
      </c>
      <c r="E45" s="11" t="str">
        <f ca="1">IFERROR(__xludf.UNSUPPORTED("""COMPUTED_VALUE"""),"")</f>
        <v/>
      </c>
    </row>
    <row r="46" spans="1:5" ht="13.2" x14ac:dyDescent="0.25">
      <c r="A46" s="9" t="str">
        <f ca="1">IFERROR(__xludf.UNSUPPORTED("""COMPUTED_VALUE"""),"5")</f>
        <v>5</v>
      </c>
      <c r="B46" s="10" t="str">
        <f ca="1">IFERROR(__xludf.UNSUPPORTED("""COMPUTED_VALUE"""),"Brian's Winter")</f>
        <v>Brian's Winter</v>
      </c>
      <c r="C46" s="9" t="str">
        <f ca="1">IFERROR(__xludf.UNSUPPORTED("""COMPUTED_VALUE"""),"F")</f>
        <v>F</v>
      </c>
      <c r="D46" s="10" t="str">
        <f ca="1">IFERROR(__xludf.UNSUPPORTED("""COMPUTED_VALUE"""),"Paulsen, Gary")</f>
        <v>Paulsen, Gary</v>
      </c>
      <c r="E46" s="11">
        <f ca="1">IFERROR(__xludf.UNSUPPORTED("""COMPUTED_VALUE"""),9780307929587)</f>
        <v>9780307929587</v>
      </c>
    </row>
    <row r="47" spans="1:5" ht="26.4" x14ac:dyDescent="0.25">
      <c r="A47" s="9" t="str">
        <f ca="1">IFERROR(__xludf.UNSUPPORTED("""COMPUTED_VALUE"""),"5")</f>
        <v>5</v>
      </c>
      <c r="B47" s="10" t="str">
        <f ca="1">IFERROR(__xludf.UNSUPPORTED("""COMPUTED_VALUE"""),"Ada's Violin: The Story of the Recycle Orchestra of Paraguay")</f>
        <v>Ada's Violin: The Story of the Recycle Orchestra of Paraguay</v>
      </c>
      <c r="C47" s="9" t="str">
        <f ca="1">IFERROR(__xludf.UNSUPPORTED("""COMPUTED_VALUE"""),"N")</f>
        <v>N</v>
      </c>
      <c r="D47" s="10" t="str">
        <f ca="1">IFERROR(__xludf.UNSUPPORTED("""COMPUTED_VALUE"""),"Hood, Susan")</f>
        <v>Hood, Susan</v>
      </c>
      <c r="E47" s="11">
        <f ca="1">IFERROR(__xludf.UNSUPPORTED("""COMPUTED_VALUE"""),9781481430951)</f>
        <v>9781481430951</v>
      </c>
    </row>
    <row r="48" spans="1:5" ht="13.2" x14ac:dyDescent="0.25">
      <c r="A48" s="9" t="str">
        <f ca="1">IFERROR(__xludf.UNSUPPORTED("""COMPUTED_VALUE"""),"5")</f>
        <v>5</v>
      </c>
      <c r="B48" s="10" t="str">
        <f ca="1">IFERROR(__xludf.UNSUPPORTED("""COMPUTED_VALUE"""),"Nim and the War Effort")</f>
        <v>Nim and the War Effort</v>
      </c>
      <c r="C48" s="9" t="str">
        <f ca="1">IFERROR(__xludf.UNSUPPORTED("""COMPUTED_VALUE"""),"F")</f>
        <v>F</v>
      </c>
      <c r="D48" s="10" t="str">
        <f ca="1">IFERROR(__xludf.UNSUPPORTED("""COMPUTED_VALUE"""),"Lee, Milly")</f>
        <v>Lee, Milly</v>
      </c>
      <c r="E48" s="11">
        <f ca="1">IFERROR(__xludf.UNSUPPORTED("""COMPUTED_VALUE"""),9780374455064)</f>
        <v>9780374455064</v>
      </c>
    </row>
    <row r="49" spans="1:5" ht="13.2" x14ac:dyDescent="0.25">
      <c r="A49" s="9" t="str">
        <f ca="1">IFERROR(__xludf.UNSUPPORTED("""COMPUTED_VALUE"""),"5")</f>
        <v>5</v>
      </c>
      <c r="B49" s="10" t="str">
        <f ca="1">IFERROR(__xludf.UNSUPPORTED("""COMPUTED_VALUE"""),"Ira's Shakespeare Dream")</f>
        <v>Ira's Shakespeare Dream</v>
      </c>
      <c r="C49" s="9" t="str">
        <f ca="1">IFERROR(__xludf.UNSUPPORTED("""COMPUTED_VALUE"""),"N")</f>
        <v>N</v>
      </c>
      <c r="D49" s="10" t="str">
        <f ca="1">IFERROR(__xludf.UNSUPPORTED("""COMPUTED_VALUE"""),"Armand, Glenda")</f>
        <v>Armand, Glenda</v>
      </c>
      <c r="E49" s="11">
        <f ca="1">IFERROR(__xludf.UNSUPPORTED("""COMPUTED_VALUE"""),9781620141557)</f>
        <v>9781620141557</v>
      </c>
    </row>
    <row r="50" spans="1:5" ht="13.2" x14ac:dyDescent="0.25">
      <c r="A50" s="9" t="str">
        <f ca="1">IFERROR(__xludf.UNSUPPORTED("""COMPUTED_VALUE"""),"5")</f>
        <v>5</v>
      </c>
      <c r="B50" s="10" t="str">
        <f ca="1">IFERROR(__xludf.UNSUPPORTED("""COMPUTED_VALUE"""),"Rikki-Tikki-Tavi")</f>
        <v>Rikki-Tikki-Tavi</v>
      </c>
      <c r="C50" s="9" t="str">
        <f ca="1">IFERROR(__xludf.UNSUPPORTED("""COMPUTED_VALUE"""),"F")</f>
        <v>F</v>
      </c>
      <c r="D50" s="10" t="str">
        <f ca="1">IFERROR(__xludf.UNSUPPORTED("""COMPUTED_VALUE"""),"Kipling, Rudyard")</f>
        <v>Kipling, Rudyard</v>
      </c>
      <c r="E50" s="11">
        <f ca="1">IFERROR(__xludf.UNSUPPORTED("""COMPUTED_VALUE"""),9780060587857)</f>
        <v>9780060587857</v>
      </c>
    </row>
    <row r="51" spans="1:5" ht="13.2" x14ac:dyDescent="0.25">
      <c r="A51" s="9" t="str">
        <f ca="1">IFERROR(__xludf.UNSUPPORTED("""COMPUTED_VALUE"""),"5")</f>
        <v>5</v>
      </c>
      <c r="B51" s="10" t="str">
        <f ca="1">IFERROR(__xludf.UNSUPPORTED("""COMPUTED_VALUE"""),"Coraline")</f>
        <v>Coraline</v>
      </c>
      <c r="C51" s="9" t="str">
        <f ca="1">IFERROR(__xludf.UNSUPPORTED("""COMPUTED_VALUE"""),"F")</f>
        <v>F</v>
      </c>
      <c r="D51" s="10" t="str">
        <f ca="1">IFERROR(__xludf.UNSUPPORTED("""COMPUTED_VALUE"""),"Gaiman, Neil")</f>
        <v>Gaiman, Neil</v>
      </c>
      <c r="E51" s="11">
        <f ca="1">IFERROR(__xludf.UNSUPPORTED("""COMPUTED_VALUE"""),9780380807345)</f>
        <v>9780380807345</v>
      </c>
    </row>
    <row r="52" spans="1:5" ht="13.2" x14ac:dyDescent="0.25">
      <c r="A52" s="9" t="str">
        <f ca="1">IFERROR(__xludf.UNSUPPORTED("""COMPUTED_VALUE"""),"5")</f>
        <v>5</v>
      </c>
      <c r="B52" s="10" t="str">
        <f ca="1">IFERROR(__xludf.UNSUPPORTED("""COMPUTED_VALUE"""),"Hope and Resilience")</f>
        <v>Hope and Resilience</v>
      </c>
      <c r="C52" s="9" t="str">
        <f ca="1">IFERROR(__xludf.UNSUPPORTED("""COMPUTED_VALUE"""),"")</f>
        <v/>
      </c>
      <c r="D52" s="10" t="str">
        <f ca="1">IFERROR(__xludf.UNSUPPORTED("""COMPUTED_VALUE"""),"")</f>
        <v/>
      </c>
      <c r="E52" s="11" t="str">
        <f ca="1">IFERROR(__xludf.UNSUPPORTED("""COMPUTED_VALUE"""),"")</f>
        <v/>
      </c>
    </row>
    <row r="53" spans="1:5" ht="13.2" x14ac:dyDescent="0.25">
      <c r="A53" s="9" t="str">
        <f ca="1">IFERROR(__xludf.UNSUPPORTED("""COMPUTED_VALUE"""),"5")</f>
        <v>5</v>
      </c>
      <c r="B53" s="10" t="str">
        <f ca="1">IFERROR(__xludf.UNSUPPORTED("""COMPUTED_VALUE"""),"Silent Music: A Story of Baghdad")</f>
        <v>Silent Music: A Story of Baghdad</v>
      </c>
      <c r="C53" s="9" t="str">
        <f ca="1">IFERROR(__xludf.UNSUPPORTED("""COMPUTED_VALUE"""),"F")</f>
        <v>F</v>
      </c>
      <c r="D53" s="10" t="str">
        <f ca="1">IFERROR(__xludf.UNSUPPORTED("""COMPUTED_VALUE"""),"Rumford, James")</f>
        <v>Rumford, James</v>
      </c>
      <c r="E53" s="11">
        <f ca="1">IFERROR(__xludf.UNSUPPORTED("""COMPUTED_VALUE"""),9781596432765)</f>
        <v>9781596432765</v>
      </c>
    </row>
    <row r="54" spans="1:5" ht="26.4" x14ac:dyDescent="0.25">
      <c r="A54" s="9" t="str">
        <f ca="1">IFERROR(__xludf.UNSUPPORTED("""COMPUTED_VALUE"""),"5")</f>
        <v>5</v>
      </c>
      <c r="B54" s="10" t="str">
        <f ca="1">IFERROR(__xludf.UNSUPPORTED("""COMPUTED_VALUE"""),"Let the Celebrations Begin! A Story of Hope for the Liberation")</f>
        <v>Let the Celebrations Begin! A Story of Hope for the Liberation</v>
      </c>
      <c r="C54" s="9" t="str">
        <f ca="1">IFERROR(__xludf.UNSUPPORTED("""COMPUTED_VALUE"""),"F")</f>
        <v>F</v>
      </c>
      <c r="D54" s="10" t="str">
        <f ca="1">IFERROR(__xludf.UNSUPPORTED("""COMPUTED_VALUE"""),"Wild, Margaret")</f>
        <v>Wild, Margaret</v>
      </c>
      <c r="E54" s="11">
        <f ca="1">IFERROR(__xludf.UNSUPPORTED("""COMPUTED_VALUE"""),9781536213478)</f>
        <v>9781536213478</v>
      </c>
    </row>
    <row r="55" spans="1:5" ht="26.4" x14ac:dyDescent="0.25">
      <c r="A55" s="9" t="str">
        <f ca="1">IFERROR(__xludf.UNSUPPORTED("""COMPUTED_VALUE"""),"5")</f>
        <v>5</v>
      </c>
      <c r="B55" s="10" t="str">
        <f ca="1">IFERROR(__xludf.UNSUPPORTED("""COMPUTED_VALUE"""),"Sami and the Time of the Troubles")</f>
        <v>Sami and the Time of the Troubles</v>
      </c>
      <c r="C55" s="9" t="str">
        <f ca="1">IFERROR(__xludf.UNSUPPORTED("""COMPUTED_VALUE"""),"F")</f>
        <v>F</v>
      </c>
      <c r="D55" s="10" t="str">
        <f ca="1">IFERROR(__xludf.UNSUPPORTED("""COMPUTED_VALUE"""),"Heide, Florence Parry &amp; Judith Heide Gilliland")</f>
        <v>Heide, Florence Parry &amp; Judith Heide Gilliland</v>
      </c>
      <c r="E55" s="11">
        <f ca="1">IFERROR(__xludf.UNSUPPORTED("""COMPUTED_VALUE"""),9780395720851)</f>
        <v>9780395720851</v>
      </c>
    </row>
    <row r="56" spans="1:5" ht="26.4" x14ac:dyDescent="0.25">
      <c r="A56" s="9" t="str">
        <f ca="1">IFERROR(__xludf.UNSUPPORTED("""COMPUTED_VALUE"""),"5")</f>
        <v>5</v>
      </c>
      <c r="B56" s="10" t="str">
        <f ca="1">IFERROR(__xludf.UNSUPPORTED("""COMPUTED_VALUE"""),"Malala: A Brave Girl from Pakistan / Iqbal: A Brave Boy from Pakistan")</f>
        <v>Malala: A Brave Girl from Pakistan / Iqbal: A Brave Boy from Pakistan</v>
      </c>
      <c r="C56" s="9" t="str">
        <f ca="1">IFERROR(__xludf.UNSUPPORTED("""COMPUTED_VALUE"""),"N")</f>
        <v>N</v>
      </c>
      <c r="D56" s="10" t="str">
        <f ca="1">IFERROR(__xludf.UNSUPPORTED("""COMPUTED_VALUE"""),"Winter, Jeanette")</f>
        <v>Winter, Jeanette</v>
      </c>
      <c r="E56" s="11">
        <f ca="1">IFERROR(__xludf.UNSUPPORTED("""COMPUTED_VALUE"""),9781481422949)</f>
        <v>9781481422949</v>
      </c>
    </row>
    <row r="57" spans="1:5" ht="13.2" x14ac:dyDescent="0.25">
      <c r="A57" s="9" t="str">
        <f ca="1">IFERROR(__xludf.UNSUPPORTED("""COMPUTED_VALUE"""),"5")</f>
        <v>5</v>
      </c>
      <c r="B57" s="10" t="str">
        <f ca="1">IFERROR(__xludf.UNSUPPORTED("""COMPUTED_VALUE"""),"Home to Medicine Mountain")</f>
        <v>Home to Medicine Mountain</v>
      </c>
      <c r="C57" s="9" t="str">
        <f ca="1">IFERROR(__xludf.UNSUPPORTED("""COMPUTED_VALUE"""),"F")</f>
        <v>F</v>
      </c>
      <c r="D57" s="10" t="str">
        <f ca="1">IFERROR(__xludf.UNSUPPORTED("""COMPUTED_VALUE"""),"Santiago, Chiori")</f>
        <v>Santiago, Chiori</v>
      </c>
      <c r="E57" s="11">
        <f ca="1">IFERROR(__xludf.UNSUPPORTED("""COMPUTED_VALUE"""),9780892391769)</f>
        <v>9780892391769</v>
      </c>
    </row>
    <row r="58" spans="1:5" ht="13.2" x14ac:dyDescent="0.25">
      <c r="A58" s="9" t="str">
        <f ca="1">IFERROR(__xludf.UNSUPPORTED("""COMPUTED_VALUE"""),"5")</f>
        <v>5</v>
      </c>
      <c r="B58" s="10" t="str">
        <f ca="1">IFERROR(__xludf.UNSUPPORTED("""COMPUTED_VALUE"""),"Facing the Unknown")</f>
        <v>Facing the Unknown</v>
      </c>
      <c r="C58" s="9" t="str">
        <f ca="1">IFERROR(__xludf.UNSUPPORTED("""COMPUTED_VALUE"""),"")</f>
        <v/>
      </c>
      <c r="D58" s="10" t="str">
        <f ca="1">IFERROR(__xludf.UNSUPPORTED("""COMPUTED_VALUE"""),"")</f>
        <v/>
      </c>
      <c r="E58" s="11" t="str">
        <f ca="1">IFERROR(__xludf.UNSUPPORTED("""COMPUTED_VALUE"""),"")</f>
        <v/>
      </c>
    </row>
    <row r="59" spans="1:5" ht="13.2" x14ac:dyDescent="0.25">
      <c r="A59" s="9" t="str">
        <f ca="1">IFERROR(__xludf.UNSUPPORTED("""COMPUTED_VALUE"""),"5")</f>
        <v>5</v>
      </c>
      <c r="B59" s="10" t="str">
        <f ca="1">IFERROR(__xludf.UNSUPPORTED("""COMPUTED_VALUE"""),"The Village That Vanished")</f>
        <v>The Village That Vanished</v>
      </c>
      <c r="C59" s="9" t="str">
        <f ca="1">IFERROR(__xludf.UNSUPPORTED("""COMPUTED_VALUE"""),"F")</f>
        <v>F</v>
      </c>
      <c r="D59" s="10" t="str">
        <f ca="1">IFERROR(__xludf.UNSUPPORTED("""COMPUTED_VALUE"""),"Grifalconi, Ann")</f>
        <v>Grifalconi, Ann</v>
      </c>
      <c r="E59" s="11">
        <f ca="1">IFERROR(__xludf.UNSUPPORTED("""COMPUTED_VALUE"""),9780142401903)</f>
        <v>9780142401903</v>
      </c>
    </row>
    <row r="60" spans="1:5" ht="13.2" x14ac:dyDescent="0.25">
      <c r="A60" s="9" t="str">
        <f ca="1">IFERROR(__xludf.UNSUPPORTED("""COMPUTED_VALUE"""),"5")</f>
        <v>5</v>
      </c>
      <c r="B60" s="10" t="str">
        <f ca="1">IFERROR(__xludf.UNSUPPORTED("""COMPUTED_VALUE"""),"Sailing the Unknown")</f>
        <v>Sailing the Unknown</v>
      </c>
      <c r="C60" s="9" t="str">
        <f ca="1">IFERROR(__xludf.UNSUPPORTED("""COMPUTED_VALUE"""),"F")</f>
        <v>F</v>
      </c>
      <c r="D60" s="10" t="str">
        <f ca="1">IFERROR(__xludf.UNSUPPORTED("""COMPUTED_VALUE"""),"Rosen, Michael")</f>
        <v>Rosen, Michael</v>
      </c>
      <c r="E60" s="11">
        <f ca="1">IFERROR(__xludf.UNSUPPORTED("""COMPUTED_VALUE"""),9780898129762)</f>
        <v>9780898129762</v>
      </c>
    </row>
    <row r="61" spans="1:5" ht="13.2" x14ac:dyDescent="0.25">
      <c r="A61" s="9" t="str">
        <f ca="1">IFERROR(__xludf.UNSUPPORTED("""COMPUTED_VALUE"""),"5")</f>
        <v>5</v>
      </c>
      <c r="B61" s="10" t="str">
        <f ca="1">IFERROR(__xludf.UNSUPPORTED("""COMPUTED_VALUE"""),"The Lamp, the Ice, and the Boat Called Fish")</f>
        <v>The Lamp, the Ice, and the Boat Called Fish</v>
      </c>
      <c r="C61" s="9" t="str">
        <f ca="1">IFERROR(__xludf.UNSUPPORTED("""COMPUTED_VALUE"""),"F")</f>
        <v>F</v>
      </c>
      <c r="D61" s="10" t="str">
        <f ca="1">IFERROR(__xludf.UNSUPPORTED("""COMPUTED_VALUE"""),"Martin, Jacqueline Briggs")</f>
        <v>Martin, Jacqueline Briggs</v>
      </c>
      <c r="E61" s="11">
        <f ca="1">IFERROR(__xludf.UNSUPPORTED("""COMPUTED_VALUE"""),9780618548958)</f>
        <v>9780618548958</v>
      </c>
    </row>
    <row r="62" spans="1:5" ht="13.2" x14ac:dyDescent="0.25">
      <c r="A62" s="9" t="str">
        <f ca="1">IFERROR(__xludf.UNSUPPORTED("""COMPUTED_VALUE"""),"5")</f>
        <v>5</v>
      </c>
      <c r="B62" s="10" t="str">
        <f ca="1">IFERROR(__xludf.UNSUPPORTED("""COMPUTED_VALUE"""),"King of the Sky")</f>
        <v>King of the Sky</v>
      </c>
      <c r="C62" s="9" t="str">
        <f ca="1">IFERROR(__xludf.UNSUPPORTED("""COMPUTED_VALUE"""),"F")</f>
        <v>F</v>
      </c>
      <c r="D62" s="10" t="str">
        <f ca="1">IFERROR(__xludf.UNSUPPORTED("""COMPUTED_VALUE"""),"Davies, Nicola")</f>
        <v>Davies, Nicola</v>
      </c>
      <c r="E62" s="11">
        <f ca="1">IFERROR(__xludf.UNSUPPORTED("""COMPUTED_VALUE"""),9781536213461)</f>
        <v>9781536213461</v>
      </c>
    </row>
    <row r="63" spans="1:5" ht="13.2" x14ac:dyDescent="0.25">
      <c r="A63" s="9" t="str">
        <f ca="1">IFERROR(__xludf.UNSUPPORTED("""COMPUTED_VALUE"""),"5")</f>
        <v>5</v>
      </c>
      <c r="B63" s="10" t="str">
        <f ca="1">IFERROR(__xludf.UNSUPPORTED("""COMPUTED_VALUE"""),"Genre Study: Biography (Musicians)")</f>
        <v>Genre Study: Biography (Musicians)</v>
      </c>
      <c r="C63" s="9" t="str">
        <f ca="1">IFERROR(__xludf.UNSUPPORTED("""COMPUTED_VALUE"""),"")</f>
        <v/>
      </c>
      <c r="D63" s="10" t="str">
        <f ca="1">IFERROR(__xludf.UNSUPPORTED("""COMPUTED_VALUE"""),"")</f>
        <v/>
      </c>
      <c r="E63" s="11" t="str">
        <f ca="1">IFERROR(__xludf.UNSUPPORTED("""COMPUTED_VALUE"""),"")</f>
        <v/>
      </c>
    </row>
    <row r="64" spans="1:5" ht="13.2" x14ac:dyDescent="0.25">
      <c r="A64" s="9" t="str">
        <f ca="1">IFERROR(__xludf.UNSUPPORTED("""COMPUTED_VALUE"""),"5")</f>
        <v>5</v>
      </c>
      <c r="B64" s="10" t="str">
        <f ca="1">IFERROR(__xludf.UNSUPPORTED("""COMPUTED_VALUE"""),"Strange Mr. Satie: Composer of the Absurd")</f>
        <v>Strange Mr. Satie: Composer of the Absurd</v>
      </c>
      <c r="C64" s="9" t="str">
        <f ca="1">IFERROR(__xludf.UNSUPPORTED("""COMPUTED_VALUE"""),"N")</f>
        <v>N</v>
      </c>
      <c r="D64" s="10" t="str">
        <f ca="1">IFERROR(__xludf.UNSUPPORTED("""COMPUTED_VALUE"""),"Anderson, M. T.")</f>
        <v>Anderson, M. T.</v>
      </c>
      <c r="E64" s="11">
        <f ca="1">IFERROR(__xludf.UNSUPPORTED("""COMPUTED_VALUE"""),9780763687755)</f>
        <v>9780763687755</v>
      </c>
    </row>
    <row r="65" spans="1:5" ht="13.2" x14ac:dyDescent="0.25">
      <c r="A65" s="9" t="str">
        <f ca="1">IFERROR(__xludf.UNSUPPORTED("""COMPUTED_VALUE"""),"5")</f>
        <v>5</v>
      </c>
      <c r="B65" s="10" t="str">
        <f ca="1">IFERROR(__xludf.UNSUPPORTED("""COMPUTED_VALUE"""),"Esquivel! Space-Age Sound Artist")</f>
        <v>Esquivel! Space-Age Sound Artist</v>
      </c>
      <c r="C65" s="9" t="str">
        <f ca="1">IFERROR(__xludf.UNSUPPORTED("""COMPUTED_VALUE"""),"N")</f>
        <v>N</v>
      </c>
      <c r="D65" s="10" t="str">
        <f ca="1">IFERROR(__xludf.UNSUPPORTED("""COMPUTED_VALUE"""),"Wood, Susan")</f>
        <v>Wood, Susan</v>
      </c>
      <c r="E65" s="11">
        <f ca="1">IFERROR(__xludf.UNSUPPORTED("""COMPUTED_VALUE"""),9781580896733)</f>
        <v>9781580896733</v>
      </c>
    </row>
    <row r="66" spans="1:5" ht="26.4" x14ac:dyDescent="0.25">
      <c r="A66" s="9" t="str">
        <f ca="1">IFERROR(__xludf.UNSUPPORTED("""COMPUTED_VALUE"""),"5")</f>
        <v>5</v>
      </c>
      <c r="B66" s="10" t="str">
        <f ca="1">IFERROR(__xludf.UNSUPPORTED("""COMPUTED_VALUE"""),"Ella Fitzgerald: The Tale of a Vocal Virtuosa")</f>
        <v>Ella Fitzgerald: The Tale of a Vocal Virtuosa</v>
      </c>
      <c r="C66" s="9" t="str">
        <f ca="1">IFERROR(__xludf.UNSUPPORTED("""COMPUTED_VALUE"""),"N")</f>
        <v>N</v>
      </c>
      <c r="D66" s="10" t="str">
        <f ca="1">IFERROR(__xludf.UNSUPPORTED("""COMPUTED_VALUE"""),"Pinkney, Andrea Davis &amp; Brian")</f>
        <v>Pinkney, Andrea Davis &amp; Brian</v>
      </c>
      <c r="E66" s="11">
        <f ca="1">IFERROR(__xludf.UNSUPPORTED("""COMPUTED_VALUE"""),9780786814169)</f>
        <v>9780786814169</v>
      </c>
    </row>
    <row r="67" spans="1:5" ht="13.2" x14ac:dyDescent="0.25">
      <c r="A67" s="9" t="str">
        <f ca="1">IFERROR(__xludf.UNSUPPORTED("""COMPUTED_VALUE"""),"5")</f>
        <v>5</v>
      </c>
      <c r="B67" s="10" t="str">
        <f ca="1">IFERROR(__xludf.UNSUPPORTED("""COMPUTED_VALUE"""),"I and I: Bob Marley")</f>
        <v>I and I: Bob Marley</v>
      </c>
      <c r="C67" s="9" t="str">
        <f ca="1">IFERROR(__xludf.UNSUPPORTED("""COMPUTED_VALUE"""),"N")</f>
        <v>N</v>
      </c>
      <c r="D67" s="10" t="str">
        <f ca="1">IFERROR(__xludf.UNSUPPORTED("""COMPUTED_VALUE"""),"Medina, Tony")</f>
        <v>Medina, Tony</v>
      </c>
      <c r="E67" s="11">
        <f ca="1">IFERROR(__xludf.UNSUPPORTED("""COMPUTED_VALUE"""),9781620140307)</f>
        <v>9781620140307</v>
      </c>
    </row>
    <row r="68" spans="1:5" ht="13.2" x14ac:dyDescent="0.25">
      <c r="A68" s="9" t="str">
        <f ca="1">IFERROR(__xludf.UNSUPPORTED("""COMPUTED_VALUE"""),"5")</f>
        <v>5</v>
      </c>
      <c r="B68" s="10" t="str">
        <f ca="1">IFERROR(__xludf.UNSUPPORTED("""COMPUTED_VALUE"""),"The Legendary Miss Lena Horne")</f>
        <v>The Legendary Miss Lena Horne</v>
      </c>
      <c r="C68" s="9" t="str">
        <f ca="1">IFERROR(__xludf.UNSUPPORTED("""COMPUTED_VALUE"""),"N")</f>
        <v>N</v>
      </c>
      <c r="D68" s="10" t="str">
        <f ca="1">IFERROR(__xludf.UNSUPPORTED("""COMPUTED_VALUE"""),"Weatherford, Carole Boston")</f>
        <v>Weatherford, Carole Boston</v>
      </c>
      <c r="E68" s="11">
        <f ca="1">IFERROR(__xludf.UNSUPPORTED("""COMPUTED_VALUE"""),9781481468244)</f>
        <v>9781481468244</v>
      </c>
    </row>
    <row r="69" spans="1:5" ht="13.2" x14ac:dyDescent="0.25">
      <c r="A69" s="9" t="str">
        <f ca="1">IFERROR(__xludf.UNSUPPORTED("""COMPUTED_VALUE"""),"5")</f>
        <v>5</v>
      </c>
      <c r="B69" s="10" t="str">
        <f ca="1">IFERROR(__xludf.UNSUPPORTED("""COMPUTED_VALUE"""),"Achieving a Dream")</f>
        <v>Achieving a Dream</v>
      </c>
      <c r="C69" s="9" t="str">
        <f ca="1">IFERROR(__xludf.UNSUPPORTED("""COMPUTED_VALUE"""),"")</f>
        <v/>
      </c>
      <c r="D69" s="10" t="str">
        <f ca="1">IFERROR(__xludf.UNSUPPORTED("""COMPUTED_VALUE"""),"")</f>
        <v/>
      </c>
      <c r="E69" s="11" t="str">
        <f ca="1">IFERROR(__xludf.UNSUPPORTED("""COMPUTED_VALUE"""),"")</f>
        <v/>
      </c>
    </row>
    <row r="70" spans="1:5" ht="13.2" x14ac:dyDescent="0.25">
      <c r="A70" s="9" t="str">
        <f ca="1">IFERROR(__xludf.UNSUPPORTED("""COMPUTED_VALUE"""),"5")</f>
        <v>5</v>
      </c>
      <c r="B70" s="10" t="str">
        <f ca="1">IFERROR(__xludf.UNSUPPORTED("""COMPUTED_VALUE"""),"Silent Star: The Story of Deaf Major Leaguer William Hoy")</f>
        <v>Silent Star: The Story of Deaf Major Leaguer William Hoy</v>
      </c>
      <c r="C70" s="9" t="str">
        <f ca="1">IFERROR(__xludf.UNSUPPORTED("""COMPUTED_VALUE"""),"N")</f>
        <v>N</v>
      </c>
      <c r="D70" s="10" t="str">
        <f ca="1">IFERROR(__xludf.UNSUPPORTED("""COMPUTED_VALUE"""),"Wise, Bill")</f>
        <v>Wise, Bill</v>
      </c>
      <c r="E70" s="11">
        <f ca="1">IFERROR(__xludf.UNSUPPORTED("""COMPUTED_VALUE"""),9781620148082)</f>
        <v>9781620148082</v>
      </c>
    </row>
    <row r="71" spans="1:5" ht="13.2" x14ac:dyDescent="0.25">
      <c r="A71" s="9" t="str">
        <f ca="1">IFERROR(__xludf.UNSUPPORTED("""COMPUTED_VALUE"""),"5")</f>
        <v>5</v>
      </c>
      <c r="B71" s="10" t="str">
        <f ca="1">IFERROR(__xludf.UNSUPPORTED("""COMPUTED_VALUE"""),"Long-Armed Ludy and the First Women's Olympics")</f>
        <v>Long-Armed Ludy and the First Women's Olympics</v>
      </c>
      <c r="C71" s="9" t="str">
        <f ca="1">IFERROR(__xludf.UNSUPPORTED("""COMPUTED_VALUE"""),"N")</f>
        <v>N</v>
      </c>
      <c r="D71" s="10" t="str">
        <f ca="1">IFERROR(__xludf.UNSUPPORTED("""COMPUTED_VALUE"""),"Patrick, Jean L. S.")</f>
        <v>Patrick, Jean L. S.</v>
      </c>
      <c r="E71" s="11">
        <f ca="1">IFERROR(__xludf.UNSUPPORTED("""COMPUTED_VALUE"""),9781623541682)</f>
        <v>9781623541682</v>
      </c>
    </row>
    <row r="72" spans="1:5" ht="13.2" x14ac:dyDescent="0.25">
      <c r="A72" s="9" t="str">
        <f ca="1">IFERROR(__xludf.UNSUPPORTED("""COMPUTED_VALUE"""),"5")</f>
        <v>5</v>
      </c>
      <c r="B72" s="10" t="str">
        <f ca="1">IFERROR(__xludf.UNSUPPORTED("""COMPUTED_VALUE"""),"Surfer of the Century")</f>
        <v>Surfer of the Century</v>
      </c>
      <c r="C72" s="9" t="str">
        <f ca="1">IFERROR(__xludf.UNSUPPORTED("""COMPUTED_VALUE"""),"N")</f>
        <v>N</v>
      </c>
      <c r="D72" s="10" t="str">
        <f ca="1">IFERROR(__xludf.UNSUPPORTED("""COMPUTED_VALUE"""),"Crowe, Ellie")</f>
        <v>Crowe, Ellie</v>
      </c>
      <c r="E72" s="11">
        <f ca="1">IFERROR(__xludf.UNSUPPORTED("""COMPUTED_VALUE"""),9781600604614)</f>
        <v>9781600604614</v>
      </c>
    </row>
    <row r="73" spans="1:5" ht="13.2" x14ac:dyDescent="0.25">
      <c r="A73" s="9" t="str">
        <f ca="1">IFERROR(__xludf.UNSUPPORTED("""COMPUTED_VALUE"""),"5")</f>
        <v>5</v>
      </c>
      <c r="B73" s="10" t="str">
        <f ca="1">IFERROR(__xludf.UNSUPPORTED("""COMPUTED_VALUE"""),"Sixteen Years in Sixteen Seconds: The Sammy Lee Story")</f>
        <v>Sixteen Years in Sixteen Seconds: The Sammy Lee Story</v>
      </c>
      <c r="C73" s="9" t="str">
        <f ca="1">IFERROR(__xludf.UNSUPPORTED("""COMPUTED_VALUE"""),"N")</f>
        <v>N</v>
      </c>
      <c r="D73" s="10" t="str">
        <f ca="1">IFERROR(__xludf.UNSUPPORTED("""COMPUTED_VALUE"""),"Yoo, Paula")</f>
        <v>Yoo, Paula</v>
      </c>
      <c r="E73" s="11">
        <f ca="1">IFERROR(__xludf.UNSUPPORTED("""COMPUTED_VALUE"""),9781600604539)</f>
        <v>9781600604539</v>
      </c>
    </row>
    <row r="74" spans="1:5" ht="26.4" x14ac:dyDescent="0.25">
      <c r="A74" s="9" t="str">
        <f ca="1">IFERROR(__xludf.UNSUPPORTED("""COMPUTED_VALUE"""),"5")</f>
        <v>5</v>
      </c>
      <c r="B74" s="10" t="str">
        <f ca="1">IFERROR(__xludf.UNSUPPORTED("""COMPUTED_VALUE"""),"Tallchief: America's Prima Ballerina")</f>
        <v>Tallchief: America's Prima Ballerina</v>
      </c>
      <c r="C74" s="9" t="str">
        <f ca="1">IFERROR(__xludf.UNSUPPORTED("""COMPUTED_VALUE"""),"N")</f>
        <v>N</v>
      </c>
      <c r="D74" s="10" t="str">
        <f ca="1">IFERROR(__xludf.UNSUPPORTED("""COMPUTED_VALUE"""),"Tallchief, Maria with Rosemary Wells")</f>
        <v>Tallchief, Maria with Rosemary Wells</v>
      </c>
      <c r="E74" s="11">
        <f ca="1">IFERROR(__xludf.UNSUPPORTED("""COMPUTED_VALUE"""),9780142300183)</f>
        <v>9780142300183</v>
      </c>
    </row>
    <row r="75" spans="1:5" ht="13.2" x14ac:dyDescent="0.25">
      <c r="A75" s="9" t="str">
        <f ca="1">IFERROR(__xludf.UNSUPPORTED("""COMPUTED_VALUE"""),"5")</f>
        <v>5</v>
      </c>
      <c r="B75" s="10" t="str">
        <f ca="1">IFERROR(__xludf.UNSUPPORTED("""COMPUTED_VALUE"""),"Author/Illustrator Study: Ted and Betsy Lewin")</f>
        <v>Author/Illustrator Study: Ted and Betsy Lewin</v>
      </c>
      <c r="C75" s="9" t="str">
        <f ca="1">IFERROR(__xludf.UNSUPPORTED("""COMPUTED_VALUE"""),"")</f>
        <v/>
      </c>
      <c r="D75" s="10" t="str">
        <f ca="1">IFERROR(__xludf.UNSUPPORTED("""COMPUTED_VALUE"""),"")</f>
        <v/>
      </c>
      <c r="E75" s="11" t="str">
        <f ca="1">IFERROR(__xludf.UNSUPPORTED("""COMPUTED_VALUE"""),"")</f>
        <v/>
      </c>
    </row>
    <row r="76" spans="1:5" ht="13.2" x14ac:dyDescent="0.25">
      <c r="A76" s="9" t="str">
        <f ca="1">IFERROR(__xludf.UNSUPPORTED("""COMPUTED_VALUE"""),"5")</f>
        <v>5</v>
      </c>
      <c r="B76" s="10" t="str">
        <f ca="1">IFERROR(__xludf.UNSUPPORTED("""COMPUTED_VALUE"""),"Top to Bottom Down Under")</f>
        <v>Top to Bottom Down Under</v>
      </c>
      <c r="C76" s="9" t="str">
        <f ca="1">IFERROR(__xludf.UNSUPPORTED("""COMPUTED_VALUE"""),"N")</f>
        <v>N</v>
      </c>
      <c r="D76" s="10" t="str">
        <f ca="1">IFERROR(__xludf.UNSUPPORTED("""COMPUTED_VALUE"""),"Lewin, Ted &amp; Betsy")</f>
        <v>Lewin, Ted &amp; Betsy</v>
      </c>
      <c r="E76" s="11">
        <f ca="1">IFERROR(__xludf.UNSUPPORTED("""COMPUTED_VALUE"""),9781620141847)</f>
        <v>9781620141847</v>
      </c>
    </row>
    <row r="77" spans="1:5" ht="13.2" x14ac:dyDescent="0.25">
      <c r="A77" s="9" t="str">
        <f ca="1">IFERROR(__xludf.UNSUPPORTED("""COMPUTED_VALUE"""),"5")</f>
        <v>5</v>
      </c>
      <c r="B77" s="10" t="str">
        <f ca="1">IFERROR(__xludf.UNSUPPORTED("""COMPUTED_VALUE"""),"Horse Song: The Naadam of Mangolia")</f>
        <v>Horse Song: The Naadam of Mangolia</v>
      </c>
      <c r="C77" s="9" t="str">
        <f ca="1">IFERROR(__xludf.UNSUPPORTED("""COMPUTED_VALUE"""),"N")</f>
        <v>N</v>
      </c>
      <c r="D77" s="10" t="str">
        <f ca="1">IFERROR(__xludf.UNSUPPORTED("""COMPUTED_VALUE"""),"Lewin, Ted &amp; Betsy")</f>
        <v>Lewin, Ted &amp; Betsy</v>
      </c>
      <c r="E77" s="11">
        <f ca="1">IFERROR(__xludf.UNSUPPORTED("""COMPUTED_VALUE"""),9781620141854)</f>
        <v>9781620141854</v>
      </c>
    </row>
    <row r="78" spans="1:5" ht="13.2" x14ac:dyDescent="0.25">
      <c r="A78" s="9" t="str">
        <f ca="1">IFERROR(__xludf.UNSUPPORTED("""COMPUTED_VALUE"""),"5")</f>
        <v>5</v>
      </c>
      <c r="B78" s="10" t="str">
        <f ca="1">IFERROR(__xludf.UNSUPPORTED("""COMPUTED_VALUE"""),"Elephant Quest")</f>
        <v>Elephant Quest</v>
      </c>
      <c r="C78" s="9" t="str">
        <f ca="1">IFERROR(__xludf.UNSUPPORTED("""COMPUTED_VALUE"""),"N")</f>
        <v>N</v>
      </c>
      <c r="D78" s="10" t="str">
        <f ca="1">IFERROR(__xludf.UNSUPPORTED("""COMPUTED_VALUE"""),"Lewin, Ted &amp; Betsy")</f>
        <v>Lewin, Ted &amp; Betsy</v>
      </c>
      <c r="E78" s="11">
        <f ca="1">IFERROR(__xludf.UNSUPPORTED("""COMPUTED_VALUE"""),9781620141830)</f>
        <v>9781620141830</v>
      </c>
    </row>
    <row r="79" spans="1:5" ht="13.2" x14ac:dyDescent="0.25">
      <c r="A79" s="9" t="str">
        <f ca="1">IFERROR(__xludf.UNSUPPORTED("""COMPUTED_VALUE"""),"5")</f>
        <v>5</v>
      </c>
      <c r="B79" s="10" t="str">
        <f ca="1">IFERROR(__xludf.UNSUPPORTED("""COMPUTED_VALUE"""),"Balarama: A Royal Elephant")</f>
        <v>Balarama: A Royal Elephant</v>
      </c>
      <c r="C79" s="9" t="str">
        <f ca="1">IFERROR(__xludf.UNSUPPORTED("""COMPUTED_VALUE"""),"N")</f>
        <v>N</v>
      </c>
      <c r="D79" s="10" t="str">
        <f ca="1">IFERROR(__xludf.UNSUPPORTED("""COMPUTED_VALUE"""),"Lewin, Ted &amp; Betsy")</f>
        <v>Lewin, Ted &amp; Betsy</v>
      </c>
      <c r="E79" s="11">
        <f ca="1">IFERROR(__xludf.UNSUPPORTED("""COMPUTED_VALUE"""),9781620141861)</f>
        <v>9781620141861</v>
      </c>
    </row>
    <row r="80" spans="1:5" ht="13.2" x14ac:dyDescent="0.25">
      <c r="A80" s="9" t="str">
        <f ca="1">IFERROR(__xludf.UNSUPPORTED("""COMPUTED_VALUE"""),"5")</f>
        <v>5</v>
      </c>
      <c r="B80" s="10" t="str">
        <f ca="1">IFERROR(__xludf.UNSUPPORTED("""COMPUTED_VALUE"""),"Gorilla Walk")</f>
        <v>Gorilla Walk</v>
      </c>
      <c r="C80" s="9" t="str">
        <f ca="1">IFERROR(__xludf.UNSUPPORTED("""COMPUTED_VALUE"""),"N")</f>
        <v>N</v>
      </c>
      <c r="D80" s="10" t="str">
        <f ca="1">IFERROR(__xludf.UNSUPPORTED("""COMPUTED_VALUE"""),"Lewin, Ted &amp; Betsy")</f>
        <v>Lewin, Ted &amp; Betsy</v>
      </c>
      <c r="E80" s="11">
        <f ca="1">IFERROR(__xludf.UNSUPPORTED("""COMPUTED_VALUE"""),9781620141823)</f>
        <v>9781620141823</v>
      </c>
    </row>
    <row r="81" spans="1:5" ht="13.2" x14ac:dyDescent="0.25">
      <c r="A81" s="9" t="str">
        <f ca="1">IFERROR(__xludf.UNSUPPORTED("""COMPUTED_VALUE"""),"5")</f>
        <v>5</v>
      </c>
      <c r="B81" s="10" t="str">
        <f ca="1">IFERROR(__xludf.UNSUPPORTED("""COMPUTED_VALUE"""),"Genre Study: Expository Nonfiction")</f>
        <v>Genre Study: Expository Nonfiction</v>
      </c>
      <c r="C81" s="9" t="str">
        <f ca="1">IFERROR(__xludf.UNSUPPORTED("""COMPUTED_VALUE"""),"")</f>
        <v/>
      </c>
      <c r="D81" s="10" t="str">
        <f ca="1">IFERROR(__xludf.UNSUPPORTED("""COMPUTED_VALUE"""),"")</f>
        <v/>
      </c>
      <c r="E81" s="11" t="str">
        <f ca="1">IFERROR(__xludf.UNSUPPORTED("""COMPUTED_VALUE"""),"")</f>
        <v/>
      </c>
    </row>
    <row r="82" spans="1:5" ht="13.2" x14ac:dyDescent="0.25">
      <c r="A82" s="9" t="str">
        <f ca="1">IFERROR(__xludf.UNSUPPORTED("""COMPUTED_VALUE"""),"5")</f>
        <v>5</v>
      </c>
      <c r="B82" s="10" t="str">
        <f ca="1">IFERROR(__xludf.UNSUPPORTED("""COMPUTED_VALUE"""),"Birds: Nature's Magnificent Flying Machines")</f>
        <v>Birds: Nature's Magnificent Flying Machines</v>
      </c>
      <c r="C82" s="9" t="str">
        <f ca="1">IFERROR(__xludf.UNSUPPORTED("""COMPUTED_VALUE"""),"N")</f>
        <v>N</v>
      </c>
      <c r="D82" s="10" t="str">
        <f ca="1">IFERROR(__xludf.UNSUPPORTED("""COMPUTED_VALUE"""),"Arnold, Caroline")</f>
        <v>Arnold, Caroline</v>
      </c>
      <c r="E82" s="11">
        <f ca="1">IFERROR(__xludf.UNSUPPORTED("""COMPUTED_VALUE"""),9781570915727)</f>
        <v>9781570915727</v>
      </c>
    </row>
    <row r="83" spans="1:5" ht="26.4" x14ac:dyDescent="0.25">
      <c r="A83" s="9" t="str">
        <f ca="1">IFERROR(__xludf.UNSUPPORTED("""COMPUTED_VALUE"""),"5")</f>
        <v>5</v>
      </c>
      <c r="B83" s="10" t="str">
        <f ca="1">IFERROR(__xludf.UNSUPPORTED("""COMPUTED_VALUE"""),"Giant Squid: Searching for a Sea Monster")</f>
        <v>Giant Squid: Searching for a Sea Monster</v>
      </c>
      <c r="C83" s="9" t="str">
        <f ca="1">IFERROR(__xludf.UNSUPPORTED("""COMPUTED_VALUE"""),"N")</f>
        <v>N</v>
      </c>
      <c r="D83" s="10" t="str">
        <f ca="1">IFERROR(__xludf.UNSUPPORTED("""COMPUTED_VALUE"""),"Cerullo, Mary &amp; Clyde F. E. Roper")</f>
        <v>Cerullo, Mary &amp; Clyde F. E. Roper</v>
      </c>
      <c r="E83" s="11">
        <f ca="1">IFERROR(__xludf.UNSUPPORTED("""COMPUTED_VALUE"""),9781429680233)</f>
        <v>9781429680233</v>
      </c>
    </row>
    <row r="84" spans="1:5" ht="13.2" x14ac:dyDescent="0.25">
      <c r="A84" s="9" t="str">
        <f ca="1">IFERROR(__xludf.UNSUPPORTED("""COMPUTED_VALUE"""),"5")</f>
        <v>5</v>
      </c>
      <c r="B84" s="10" t="str">
        <f ca="1">IFERROR(__xludf.UNSUPPORTED("""COMPUTED_VALUE"""),"The Cod's Tale")</f>
        <v>The Cod's Tale</v>
      </c>
      <c r="C84" s="9" t="str">
        <f ca="1">IFERROR(__xludf.UNSUPPORTED("""COMPUTED_VALUE"""),"N")</f>
        <v>N</v>
      </c>
      <c r="D84" s="10" t="str">
        <f ca="1">IFERROR(__xludf.UNSUPPORTED("""COMPUTED_VALUE"""),"Kurlansky, Mark")</f>
        <v>Kurlansky, Mark</v>
      </c>
      <c r="E84" s="11">
        <f ca="1">IFERROR(__xludf.UNSUPPORTED("""COMPUTED_VALUE"""),9780147512772)</f>
        <v>9780147512772</v>
      </c>
    </row>
    <row r="85" spans="1:5" ht="13.2" x14ac:dyDescent="0.25">
      <c r="A85" s="9" t="str">
        <f ca="1">IFERROR(__xludf.UNSUPPORTED("""COMPUTED_VALUE"""),"5")</f>
        <v>5</v>
      </c>
      <c r="B85" s="10" t="str">
        <f ca="1">IFERROR(__xludf.UNSUPPORTED("""COMPUTED_VALUE"""),"The Story of Salt")</f>
        <v>The Story of Salt</v>
      </c>
      <c r="C85" s="9" t="str">
        <f ca="1">IFERROR(__xludf.UNSUPPORTED("""COMPUTED_VALUE"""),"N")</f>
        <v>N</v>
      </c>
      <c r="D85" s="10" t="str">
        <f ca="1">IFERROR(__xludf.UNSUPPORTED("""COMPUTED_VALUE"""),"Kurlansky, Mark")</f>
        <v>Kurlansky, Mark</v>
      </c>
      <c r="E85" s="11">
        <f ca="1">IFERROR(__xludf.UNSUPPORTED("""COMPUTED_VALUE"""),9780147511669)</f>
        <v>9780147511669</v>
      </c>
    </row>
    <row r="86" spans="1:5" ht="26.4" x14ac:dyDescent="0.25">
      <c r="A86" s="9" t="str">
        <f ca="1">IFERROR(__xludf.UNSUPPORTED("""COMPUTED_VALUE"""),"5")</f>
        <v>5</v>
      </c>
      <c r="B86" s="10" t="str">
        <f ca="1">IFERROR(__xludf.UNSUPPORTED("""COMPUTED_VALUE"""),"Team Moon: How 400,000 People Landed Appollo 11 on the Moon")</f>
        <v>Team Moon: How 400,000 People Landed Appollo 11 on the Moon</v>
      </c>
      <c r="C86" s="9" t="str">
        <f ca="1">IFERROR(__xludf.UNSUPPORTED("""COMPUTED_VALUE"""),"N")</f>
        <v>N</v>
      </c>
      <c r="D86" s="10" t="str">
        <f ca="1">IFERROR(__xludf.UNSUPPORTED("""COMPUTED_VALUE"""),"Thimmesh, Catherine")</f>
        <v>Thimmesh, Catherine</v>
      </c>
      <c r="E86" s="11">
        <f ca="1">IFERROR(__xludf.UNSUPPORTED("""COMPUTED_VALUE"""),9780544582392)</f>
        <v>9780544582392</v>
      </c>
    </row>
    <row r="87" spans="1:5" ht="13.2" x14ac:dyDescent="0.25">
      <c r="A87" s="9" t="str">
        <f ca="1">IFERROR(__xludf.UNSUPPORTED("""COMPUTED_VALUE"""),"5")</f>
        <v>5</v>
      </c>
      <c r="B87" s="10" t="str">
        <f ca="1">IFERROR(__xludf.UNSUPPORTED("""COMPUTED_VALUE"""),"Caring for Our World")</f>
        <v>Caring for Our World</v>
      </c>
      <c r="C87" s="9" t="str">
        <f ca="1">IFERROR(__xludf.UNSUPPORTED("""COMPUTED_VALUE"""),"")</f>
        <v/>
      </c>
      <c r="D87" s="10" t="str">
        <f ca="1">IFERROR(__xludf.UNSUPPORTED("""COMPUTED_VALUE"""),"")</f>
        <v/>
      </c>
      <c r="E87" s="11" t="str">
        <f ca="1">IFERROR(__xludf.UNSUPPORTED("""COMPUTED_VALUE"""),"")</f>
        <v/>
      </c>
    </row>
    <row r="88" spans="1:5" ht="13.2" x14ac:dyDescent="0.25">
      <c r="A88" s="9" t="str">
        <f ca="1">IFERROR(__xludf.UNSUPPORTED("""COMPUTED_VALUE"""),"5")</f>
        <v>5</v>
      </c>
      <c r="B88" s="10" t="str">
        <f ca="1">IFERROR(__xludf.UNSUPPORTED("""COMPUTED_VALUE"""),"Can We Save the Tiger?")</f>
        <v>Can We Save the Tiger?</v>
      </c>
      <c r="C88" s="9" t="str">
        <f ca="1">IFERROR(__xludf.UNSUPPORTED("""COMPUTED_VALUE"""),"N")</f>
        <v>N</v>
      </c>
      <c r="D88" s="10" t="str">
        <f ca="1">IFERROR(__xludf.UNSUPPORTED("""COMPUTED_VALUE"""),"Jenkins, Martin")</f>
        <v>Jenkins, Martin</v>
      </c>
      <c r="E88" s="11">
        <f ca="1">IFERROR(__xludf.UNSUPPORTED("""COMPUTED_VALUE"""),9780763673789)</f>
        <v>9780763673789</v>
      </c>
    </row>
    <row r="89" spans="1:5" ht="13.2" x14ac:dyDescent="0.25">
      <c r="A89" s="9" t="str">
        <f ca="1">IFERROR(__xludf.UNSUPPORTED("""COMPUTED_VALUE"""),"5")</f>
        <v>5</v>
      </c>
      <c r="B89" s="10" t="str">
        <f ca="1">IFERROR(__xludf.UNSUPPORTED("""COMPUTED_VALUE"""),"One Well: The Story of Water on Earth")</f>
        <v>One Well: The Story of Water on Earth</v>
      </c>
      <c r="C89" s="9" t="str">
        <f ca="1">IFERROR(__xludf.UNSUPPORTED("""COMPUTED_VALUE"""),"N")</f>
        <v>N</v>
      </c>
      <c r="D89" s="10" t="str">
        <f ca="1">IFERROR(__xludf.UNSUPPORTED("""COMPUTED_VALUE"""),"Strauss, Rochelle")</f>
        <v>Strauss, Rochelle</v>
      </c>
      <c r="E89" s="11">
        <f ca="1">IFERROR(__xludf.UNSUPPORTED("""COMPUTED_VALUE"""),9781553379546)</f>
        <v>9781553379546</v>
      </c>
    </row>
    <row r="90" spans="1:5" ht="26.4" x14ac:dyDescent="0.25">
      <c r="A90" s="9" t="str">
        <f ca="1">IFERROR(__xludf.UNSUPPORTED("""COMPUTED_VALUE"""),"5")</f>
        <v>5</v>
      </c>
      <c r="B90" s="10" t="str">
        <f ca="1">IFERROR(__xludf.UNSUPPORTED("""COMPUTED_VALUE"""),"Cycle of Rice, Cycle of Life: A Story of Sustainable Farming")</f>
        <v>Cycle of Rice, Cycle of Life: A Story of Sustainable Farming</v>
      </c>
      <c r="C90" s="9" t="str">
        <f ca="1">IFERROR(__xludf.UNSUPPORTED("""COMPUTED_VALUE"""),"N")</f>
        <v>N</v>
      </c>
      <c r="D90" s="10" t="str">
        <f ca="1">IFERROR(__xludf.UNSUPPORTED("""COMPUTED_VALUE"""),"Reynolds, Jan")</f>
        <v>Reynolds, Jan</v>
      </c>
      <c r="E90" s="11">
        <f ca="1">IFERROR(__xludf.UNSUPPORTED("""COMPUTED_VALUE"""),9781620140789)</f>
        <v>9781620140789</v>
      </c>
    </row>
    <row r="91" spans="1:5" ht="13.2" x14ac:dyDescent="0.25">
      <c r="A91" s="9" t="str">
        <f ca="1">IFERROR(__xludf.UNSUPPORTED("""COMPUTED_VALUE"""),"5")</f>
        <v>5</v>
      </c>
      <c r="B91" s="10" t="str">
        <f ca="1">IFERROR(__xludf.UNSUPPORTED("""COMPUTED_VALUE"""),"Alejandro's Gift")</f>
        <v>Alejandro's Gift</v>
      </c>
      <c r="C91" s="9" t="str">
        <f ca="1">IFERROR(__xludf.UNSUPPORTED("""COMPUTED_VALUE"""),"F")</f>
        <v>F</v>
      </c>
      <c r="D91" s="10" t="str">
        <f ca="1">IFERROR(__xludf.UNSUPPORTED("""COMPUTED_VALUE"""),"Albert, Richard E.")</f>
        <v>Albert, Richard E.</v>
      </c>
      <c r="E91" s="11">
        <f ca="1">IFERROR(__xludf.UNSUPPORTED("""COMPUTED_VALUE"""),9780811813426)</f>
        <v>9780811813426</v>
      </c>
    </row>
    <row r="92" spans="1:5" ht="13.2" x14ac:dyDescent="0.25">
      <c r="A92" s="9" t="str">
        <f ca="1">IFERROR(__xludf.UNSUPPORTED("""COMPUTED_VALUE"""),"5")</f>
        <v>5</v>
      </c>
      <c r="B92" s="10" t="str">
        <f ca="1">IFERROR(__xludf.UNSUPPORTED("""COMPUTED_VALUE"""),"Rachel Carson and Her Book That Changed the World")</f>
        <v>Rachel Carson and Her Book That Changed the World</v>
      </c>
      <c r="C92" s="9" t="str">
        <f ca="1">IFERROR(__xludf.UNSUPPORTED("""COMPUTED_VALUE"""),"N")</f>
        <v>N</v>
      </c>
      <c r="D92" s="10" t="str">
        <f ca="1">IFERROR(__xludf.UNSUPPORTED("""COMPUTED_VALUE"""),"Lawlor, Laurie")</f>
        <v>Lawlor, Laurie</v>
      </c>
      <c r="E92" s="11">
        <f ca="1">IFERROR(__xludf.UNSUPPORTED("""COMPUTED_VALUE"""),9780823431939)</f>
        <v>9780823431939</v>
      </c>
    </row>
    <row r="93" spans="1:5" ht="13.2" x14ac:dyDescent="0.25">
      <c r="A93" s="9" t="str">
        <f ca="1">IFERROR(__xludf.UNSUPPORTED("""COMPUTED_VALUE"""),"5")</f>
        <v>5</v>
      </c>
      <c r="B93" s="10" t="str">
        <f ca="1">IFERROR(__xludf.UNSUPPORTED("""COMPUTED_VALUE"""),"Understanding How Things Work")</f>
        <v>Understanding How Things Work</v>
      </c>
      <c r="C93" s="9" t="str">
        <f ca="1">IFERROR(__xludf.UNSUPPORTED("""COMPUTED_VALUE"""),"")</f>
        <v/>
      </c>
      <c r="D93" s="10" t="str">
        <f ca="1">IFERROR(__xludf.UNSUPPORTED("""COMPUTED_VALUE"""),"")</f>
        <v/>
      </c>
      <c r="E93" s="11" t="str">
        <f ca="1">IFERROR(__xludf.UNSUPPORTED("""COMPUTED_VALUE"""),"")</f>
        <v/>
      </c>
    </row>
    <row r="94" spans="1:5" ht="13.2" x14ac:dyDescent="0.25">
      <c r="A94" s="9" t="str">
        <f ca="1">IFERROR(__xludf.UNSUPPORTED("""COMPUTED_VALUE"""),"5")</f>
        <v>5</v>
      </c>
      <c r="B94" s="10" t="str">
        <f ca="1">IFERROR(__xludf.UNSUPPORTED("""COMPUTED_VALUE"""),"Ticktock Banneker's Clock")</f>
        <v>Ticktock Banneker's Clock</v>
      </c>
      <c r="C94" s="9" t="str">
        <f ca="1">IFERROR(__xludf.UNSUPPORTED("""COMPUTED_VALUE"""),"N")</f>
        <v>N</v>
      </c>
      <c r="D94" s="10" t="str">
        <f ca="1">IFERROR(__xludf.UNSUPPORTED("""COMPUTED_VALUE"""),"Keller, Shana")</f>
        <v>Keller, Shana</v>
      </c>
      <c r="E94" s="11">
        <f ca="1">IFERROR(__xludf.UNSUPPORTED("""COMPUTED_VALUE"""),9781585369560)</f>
        <v>9781585369560</v>
      </c>
    </row>
    <row r="95" spans="1:5" ht="13.2" x14ac:dyDescent="0.25">
      <c r="A95" s="9" t="str">
        <f ca="1">IFERROR(__xludf.UNSUPPORTED("""COMPUTED_VALUE"""),"5")</f>
        <v>5</v>
      </c>
      <c r="B95" s="10" t="str">
        <f ca="1">IFERROR(__xludf.UNSUPPORTED("""COMPUTED_VALUE"""),"Mr. Ferris and His Wheel")</f>
        <v>Mr. Ferris and His Wheel</v>
      </c>
      <c r="C95" s="9" t="str">
        <f ca="1">IFERROR(__xludf.UNSUPPORTED("""COMPUTED_VALUE"""),"N")</f>
        <v>N</v>
      </c>
      <c r="D95" s="10" t="str">
        <f ca="1">IFERROR(__xludf.UNSUPPORTED("""COMPUTED_VALUE"""),"Davis, Kathryn Gibbs")</f>
        <v>Davis, Kathryn Gibbs</v>
      </c>
      <c r="E95" s="11">
        <f ca="1">IFERROR(__xludf.UNSUPPORTED("""COMPUTED_VALUE"""),9780547959221)</f>
        <v>9780547959221</v>
      </c>
    </row>
    <row r="96" spans="1:5" ht="13.2" x14ac:dyDescent="0.25">
      <c r="A96" s="9" t="str">
        <f ca="1">IFERROR(__xludf.UNSUPPORTED("""COMPUTED_VALUE"""),"5")</f>
        <v>5</v>
      </c>
      <c r="B96" s="10" t="str">
        <f ca="1">IFERROR(__xludf.UNSUPPORTED("""COMPUTED_VALUE"""),"Balloons Over Broadway")</f>
        <v>Balloons Over Broadway</v>
      </c>
      <c r="C96" s="9" t="str">
        <f ca="1">IFERROR(__xludf.UNSUPPORTED("""COMPUTED_VALUE"""),"N")</f>
        <v>N</v>
      </c>
      <c r="D96" s="10" t="str">
        <f ca="1">IFERROR(__xludf.UNSUPPORTED("""COMPUTED_VALUE"""),"Sweet, Melissa")</f>
        <v>Sweet, Melissa</v>
      </c>
      <c r="E96" s="11">
        <f ca="1">IFERROR(__xludf.UNSUPPORTED("""COMPUTED_VALUE"""),9780547199450)</f>
        <v>9780547199450</v>
      </c>
    </row>
    <row r="97" spans="1:5" ht="13.2" x14ac:dyDescent="0.25">
      <c r="A97" s="9" t="str">
        <f ca="1">IFERROR(__xludf.UNSUPPORTED("""COMPUTED_VALUE"""),"5")</f>
        <v>5</v>
      </c>
      <c r="B97" s="10" t="str">
        <f ca="1">IFERROR(__xludf.UNSUPPORTED("""COMPUTED_VALUE"""),"Titanic: Disaster at Sea")</f>
        <v>Titanic: Disaster at Sea</v>
      </c>
      <c r="C97" s="9" t="str">
        <f ca="1">IFERROR(__xludf.UNSUPPORTED("""COMPUTED_VALUE"""),"N")</f>
        <v>N</v>
      </c>
      <c r="D97" s="10" t="str">
        <f ca="1">IFERROR(__xludf.UNSUPPORTED("""COMPUTED_VALUE"""),"Jenkins, Martin")</f>
        <v>Jenkins, Martin</v>
      </c>
      <c r="E97" s="11">
        <f ca="1">IFERROR(__xludf.UNSUPPORTED("""COMPUTED_VALUE"""),9780763660345)</f>
        <v>9780763660345</v>
      </c>
    </row>
    <row r="98" spans="1:5" ht="13.2" x14ac:dyDescent="0.25">
      <c r="A98" s="9" t="str">
        <f ca="1">IFERROR(__xludf.UNSUPPORTED("""COMPUTED_VALUE"""),"5")</f>
        <v>5</v>
      </c>
      <c r="B98" s="10" t="str">
        <f ca="1">IFERROR(__xludf.UNSUPPORTED("""COMPUTED_VALUE"""),"Skateboards")</f>
        <v>Skateboards</v>
      </c>
      <c r="C98" s="9" t="str">
        <f ca="1">IFERROR(__xludf.UNSUPPORTED("""COMPUTED_VALUE"""),"N")</f>
        <v>N</v>
      </c>
      <c r="D98" s="10" t="str">
        <f ca="1">IFERROR(__xludf.UNSUPPORTED("""COMPUTED_VALUE"""),"Lakin, Patricia")</f>
        <v>Lakin, Patricia</v>
      </c>
      <c r="E98" s="11">
        <f ca="1">IFERROR(__xludf.UNSUPPORTED("""COMPUTED_VALUE"""),9781481448338)</f>
        <v>9781481448338</v>
      </c>
    </row>
    <row r="99" spans="1:5" ht="13.2" x14ac:dyDescent="0.25">
      <c r="A99" s="9" t="str">
        <f ca="1">IFERROR(__xludf.UNSUPPORTED("""COMPUTED_VALUE"""),"5")</f>
        <v>5</v>
      </c>
      <c r="B99" s="10" t="str">
        <f ca="1">IFERROR(__xludf.UNSUPPORTED("""COMPUTED_VALUE"""),"Problem Solving/Resourcefulness")</f>
        <v>Problem Solving/Resourcefulness</v>
      </c>
      <c r="C99" s="9" t="str">
        <f ca="1">IFERROR(__xludf.UNSUPPORTED("""COMPUTED_VALUE"""),"")</f>
        <v/>
      </c>
      <c r="D99" s="10" t="str">
        <f ca="1">IFERROR(__xludf.UNSUPPORTED("""COMPUTED_VALUE"""),"")</f>
        <v/>
      </c>
      <c r="E99" s="11" t="str">
        <f ca="1">IFERROR(__xludf.UNSUPPORTED("""COMPUTED_VALUE"""),"")</f>
        <v/>
      </c>
    </row>
    <row r="100" spans="1:5" ht="26.4" x14ac:dyDescent="0.25">
      <c r="A100" s="9" t="str">
        <f ca="1">IFERROR(__xludf.UNSUPPORTED("""COMPUTED_VALUE"""),"5")</f>
        <v>5</v>
      </c>
      <c r="B100" s="10" t="str">
        <f ca="1">IFERROR(__xludf.UNSUPPORTED("""COMPUTED_VALUE"""),"Green City: How One Community Survived a Tornado and Rebuilt for a Sustainable Future")</f>
        <v>Green City: How One Community Survived a Tornado and Rebuilt for a Sustainable Future</v>
      </c>
      <c r="C100" s="9" t="str">
        <f ca="1">IFERROR(__xludf.UNSUPPORTED("""COMPUTED_VALUE"""),"N")</f>
        <v>N</v>
      </c>
      <c r="D100" s="10" t="str">
        <f ca="1">IFERROR(__xludf.UNSUPPORTED("""COMPUTED_VALUE"""),"Drummond, Allan")</f>
        <v>Drummond, Allan</v>
      </c>
      <c r="E100" s="11">
        <f ca="1">IFERROR(__xludf.UNSUPPORTED("""COMPUTED_VALUE"""),9780374379995)</f>
        <v>9780374379995</v>
      </c>
    </row>
    <row r="101" spans="1:5" ht="13.2" x14ac:dyDescent="0.25">
      <c r="A101" s="9" t="str">
        <f ca="1">IFERROR(__xludf.UNSUPPORTED("""COMPUTED_VALUE"""),"5")</f>
        <v>5</v>
      </c>
      <c r="B101" s="10" t="str">
        <f ca="1">IFERROR(__xludf.UNSUPPORTED("""COMPUTED_VALUE"""),"Destiny's Gift")</f>
        <v>Destiny's Gift</v>
      </c>
      <c r="C101" s="9" t="str">
        <f ca="1">IFERROR(__xludf.UNSUPPORTED("""COMPUTED_VALUE"""),"F")</f>
        <v>F</v>
      </c>
      <c r="D101" s="10" t="str">
        <f ca="1">IFERROR(__xludf.UNSUPPORTED("""COMPUTED_VALUE"""),"Tarpley, Natasha Anastasia")</f>
        <v>Tarpley, Natasha Anastasia</v>
      </c>
      <c r="E101" s="11">
        <f ca="1">IFERROR(__xludf.UNSUPPORTED("""COMPUTED_VALUE"""),9781600606441)</f>
        <v>9781600606441</v>
      </c>
    </row>
    <row r="102" spans="1:5" ht="26.4" x14ac:dyDescent="0.25">
      <c r="A102" s="9" t="str">
        <f ca="1">IFERROR(__xludf.UNSUPPORTED("""COMPUTED_VALUE"""),"5")</f>
        <v>5</v>
      </c>
      <c r="B102" s="10" t="str">
        <f ca="1">IFERROR(__xludf.UNSUPPORTED("""COMPUTED_VALUE"""),"The Soda Bottle School: A True Story of Recycling, Teamwork, and One Crazy Idea")</f>
        <v>The Soda Bottle School: A True Story of Recycling, Teamwork, and One Crazy Idea</v>
      </c>
      <c r="C102" s="9" t="str">
        <f ca="1">IFERROR(__xludf.UNSUPPORTED("""COMPUTED_VALUE"""),"N")</f>
        <v>N</v>
      </c>
      <c r="D102" s="10" t="str">
        <f ca="1">IFERROR(__xludf.UNSUPPORTED("""COMPUTED_VALUE"""),"Kutner, Seño Laura &amp; Slade, Suzzanne")</f>
        <v>Kutner, Seño Laura &amp; Slade, Suzzanne</v>
      </c>
      <c r="E102" s="11">
        <f ca="1">IFERROR(__xludf.UNSUPPORTED("""COMPUTED_VALUE"""),9780884483724)</f>
        <v>9780884483724</v>
      </c>
    </row>
    <row r="103" spans="1:5" ht="13.2" x14ac:dyDescent="0.25">
      <c r="A103" s="9" t="str">
        <f ca="1">IFERROR(__xludf.UNSUPPORTED("""COMPUTED_VALUE"""),"5")</f>
        <v>5</v>
      </c>
      <c r="B103" s="10" t="str">
        <f ca="1">IFERROR(__xludf.UNSUPPORTED("""COMPUTED_VALUE"""),"Finding the Music")</f>
        <v>Finding the Music</v>
      </c>
      <c r="C103" s="9" t="str">
        <f ca="1">IFERROR(__xludf.UNSUPPORTED("""COMPUTED_VALUE"""),"F")</f>
        <v>F</v>
      </c>
      <c r="D103" s="10" t="str">
        <f ca="1">IFERROR(__xludf.UNSUPPORTED("""COMPUTED_VALUE"""),"Torres, Jennifer")</f>
        <v>Torres, Jennifer</v>
      </c>
      <c r="E103" s="11">
        <f ca="1">IFERROR(__xludf.UNSUPPORTED("""COMPUTED_VALUE"""),9780892394067)</f>
        <v>9780892394067</v>
      </c>
    </row>
    <row r="104" spans="1:5" ht="13.2" x14ac:dyDescent="0.25">
      <c r="A104" s="9" t="str">
        <f ca="1">IFERROR(__xludf.UNSUPPORTED("""COMPUTED_VALUE"""),"5")</f>
        <v>5</v>
      </c>
      <c r="B104" s="10" t="str">
        <f ca="1">IFERROR(__xludf.UNSUPPORTED("""COMPUTED_VALUE"""),"Aliens Ate My Homework")</f>
        <v>Aliens Ate My Homework</v>
      </c>
      <c r="C104" s="9" t="str">
        <f ca="1">IFERROR(__xludf.UNSUPPORTED("""COMPUTED_VALUE"""),"F")</f>
        <v>F</v>
      </c>
      <c r="D104" s="10" t="str">
        <f ca="1">IFERROR(__xludf.UNSUPPORTED("""COMPUTED_VALUE"""),"Coville, Bruce")</f>
        <v>Coville, Bruce</v>
      </c>
      <c r="E104" s="11">
        <f ca="1">IFERROR(__xludf.UNSUPPORTED("""COMPUTED_VALUE"""),9781416938835)</f>
        <v>9781416938835</v>
      </c>
    </row>
    <row r="105" spans="1:5" ht="13.2" x14ac:dyDescent="0.25">
      <c r="A105" s="9" t="str">
        <f ca="1">IFERROR(__xludf.UNSUPPORTED("""COMPUTED_VALUE"""),"5")</f>
        <v>5</v>
      </c>
      <c r="B105" s="10" t="str">
        <f ca="1">IFERROR(__xludf.UNSUPPORTED("""COMPUTED_VALUE"""),"Writer's Craft")</f>
        <v>Writer's Craft</v>
      </c>
      <c r="C105" s="9" t="str">
        <f ca="1">IFERROR(__xludf.UNSUPPORTED("""COMPUTED_VALUE"""),"")</f>
        <v/>
      </c>
      <c r="D105" s="10" t="str">
        <f ca="1">IFERROR(__xludf.UNSUPPORTED("""COMPUTED_VALUE"""),"")</f>
        <v/>
      </c>
      <c r="E105" s="11" t="str">
        <f ca="1">IFERROR(__xludf.UNSUPPORTED("""COMPUTED_VALUE"""),"")</f>
        <v/>
      </c>
    </row>
    <row r="106" spans="1:5" ht="13.2" x14ac:dyDescent="0.25">
      <c r="A106" s="9" t="str">
        <f ca="1">IFERROR(__xludf.UNSUPPORTED("""COMPUTED_VALUE"""),"5")</f>
        <v>5</v>
      </c>
      <c r="B106" s="10" t="str">
        <f ca="1">IFERROR(__xludf.UNSUPPORTED("""COMPUTED_VALUE"""),"Firebird")</f>
        <v>Firebird</v>
      </c>
      <c r="C106" s="9" t="str">
        <f ca="1">IFERROR(__xludf.UNSUPPORTED("""COMPUTED_VALUE"""),"F")</f>
        <v>F</v>
      </c>
      <c r="D106" s="10" t="str">
        <f ca="1">IFERROR(__xludf.UNSUPPORTED("""COMPUTED_VALUE"""),"Copeland, Misty")</f>
        <v>Copeland, Misty</v>
      </c>
      <c r="E106" s="11">
        <f ca="1">IFERROR(__xludf.UNSUPPORTED("""COMPUTED_VALUE"""),9780399166150)</f>
        <v>9780399166150</v>
      </c>
    </row>
    <row r="107" spans="1:5" ht="13.2" x14ac:dyDescent="0.25">
      <c r="A107" s="9" t="str">
        <f ca="1">IFERROR(__xludf.UNSUPPORTED("""COMPUTED_VALUE"""),"5")</f>
        <v>5</v>
      </c>
      <c r="B107" s="10" t="str">
        <f ca="1">IFERROR(__xludf.UNSUPPORTED("""COMPUTED_VALUE"""),"Black Dog")</f>
        <v>Black Dog</v>
      </c>
      <c r="C107" s="9" t="str">
        <f ca="1">IFERROR(__xludf.UNSUPPORTED("""COMPUTED_VALUE"""),"F")</f>
        <v>F</v>
      </c>
      <c r="D107" s="10" t="str">
        <f ca="1">IFERROR(__xludf.UNSUPPORTED("""COMPUTED_VALUE"""),"Pinfold, Levi")</f>
        <v>Pinfold, Levi</v>
      </c>
      <c r="E107" s="11">
        <f ca="1">IFERROR(__xludf.UNSUPPORTED("""COMPUTED_VALUE"""),9781536213447)</f>
        <v>9781536213447</v>
      </c>
    </row>
    <row r="108" spans="1:5" ht="13.2" x14ac:dyDescent="0.25">
      <c r="A108" s="9" t="str">
        <f ca="1">IFERROR(__xludf.UNSUPPORTED("""COMPUTED_VALUE"""),"5")</f>
        <v>5</v>
      </c>
      <c r="B108" s="10" t="str">
        <f ca="1">IFERROR(__xludf.UNSUPPORTED("""COMPUTED_VALUE"""),"Letters from Rifka")</f>
        <v>Letters from Rifka</v>
      </c>
      <c r="C108" s="9" t="str">
        <f ca="1">IFERROR(__xludf.UNSUPPORTED("""COMPUTED_VALUE"""),"F")</f>
        <v>F</v>
      </c>
      <c r="D108" s="10" t="str">
        <f ca="1">IFERROR(__xludf.UNSUPPORTED("""COMPUTED_VALUE"""),"Hesse, Karen")</f>
        <v>Hesse, Karen</v>
      </c>
      <c r="E108" s="11">
        <f ca="1">IFERROR(__xludf.UNSUPPORTED("""COMPUTED_VALUE"""),9780312535612)</f>
        <v>9780312535612</v>
      </c>
    </row>
    <row r="109" spans="1:5" ht="13.2" x14ac:dyDescent="0.25">
      <c r="A109" s="9" t="str">
        <f ca="1">IFERROR(__xludf.UNSUPPORTED("""COMPUTED_VALUE"""),"5")</f>
        <v>5</v>
      </c>
      <c r="B109" s="10" t="str">
        <f ca="1">IFERROR(__xludf.UNSUPPORTED("""COMPUTED_VALUE"""),"Eliza's Freedom Road")</f>
        <v>Eliza's Freedom Road</v>
      </c>
      <c r="C109" s="9" t="str">
        <f ca="1">IFERROR(__xludf.UNSUPPORTED("""COMPUTED_VALUE"""),"F")</f>
        <v>F</v>
      </c>
      <c r="D109" s="10" t="str">
        <f ca="1">IFERROR(__xludf.UNSUPPORTED("""COMPUTED_VALUE"""),"Nolen, Jerdine")</f>
        <v>Nolen, Jerdine</v>
      </c>
      <c r="E109" s="11">
        <f ca="1">IFERROR(__xludf.UNSUPPORTED("""COMPUTED_VALUE"""),9781481498326)</f>
        <v>9781481498326</v>
      </c>
    </row>
    <row r="110" spans="1:5" ht="13.2" x14ac:dyDescent="0.25">
      <c r="A110" s="9" t="str">
        <f ca="1">IFERROR(__xludf.UNSUPPORTED("""COMPUTED_VALUE"""),"5")</f>
        <v>5</v>
      </c>
      <c r="B110" s="10" t="str">
        <f ca="1">IFERROR(__xludf.UNSUPPORTED("""COMPUTED_VALUE"""),"Encounter")</f>
        <v>Encounter</v>
      </c>
      <c r="C110" s="9" t="str">
        <f ca="1">IFERROR(__xludf.UNSUPPORTED("""COMPUTED_VALUE"""),"F")</f>
        <v>F</v>
      </c>
      <c r="D110" s="10" t="str">
        <f ca="1">IFERROR(__xludf.UNSUPPORTED("""COMPUTED_VALUE"""),"Yolen, Jane")</f>
        <v>Yolen, Jane</v>
      </c>
      <c r="E110" s="11">
        <f ca="1">IFERROR(__xludf.UNSUPPORTED("""COMPUTED_VALUE"""),9780152013899)</f>
        <v>9780152013899</v>
      </c>
    </row>
    <row r="111" spans="1:5" ht="13.2" x14ac:dyDescent="0.25">
      <c r="A111" s="9" t="str">
        <f ca="1">IFERROR(__xludf.UNSUPPORTED("""COMPUTED_VALUE"""),"5")</f>
        <v>5</v>
      </c>
      <c r="B111" s="10" t="str">
        <f ca="1">IFERROR(__xludf.UNSUPPORTED("""COMPUTED_VALUE"""),"Genre Study: Historical Fiction")</f>
        <v>Genre Study: Historical Fiction</v>
      </c>
      <c r="C111" s="9" t="str">
        <f ca="1">IFERROR(__xludf.UNSUPPORTED("""COMPUTED_VALUE"""),"")</f>
        <v/>
      </c>
      <c r="D111" s="10" t="str">
        <f ca="1">IFERROR(__xludf.UNSUPPORTED("""COMPUTED_VALUE"""),"")</f>
        <v/>
      </c>
      <c r="E111" s="11" t="str">
        <f ca="1">IFERROR(__xludf.UNSUPPORTED("""COMPUTED_VALUE"""),"")</f>
        <v/>
      </c>
    </row>
    <row r="112" spans="1:5" ht="26.4" x14ac:dyDescent="0.25">
      <c r="A112" s="9" t="str">
        <f ca="1">IFERROR(__xludf.UNSUPPORTED("""COMPUTED_VALUE"""),"5")</f>
        <v>5</v>
      </c>
      <c r="B112" s="10" t="str">
        <f ca="1">IFERROR(__xludf.UNSUPPORTED("""COMPUTED_VALUE"""),"White Water")</f>
        <v>White Water</v>
      </c>
      <c r="C112" s="9" t="str">
        <f ca="1">IFERROR(__xludf.UNSUPPORTED("""COMPUTED_VALUE"""),"F")</f>
        <v>F</v>
      </c>
      <c r="D112" s="10" t="str">
        <f ca="1">IFERROR(__xludf.UNSUPPORTED("""COMPUTED_VALUE"""),"Bandy, Michael S. &amp; Stein, Eric")</f>
        <v>Bandy, Michael S. &amp; Stein, Eric</v>
      </c>
      <c r="E112" s="11">
        <f ca="1">IFERROR(__xludf.UNSUPPORTED("""COMPUTED_VALUE"""),9780763679453)</f>
        <v>9780763679453</v>
      </c>
    </row>
    <row r="113" spans="1:5" ht="13.2" x14ac:dyDescent="0.25">
      <c r="A113" s="9" t="str">
        <f ca="1">IFERROR(__xludf.UNSUPPORTED("""COMPUTED_VALUE"""),"5")</f>
        <v>5</v>
      </c>
      <c r="B113" s="10" t="str">
        <f ca="1">IFERROR(__xludf.UNSUPPORTED("""COMPUTED_VALUE"""),"Baseball Saved Us")</f>
        <v>Baseball Saved Us</v>
      </c>
      <c r="C113" s="9" t="str">
        <f ca="1">IFERROR(__xludf.UNSUPPORTED("""COMPUTED_VALUE"""),"F")</f>
        <v>F</v>
      </c>
      <c r="D113" s="10" t="str">
        <f ca="1">IFERROR(__xludf.UNSUPPORTED("""COMPUTED_VALUE"""),"Mochizuki, Ken")</f>
        <v>Mochizuki, Ken</v>
      </c>
      <c r="E113" s="11">
        <f ca="1">IFERROR(__xludf.UNSUPPORTED("""COMPUTED_VALUE"""),9781880000199)</f>
        <v>9781880000199</v>
      </c>
    </row>
    <row r="114" spans="1:5" ht="13.2" x14ac:dyDescent="0.25">
      <c r="A114" s="9" t="str">
        <f ca="1">IFERROR(__xludf.UNSUPPORTED("""COMPUTED_VALUE"""),"5")</f>
        <v>5</v>
      </c>
      <c r="B114" s="10" t="str">
        <f ca="1">IFERROR(__xludf.UNSUPPORTED("""COMPUTED_VALUE"""),"The Bracelet")</f>
        <v>The Bracelet</v>
      </c>
      <c r="C114" s="9" t="str">
        <f ca="1">IFERROR(__xludf.UNSUPPORTED("""COMPUTED_VALUE"""),"F")</f>
        <v>F</v>
      </c>
      <c r="D114" s="10" t="str">
        <f ca="1">IFERROR(__xludf.UNSUPPORTED("""COMPUTED_VALUE"""),"Uchida, Yoshiko")</f>
        <v>Uchida, Yoshiko</v>
      </c>
      <c r="E114" s="11">
        <f ca="1">IFERROR(__xludf.UNSUPPORTED("""COMPUTED_VALUE"""),9780698113909)</f>
        <v>9780698113909</v>
      </c>
    </row>
    <row r="115" spans="1:5" ht="13.2" x14ac:dyDescent="0.25">
      <c r="A115" s="9" t="str">
        <f ca="1">IFERROR(__xludf.UNSUPPORTED("""COMPUTED_VALUE"""),"5")</f>
        <v>5</v>
      </c>
      <c r="B115" s="10" t="str">
        <f ca="1">IFERROR(__xludf.UNSUPPORTED("""COMPUTED_VALUE"""),"Coming on Home Soon")</f>
        <v>Coming on Home Soon</v>
      </c>
      <c r="C115" s="9" t="str">
        <f ca="1">IFERROR(__xludf.UNSUPPORTED("""COMPUTED_VALUE"""),"F")</f>
        <v>F</v>
      </c>
      <c r="D115" s="10" t="str">
        <f ca="1">IFERROR(__xludf.UNSUPPORTED("""COMPUTED_VALUE"""),"Woodson, Jacqueline")</f>
        <v>Woodson, Jacqueline</v>
      </c>
      <c r="E115" s="11">
        <f ca="1">IFERROR(__xludf.UNSUPPORTED("""COMPUTED_VALUE"""),9780399237485)</f>
        <v>9780399237485</v>
      </c>
    </row>
    <row r="116" spans="1:5" ht="13.2" x14ac:dyDescent="0.25">
      <c r="A116" s="9" t="str">
        <f ca="1">IFERROR(__xludf.UNSUPPORTED("""COMPUTED_VALUE"""),"5")</f>
        <v>5</v>
      </c>
      <c r="B116" s="10" t="str">
        <f ca="1">IFERROR(__xludf.UNSUPPORTED("""COMPUTED_VALUE"""),"The Butterfly")</f>
        <v>The Butterfly</v>
      </c>
      <c r="C116" s="9" t="str">
        <f ca="1">IFERROR(__xludf.UNSUPPORTED("""COMPUTED_VALUE"""),"F")</f>
        <v>F</v>
      </c>
      <c r="D116" s="10" t="str">
        <f ca="1">IFERROR(__xludf.UNSUPPORTED("""COMPUTED_VALUE"""),"Patricia Polacco")</f>
        <v>Patricia Polacco</v>
      </c>
      <c r="E116" s="11">
        <f ca="1">IFERROR(__xludf.UNSUPPORTED("""COMPUTED_VALUE"""),9780142413067)</f>
        <v>9780142413067</v>
      </c>
    </row>
    <row r="117" spans="1:5" ht="13.2" x14ac:dyDescent="0.25">
      <c r="A117" s="9" t="str">
        <f ca="1">IFERROR(__xludf.UNSUPPORTED("""COMPUTED_VALUE"""),"5")</f>
        <v>5</v>
      </c>
      <c r="B117" s="10" t="str">
        <f ca="1">IFERROR(__xludf.UNSUPPORTED("""COMPUTED_VALUE"""),"Author Study: Andrea Davis Pinkney")</f>
        <v>Author Study: Andrea Davis Pinkney</v>
      </c>
      <c r="C117" s="9" t="str">
        <f ca="1">IFERROR(__xludf.UNSUPPORTED("""COMPUTED_VALUE"""),"")</f>
        <v/>
      </c>
      <c r="D117" s="10" t="str">
        <f ca="1">IFERROR(__xludf.UNSUPPORTED("""COMPUTED_VALUE"""),"")</f>
        <v/>
      </c>
      <c r="E117" s="11" t="str">
        <f ca="1">IFERROR(__xludf.UNSUPPORTED("""COMPUTED_VALUE"""),"")</f>
        <v/>
      </c>
    </row>
    <row r="118" spans="1:5" ht="13.2" x14ac:dyDescent="0.25">
      <c r="A118" s="9" t="str">
        <f ca="1">IFERROR(__xludf.UNSUPPORTED("""COMPUTED_VALUE"""),"5")</f>
        <v>5</v>
      </c>
      <c r="B118" s="10" t="str">
        <f ca="1">IFERROR(__xludf.UNSUPPORTED("""COMPUTED_VALUE"""),"Duke Ellington: The Piano Prince and His Orchestra")</f>
        <v>Duke Ellington: The Piano Prince and His Orchestra</v>
      </c>
      <c r="C118" s="9" t="str">
        <f ca="1">IFERROR(__xludf.UNSUPPORTED("""COMPUTED_VALUE"""),"N")</f>
        <v>N</v>
      </c>
      <c r="D118" s="10" t="str">
        <f ca="1">IFERROR(__xludf.UNSUPPORTED("""COMPUTED_VALUE"""),"Pinkney, Andrea Davis")</f>
        <v>Pinkney, Andrea Davis</v>
      </c>
      <c r="E118" s="11">
        <f ca="1">IFERROR(__xludf.UNSUPPORTED("""COMPUTED_VALUE"""),9780786814206)</f>
        <v>9780786814206</v>
      </c>
    </row>
    <row r="119" spans="1:5" ht="13.2" x14ac:dyDescent="0.25">
      <c r="A119" s="9" t="str">
        <f ca="1">IFERROR(__xludf.UNSUPPORTED("""COMPUTED_VALUE"""),"5")</f>
        <v>5</v>
      </c>
      <c r="B119" s="10" t="str">
        <f ca="1">IFERROR(__xludf.UNSUPPORTED("""COMPUTED_VALUE"""),"Boycott Blues: How Rosa Parks Inspired a Nation")</f>
        <v>Boycott Blues: How Rosa Parks Inspired a Nation</v>
      </c>
      <c r="C119" s="9" t="str">
        <f ca="1">IFERROR(__xludf.UNSUPPORTED("""COMPUTED_VALUE"""),"N")</f>
        <v>N</v>
      </c>
      <c r="D119" s="10" t="str">
        <f ca="1">IFERROR(__xludf.UNSUPPORTED("""COMPUTED_VALUE"""),"Pinkney, Andrea Davis")</f>
        <v>Pinkney, Andrea Davis</v>
      </c>
      <c r="E119" s="11">
        <f ca="1">IFERROR(__xludf.UNSUPPORTED("""COMPUTED_VALUE"""),9780060821180)</f>
        <v>9780060821180</v>
      </c>
    </row>
    <row r="120" spans="1:5" ht="13.2" x14ac:dyDescent="0.25">
      <c r="A120" s="9" t="str">
        <f ca="1">IFERROR(__xludf.UNSUPPORTED("""COMPUTED_VALUE"""),"5")</f>
        <v>5</v>
      </c>
      <c r="B120" s="10" t="str">
        <f ca="1">IFERROR(__xludf.UNSUPPORTED("""COMPUTED_VALUE"""),"Martin and Mahalia: His Words Her Song")</f>
        <v>Martin and Mahalia: His Words Her Song</v>
      </c>
      <c r="C120" s="9" t="str">
        <f ca="1">IFERROR(__xludf.UNSUPPORTED("""COMPUTED_VALUE"""),"N")</f>
        <v>N</v>
      </c>
      <c r="D120" s="10" t="str">
        <f ca="1">IFERROR(__xludf.UNSUPPORTED("""COMPUTED_VALUE"""),"Pinkney, Andrea Davis")</f>
        <v>Pinkney, Andrea Davis</v>
      </c>
      <c r="E120" s="11">
        <f ca="1">IFERROR(__xludf.UNSUPPORTED("""COMPUTED_VALUE"""),9780316070133)</f>
        <v>9780316070133</v>
      </c>
    </row>
    <row r="121" spans="1:5" ht="13.2" x14ac:dyDescent="0.25">
      <c r="A121" s="9" t="str">
        <f ca="1">IFERROR(__xludf.UNSUPPORTED("""COMPUTED_VALUE"""),"5")</f>
        <v>5</v>
      </c>
      <c r="B121" s="10" t="str">
        <f ca="1">IFERROR(__xludf.UNSUPPORTED("""COMPUTED_VALUE"""),"Sit-In: How Four Friends Stood up by Sitting Down")</f>
        <v>Sit-In: How Four Friends Stood up by Sitting Down</v>
      </c>
      <c r="C121" s="9" t="str">
        <f ca="1">IFERROR(__xludf.UNSUPPORTED("""COMPUTED_VALUE"""),"N")</f>
        <v>N</v>
      </c>
      <c r="D121" s="10" t="str">
        <f ca="1">IFERROR(__xludf.UNSUPPORTED("""COMPUTED_VALUE"""),"Pinkney, Andrea Davis")</f>
        <v>Pinkney, Andrea Davis</v>
      </c>
      <c r="E121" s="11">
        <f ca="1">IFERROR(__xludf.UNSUPPORTED("""COMPUTED_VALUE"""),9780316070164)</f>
        <v>9780316070164</v>
      </c>
    </row>
    <row r="122" spans="1:5" ht="13.2" x14ac:dyDescent="0.25">
      <c r="A122" s="9" t="str">
        <f ca="1">IFERROR(__xludf.UNSUPPORTED("""COMPUTED_VALUE"""),"5")</f>
        <v>5</v>
      </c>
      <c r="B122" s="10" t="str">
        <f ca="1">IFERROR(__xludf.UNSUPPORTED("""COMPUTED_VALUE"""),"A Poem for Peter")</f>
        <v>A Poem for Peter</v>
      </c>
      <c r="C122" s="9" t="str">
        <f ca="1">IFERROR(__xludf.UNSUPPORTED("""COMPUTED_VALUE"""),"F")</f>
        <v>F</v>
      </c>
      <c r="D122" s="10" t="str">
        <f ca="1">IFERROR(__xludf.UNSUPPORTED("""COMPUTED_VALUE"""),"Pinkney, Andrea Davis")</f>
        <v>Pinkney, Andrea Davis</v>
      </c>
      <c r="E122" s="11">
        <f ca="1">IFERROR(__xludf.UNSUPPORTED("""COMPUTED_VALUE"""),9780425287682)</f>
        <v>9780425287682</v>
      </c>
    </row>
    <row r="123" spans="1:5" ht="13.2" x14ac:dyDescent="0.25">
      <c r="A123" s="9" t="str">
        <f ca="1">IFERROR(__xludf.UNSUPPORTED("""COMPUTED_VALUE"""),"5")</f>
        <v>5</v>
      </c>
      <c r="B123" s="10" t="str">
        <f ca="1">IFERROR(__xludf.UNSUPPORTED("""COMPUTED_VALUE"""),"Exploring Rights and Citizenship")</f>
        <v>Exploring Rights and Citizenship</v>
      </c>
      <c r="C123" s="9" t="str">
        <f ca="1">IFERROR(__xludf.UNSUPPORTED("""COMPUTED_VALUE"""),"")</f>
        <v/>
      </c>
      <c r="D123" s="10" t="str">
        <f ca="1">IFERROR(__xludf.UNSUPPORTED("""COMPUTED_VALUE"""),"")</f>
        <v/>
      </c>
      <c r="E123" s="11" t="str">
        <f ca="1">IFERROR(__xludf.UNSUPPORTED("""COMPUTED_VALUE"""),"")</f>
        <v/>
      </c>
    </row>
    <row r="124" spans="1:5" ht="13.2" x14ac:dyDescent="0.25">
      <c r="A124" s="9" t="str">
        <f ca="1">IFERROR(__xludf.UNSUPPORTED("""COMPUTED_VALUE"""),"5")</f>
        <v>5</v>
      </c>
      <c r="B124" s="10" t="str">
        <f ca="1">IFERROR(__xludf.UNSUPPORTED("""COMPUTED_VALUE"""),"Rosa")</f>
        <v>Rosa</v>
      </c>
      <c r="C124" s="9" t="str">
        <f ca="1">IFERROR(__xludf.UNSUPPORTED("""COMPUTED_VALUE"""),"N")</f>
        <v>N</v>
      </c>
      <c r="D124" s="10" t="str">
        <f ca="1">IFERROR(__xludf.UNSUPPORTED("""COMPUTED_VALUE"""),"Giovanni, Nikki")</f>
        <v>Giovanni, Nikki</v>
      </c>
      <c r="E124" s="11">
        <f ca="1">IFERROR(__xludf.UNSUPPORTED("""COMPUTED_VALUE"""),9780312376024)</f>
        <v>9780312376024</v>
      </c>
    </row>
    <row r="125" spans="1:5" ht="13.2" x14ac:dyDescent="0.25">
      <c r="A125" s="9" t="str">
        <f ca="1">IFERROR(__xludf.UNSUPPORTED("""COMPUTED_VALUE"""),"5")</f>
        <v>5</v>
      </c>
      <c r="B125" s="10" t="str">
        <f ca="1">IFERROR(__xludf.UNSUPPORTED("""COMPUTED_VALUE"""),"Ida B. Wells: Let the Truth Be Told")</f>
        <v>Ida B. Wells: Let the Truth Be Told</v>
      </c>
      <c r="C125" s="9" t="str">
        <f ca="1">IFERROR(__xludf.UNSUPPORTED("""COMPUTED_VALUE"""),"N")</f>
        <v>N</v>
      </c>
      <c r="D125" s="10" t="str">
        <f ca="1">IFERROR(__xludf.UNSUPPORTED("""COMPUTED_VALUE"""),"Myers, Walter Dean")</f>
        <v>Myers, Walter Dean</v>
      </c>
      <c r="E125" s="11">
        <f ca="1">IFERROR(__xludf.UNSUPPORTED("""COMPUTED_VALUE"""),9780060544683)</f>
        <v>9780060544683</v>
      </c>
    </row>
    <row r="126" spans="1:5" ht="13.2" x14ac:dyDescent="0.25">
      <c r="A126" s="9" t="str">
        <f ca="1">IFERROR(__xludf.UNSUPPORTED("""COMPUTED_VALUE"""),"5")</f>
        <v>5</v>
      </c>
      <c r="B126" s="10" t="str">
        <f ca="1">IFERROR(__xludf.UNSUPPORTED("""COMPUTED_VALUE"""),"Marching with Aunt Susan")</f>
        <v>Marching with Aunt Susan</v>
      </c>
      <c r="C126" s="9" t="str">
        <f ca="1">IFERROR(__xludf.UNSUPPORTED("""COMPUTED_VALUE"""),"F")</f>
        <v>F</v>
      </c>
      <c r="D126" s="10" t="str">
        <f ca="1">IFERROR(__xludf.UNSUPPORTED("""COMPUTED_VALUE"""),"Murphy, Claire Rudolf")</f>
        <v>Murphy, Claire Rudolf</v>
      </c>
      <c r="E126" s="11">
        <f ca="1">IFERROR(__xludf.UNSUPPORTED("""COMPUTED_VALUE"""),9781561459797)</f>
        <v>9781561459797</v>
      </c>
    </row>
    <row r="127" spans="1:5" ht="26.4" x14ac:dyDescent="0.25">
      <c r="A127" s="9" t="str">
        <f ca="1">IFERROR(__xludf.UNSUPPORTED("""COMPUTED_VALUE"""),"5")</f>
        <v>5</v>
      </c>
      <c r="B127" s="10" t="str">
        <f ca="1">IFERROR(__xludf.UNSUPPORTED("""COMPUTED_VALUE"""),"Separate Is Never Equal: Sylvia Mendez and Her Family’s Fight for Desegregation")</f>
        <v>Separate Is Never Equal: Sylvia Mendez and Her Family’s Fight for Desegregation</v>
      </c>
      <c r="C127" s="9" t="str">
        <f ca="1">IFERROR(__xludf.UNSUPPORTED("""COMPUTED_VALUE"""),"N")</f>
        <v>N</v>
      </c>
      <c r="D127" s="10" t="str">
        <f ca="1">IFERROR(__xludf.UNSUPPORTED("""COMPUTED_VALUE"""),"Tonatiuh, Duncan")</f>
        <v>Tonatiuh, Duncan</v>
      </c>
      <c r="E127" s="11">
        <f ca="1">IFERROR(__xludf.UNSUPPORTED("""COMPUTED_VALUE"""),9781419710544)</f>
        <v>9781419710544</v>
      </c>
    </row>
    <row r="128" spans="1:5" ht="13.2" x14ac:dyDescent="0.25">
      <c r="A128" s="9" t="str">
        <f ca="1">IFERROR(__xludf.UNSUPPORTED("""COMPUTED_VALUE"""),"5")</f>
        <v>5</v>
      </c>
      <c r="B128" s="10" t="str">
        <f ca="1">IFERROR(__xludf.UNSUPPORTED("""COMPUTED_VALUE"""),"The Day Gogo Went to Vote")</f>
        <v>The Day Gogo Went to Vote</v>
      </c>
      <c r="C128" s="9" t="str">
        <f ca="1">IFERROR(__xludf.UNSUPPORTED("""COMPUTED_VALUE"""),"F")</f>
        <v>F</v>
      </c>
      <c r="D128" s="10" t="str">
        <f ca="1">IFERROR(__xludf.UNSUPPORTED("""COMPUTED_VALUE"""),"Sisulu, Elinor Batezat")</f>
        <v>Sisulu, Elinor Batezat</v>
      </c>
      <c r="E128" s="11">
        <f ca="1">IFERROR(__xludf.UNSUPPORTED("""COMPUTED_VALUE"""),9780316702713)</f>
        <v>9780316702713</v>
      </c>
    </row>
    <row r="129" spans="1:5" ht="13.2" x14ac:dyDescent="0.25">
      <c r="A129" s="9" t="str">
        <f ca="1">IFERROR(__xludf.UNSUPPORTED("""COMPUTED_VALUE"""),"5")</f>
        <v>5</v>
      </c>
      <c r="B129" s="10" t="str">
        <f ca="1">IFERROR(__xludf.UNSUPPORTED("""COMPUTED_VALUE"""),"Illustrator Study: Duncan Tonatiuh")</f>
        <v>Illustrator Study: Duncan Tonatiuh</v>
      </c>
      <c r="C129" s="9" t="str">
        <f ca="1">IFERROR(__xludf.UNSUPPORTED("""COMPUTED_VALUE"""),"")</f>
        <v/>
      </c>
      <c r="D129" s="10" t="str">
        <f ca="1">IFERROR(__xludf.UNSUPPORTED("""COMPUTED_VALUE"""),"")</f>
        <v/>
      </c>
      <c r="E129" s="11" t="str">
        <f ca="1">IFERROR(__xludf.UNSUPPORTED("""COMPUTED_VALUE"""),"")</f>
        <v/>
      </c>
    </row>
    <row r="130" spans="1:5" ht="13.2" x14ac:dyDescent="0.25">
      <c r="A130" s="9" t="str">
        <f ca="1">IFERROR(__xludf.UNSUPPORTED("""COMPUTED_VALUE"""),"5")</f>
        <v>5</v>
      </c>
      <c r="B130" s="10" t="str">
        <f ca="1">IFERROR(__xludf.UNSUPPORTED("""COMPUTED_VALUE"""),"The Princess and the Warrior: A Tale of Two Volcanoes")</f>
        <v>The Princess and the Warrior: A Tale of Two Volcanoes</v>
      </c>
      <c r="C130" s="9" t="str">
        <f ca="1">IFERROR(__xludf.UNSUPPORTED("""COMPUTED_VALUE"""),"F")</f>
        <v>F</v>
      </c>
      <c r="D130" s="10" t="str">
        <f ca="1">IFERROR(__xludf.UNSUPPORTED("""COMPUTED_VALUE"""),"Tonatiuh, Duncan")</f>
        <v>Tonatiuh, Duncan</v>
      </c>
      <c r="E130" s="11">
        <f ca="1">IFERROR(__xludf.UNSUPPORTED("""COMPUTED_VALUE"""),9781419721304)</f>
        <v>9781419721304</v>
      </c>
    </row>
    <row r="131" spans="1:5" ht="13.2" x14ac:dyDescent="0.25">
      <c r="A131" s="9" t="str">
        <f ca="1">IFERROR(__xludf.UNSUPPORTED("""COMPUTED_VALUE"""),"5")</f>
        <v>5</v>
      </c>
      <c r="B131" s="10" t="str">
        <f ca="1">IFERROR(__xludf.UNSUPPORTED("""COMPUTED_VALUE"""),"Pancho Rabbit and the Coyote")</f>
        <v>Pancho Rabbit and the Coyote</v>
      </c>
      <c r="C131" s="9" t="str">
        <f ca="1">IFERROR(__xludf.UNSUPPORTED("""COMPUTED_VALUE"""),"F")</f>
        <v>F</v>
      </c>
      <c r="D131" s="10" t="str">
        <f ca="1">IFERROR(__xludf.UNSUPPORTED("""COMPUTED_VALUE"""),"Tonatiuh, Duncan")</f>
        <v>Tonatiuh, Duncan</v>
      </c>
      <c r="E131" s="11">
        <f ca="1">IFERROR(__xludf.UNSUPPORTED("""COMPUTED_VALUE"""),9781419705830)</f>
        <v>9781419705830</v>
      </c>
    </row>
    <row r="132" spans="1:5" ht="26.4" x14ac:dyDescent="0.25">
      <c r="A132" s="9" t="str">
        <f ca="1">IFERROR(__xludf.UNSUPPORTED("""COMPUTED_VALUE"""),"5")</f>
        <v>5</v>
      </c>
      <c r="B132" s="10" t="str">
        <f ca="1">IFERROR(__xludf.UNSUPPORTED("""COMPUTED_VALUE"""),"Danza! Amalia Hernández and El Ballet Folklórico de México")</f>
        <v>Danza! Amalia Hernández and El Ballet Folklórico de México</v>
      </c>
      <c r="C132" s="9" t="str">
        <f ca="1">IFERROR(__xludf.UNSUPPORTED("""COMPUTED_VALUE"""),"N")</f>
        <v>N</v>
      </c>
      <c r="D132" s="10" t="str">
        <f ca="1">IFERROR(__xludf.UNSUPPORTED("""COMPUTED_VALUE"""),"Tonatiuh, Duncan")</f>
        <v>Tonatiuh, Duncan</v>
      </c>
      <c r="E132" s="11">
        <f ca="1">IFERROR(__xludf.UNSUPPORTED("""COMPUTED_VALUE"""),9781419725326)</f>
        <v>9781419725326</v>
      </c>
    </row>
    <row r="133" spans="1:5" ht="26.4" x14ac:dyDescent="0.25">
      <c r="A133" s="9" t="str">
        <f ca="1">IFERROR(__xludf.UNSUPPORTED("""COMPUTED_VALUE"""),"5")</f>
        <v>5</v>
      </c>
      <c r="B133" s="10" t="str">
        <f ca="1">IFERROR(__xludf.UNSUPPORTED("""COMPUTED_VALUE"""),"Funny Bones: Posada and His Day of the Dead Calaveras")</f>
        <v>Funny Bones: Posada and His Day of the Dead Calaveras</v>
      </c>
      <c r="C133" s="9" t="str">
        <f ca="1">IFERROR(__xludf.UNSUPPORTED("""COMPUTED_VALUE"""),"N")</f>
        <v>N</v>
      </c>
      <c r="D133" s="10" t="str">
        <f ca="1">IFERROR(__xludf.UNSUPPORTED("""COMPUTED_VALUE"""),"Tonatiuh, Duncan")</f>
        <v>Tonatiuh, Duncan</v>
      </c>
      <c r="E133" s="11">
        <f ca="1">IFERROR(__xludf.UNSUPPORTED("""COMPUTED_VALUE"""),9781419716478)</f>
        <v>9781419716478</v>
      </c>
    </row>
    <row r="134" spans="1:5" ht="13.2" x14ac:dyDescent="0.25">
      <c r="A134" s="9" t="str">
        <f ca="1">IFERROR(__xludf.UNSUPPORTED("""COMPUTED_VALUE"""),"5")</f>
        <v>5</v>
      </c>
      <c r="B134" s="10" t="str">
        <f ca="1">IFERROR(__xludf.UNSUPPORTED("""COMPUTED_VALUE"""),"Genre Study: Tall Tales")</f>
        <v>Genre Study: Tall Tales</v>
      </c>
      <c r="C134" s="9" t="str">
        <f ca="1">IFERROR(__xludf.UNSUPPORTED("""COMPUTED_VALUE"""),"")</f>
        <v/>
      </c>
      <c r="D134" s="10" t="str">
        <f ca="1">IFERROR(__xludf.UNSUPPORTED("""COMPUTED_VALUE"""),"")</f>
        <v/>
      </c>
      <c r="E134" s="11" t="str">
        <f ca="1">IFERROR(__xludf.UNSUPPORTED("""COMPUTED_VALUE"""),"")</f>
        <v/>
      </c>
    </row>
    <row r="135" spans="1:5" ht="13.2" x14ac:dyDescent="0.25">
      <c r="A135" s="9" t="str">
        <f ca="1">IFERROR(__xludf.UNSUPPORTED("""COMPUTED_VALUE"""),"5")</f>
        <v>5</v>
      </c>
      <c r="B135" s="10" t="str">
        <f ca="1">IFERROR(__xludf.UNSUPPORTED("""COMPUTED_VALUE"""),"Paul Bunyan")</f>
        <v>Paul Bunyan</v>
      </c>
      <c r="C135" s="9" t="str">
        <f ca="1">IFERROR(__xludf.UNSUPPORTED("""COMPUTED_VALUE"""),"F")</f>
        <v>F</v>
      </c>
      <c r="D135" s="10" t="str">
        <f ca="1">IFERROR(__xludf.UNSUPPORTED("""COMPUTED_VALUE"""),"Kellogg, Steven")</f>
        <v>Kellogg, Steven</v>
      </c>
      <c r="E135" s="11">
        <f ca="1">IFERROR(__xludf.UNSUPPORTED("""COMPUTED_VALUE"""),9780688058005)</f>
        <v>9780688058005</v>
      </c>
    </row>
    <row r="136" spans="1:5" ht="26.4" x14ac:dyDescent="0.25">
      <c r="A136" s="9" t="str">
        <f ca="1">IFERROR(__xludf.UNSUPPORTED("""COMPUTED_VALUE"""),"5")</f>
        <v>5</v>
      </c>
      <c r="B136" s="10" t="str">
        <f ca="1">IFERROR(__xludf.UNSUPPORTED("""COMPUTED_VALUE"""),"Doña Flor: A Tall Tale About a Giant Woman with a Great Big Heart")</f>
        <v>Doña Flor: A Tall Tale About a Giant Woman with a Great Big Heart</v>
      </c>
      <c r="C136" s="9" t="str">
        <f ca="1">IFERROR(__xludf.UNSUPPORTED("""COMPUTED_VALUE"""),"F")</f>
        <v>F</v>
      </c>
      <c r="D136" s="10" t="str">
        <f ca="1">IFERROR(__xludf.UNSUPPORTED("""COMPUTED_VALUE"""),"Mora, Pat")</f>
        <v>Mora, Pat</v>
      </c>
      <c r="E136" s="11">
        <f ca="1">IFERROR(__xludf.UNSUPPORTED("""COMPUTED_VALUE"""),9780375861444)</f>
        <v>9780375861444</v>
      </c>
    </row>
    <row r="137" spans="1:5" ht="13.2" x14ac:dyDescent="0.25">
      <c r="A137" s="9" t="str">
        <f ca="1">IFERROR(__xludf.UNSUPPORTED("""COMPUTED_VALUE"""),"5")</f>
        <v>5</v>
      </c>
      <c r="B137" s="10" t="str">
        <f ca="1">IFERROR(__xludf.UNSUPPORTED("""COMPUTED_VALUE"""),"Swamp Angel")</f>
        <v>Swamp Angel</v>
      </c>
      <c r="C137" s="9" t="str">
        <f ca="1">IFERROR(__xludf.UNSUPPORTED("""COMPUTED_VALUE"""),"F")</f>
        <v>F</v>
      </c>
      <c r="D137" s="10" t="str">
        <f ca="1">IFERROR(__xludf.UNSUPPORTED("""COMPUTED_VALUE"""),"Isaacs, Anne")</f>
        <v>Isaacs, Anne</v>
      </c>
      <c r="E137" s="11">
        <f ca="1">IFERROR(__xludf.UNSUPPORTED("""COMPUTED_VALUE"""),9780140559088)</f>
        <v>9780140559088</v>
      </c>
    </row>
    <row r="138" spans="1:5" ht="13.2" x14ac:dyDescent="0.25">
      <c r="A138" s="9" t="str">
        <f ca="1">IFERROR(__xludf.UNSUPPORTED("""COMPUTED_VALUE"""),"5")</f>
        <v>5</v>
      </c>
      <c r="B138" s="10" t="str">
        <f ca="1">IFERROR(__xludf.UNSUPPORTED("""COMPUTED_VALUE"""),"Big Jabe")</f>
        <v>Big Jabe</v>
      </c>
      <c r="C138" s="9" t="str">
        <f ca="1">IFERROR(__xludf.UNSUPPORTED("""COMPUTED_VALUE"""),"F")</f>
        <v>F</v>
      </c>
      <c r="D138" s="10" t="str">
        <f ca="1">IFERROR(__xludf.UNSUPPORTED("""COMPUTED_VALUE"""),"Nolen, Jerdine")</f>
        <v>Nolen, Jerdine</v>
      </c>
      <c r="E138" s="11">
        <f ca="1">IFERROR(__xludf.UNSUPPORTED("""COMPUTED_VALUE"""),9780060540616)</f>
        <v>9780060540616</v>
      </c>
    </row>
    <row r="139" spans="1:5" ht="13.2" x14ac:dyDescent="0.25">
      <c r="A139" s="9" t="str">
        <f ca="1">IFERROR(__xludf.UNSUPPORTED("""COMPUTED_VALUE"""),"5")</f>
        <v>5</v>
      </c>
      <c r="B139" s="10" t="str">
        <f ca="1">IFERROR(__xludf.UNSUPPORTED("""COMPUTED_VALUE"""),"Thunder Rose")</f>
        <v>Thunder Rose</v>
      </c>
      <c r="C139" s="9" t="str">
        <f ca="1">IFERROR(__xludf.UNSUPPORTED("""COMPUTED_VALUE"""),"F")</f>
        <v>F</v>
      </c>
      <c r="D139" s="10" t="str">
        <f ca="1">IFERROR(__xludf.UNSUPPORTED("""COMPUTED_VALUE"""),"Nolen, Jerdine")</f>
        <v>Nolen, Jerdine</v>
      </c>
      <c r="E139" s="11">
        <f ca="1">IFERROR(__xludf.UNSUPPORTED("""COMPUTED_VALUE"""),9780152060060)</f>
        <v>9780152060060</v>
      </c>
    </row>
    <row r="140" spans="1:5" ht="13.2" x14ac:dyDescent="0.25">
      <c r="A140" s="9" t="str">
        <f ca="1">IFERROR(__xludf.UNSUPPORTED("""COMPUTED_VALUE"""),"5")</f>
        <v>5</v>
      </c>
      <c r="B140" s="10" t="str">
        <f ca="1">IFERROR(__xludf.UNSUPPORTED("""COMPUTED_VALUE"""),"Genre Study: Legends")</f>
        <v>Genre Study: Legends</v>
      </c>
      <c r="C140" s="9" t="str">
        <f ca="1">IFERROR(__xludf.UNSUPPORTED("""COMPUTED_VALUE"""),"")</f>
        <v/>
      </c>
      <c r="D140" s="10" t="str">
        <f ca="1">IFERROR(__xludf.UNSUPPORTED("""COMPUTED_VALUE"""),"")</f>
        <v/>
      </c>
      <c r="E140" s="11" t="str">
        <f ca="1">IFERROR(__xludf.UNSUPPORTED("""COMPUTED_VALUE"""),"")</f>
        <v/>
      </c>
    </row>
    <row r="141" spans="1:5" ht="13.2" x14ac:dyDescent="0.25">
      <c r="A141" s="9" t="str">
        <f ca="1">IFERROR(__xludf.UNSUPPORTED("""COMPUTED_VALUE"""),"5")</f>
        <v>5</v>
      </c>
      <c r="B141" s="10" t="str">
        <f ca="1">IFERROR(__xludf.UNSUPPORTED("""COMPUTED_VALUE"""),"Merlin and the Dragons")</f>
        <v>Merlin and the Dragons</v>
      </c>
      <c r="C141" s="9" t="str">
        <f ca="1">IFERROR(__xludf.UNSUPPORTED("""COMPUTED_VALUE"""),"F")</f>
        <v>F</v>
      </c>
      <c r="D141" s="10" t="str">
        <f ca="1">IFERROR(__xludf.UNSUPPORTED("""COMPUTED_VALUE"""),"Yolen, Jane")</f>
        <v>Yolen, Jane</v>
      </c>
      <c r="E141" s="11">
        <f ca="1">IFERROR(__xludf.UNSUPPORTED("""COMPUTED_VALUE"""),9780140558913)</f>
        <v>9780140558913</v>
      </c>
    </row>
    <row r="142" spans="1:5" ht="13.2" x14ac:dyDescent="0.25">
      <c r="A142" s="9" t="str">
        <f ca="1">IFERROR(__xludf.UNSUPPORTED("""COMPUTED_VALUE"""),"5")</f>
        <v>5</v>
      </c>
      <c r="B142" s="10" t="str">
        <f ca="1">IFERROR(__xludf.UNSUPPORTED("""COMPUTED_VALUE"""),"The Kitchen Knight: A Tale of King Arthur")</f>
        <v>The Kitchen Knight: A Tale of King Arthur</v>
      </c>
      <c r="C142" s="9" t="str">
        <f ca="1">IFERROR(__xludf.UNSUPPORTED("""COMPUTED_VALUE"""),"F")</f>
        <v>F</v>
      </c>
      <c r="D142" s="10" t="str">
        <f ca="1">IFERROR(__xludf.UNSUPPORTED("""COMPUTED_VALUE"""),"Hodges, Margaret")</f>
        <v>Hodges, Margaret</v>
      </c>
      <c r="E142" s="11">
        <f ca="1">IFERROR(__xludf.UNSUPPORTED("""COMPUTED_VALUE"""),9780823410637)</f>
        <v>9780823410637</v>
      </c>
    </row>
    <row r="143" spans="1:5" ht="13.2" x14ac:dyDescent="0.25">
      <c r="A143" s="9" t="str">
        <f ca="1">IFERROR(__xludf.UNSUPPORTED("""COMPUTED_VALUE"""),"5")</f>
        <v>5</v>
      </c>
      <c r="B143" s="10" t="str">
        <f ca="1">IFERROR(__xludf.UNSUPPORTED("""COMPUTED_VALUE"""),"The Story of Jumping Mouse: A Native American Legend")</f>
        <v>The Story of Jumping Mouse: A Native American Legend</v>
      </c>
      <c r="C143" s="9" t="str">
        <f ca="1">IFERROR(__xludf.UNSUPPORTED("""COMPUTED_VALUE"""),"F")</f>
        <v>F</v>
      </c>
      <c r="D143" s="10" t="str">
        <f ca="1">IFERROR(__xludf.UNSUPPORTED("""COMPUTED_VALUE"""),"Steptoe, John")</f>
        <v>Steptoe, John</v>
      </c>
      <c r="E143" s="11">
        <f ca="1">IFERROR(__xludf.UNSUPPORTED("""COMPUTED_VALUE"""),9780688087401)</f>
        <v>9780688087401</v>
      </c>
    </row>
    <row r="144" spans="1:5" ht="13.2" x14ac:dyDescent="0.25">
      <c r="A144" s="9" t="str">
        <f ca="1">IFERROR(__xludf.UNSUPPORTED("""COMPUTED_VALUE"""),"5")</f>
        <v>5</v>
      </c>
      <c r="B144" s="10" t="str">
        <f ca="1">IFERROR(__xludf.UNSUPPORTED("""COMPUTED_VALUE"""),"The Legend of the White Buffalo Woman")</f>
        <v>The Legend of the White Buffalo Woman</v>
      </c>
      <c r="C144" s="9" t="str">
        <f ca="1">IFERROR(__xludf.UNSUPPORTED("""COMPUTED_VALUE"""),"F")</f>
        <v>F</v>
      </c>
      <c r="D144" s="10" t="str">
        <f ca="1">IFERROR(__xludf.UNSUPPORTED("""COMPUTED_VALUE"""),"Goble, Paul")</f>
        <v>Goble, Paul</v>
      </c>
      <c r="E144" s="11">
        <f ca="1">IFERROR(__xludf.UNSUPPORTED("""COMPUTED_VALUE"""),9780792265528)</f>
        <v>9780792265528</v>
      </c>
    </row>
    <row r="145" spans="1:5" ht="13.2" x14ac:dyDescent="0.25">
      <c r="A145" s="9" t="str">
        <f ca="1">IFERROR(__xludf.UNSUPPORTED("""COMPUTED_VALUE"""),"5")</f>
        <v>5</v>
      </c>
      <c r="B145" s="10" t="str">
        <f ca="1">IFERROR(__xludf.UNSUPPORTED("""COMPUTED_VALUE"""),"John Henry")</f>
        <v>John Henry</v>
      </c>
      <c r="C145" s="9" t="str">
        <f ca="1">IFERROR(__xludf.UNSUPPORTED("""COMPUTED_VALUE"""),"F")</f>
        <v>F</v>
      </c>
      <c r="D145" s="10" t="str">
        <f ca="1">IFERROR(__xludf.UNSUPPORTED("""COMPUTED_VALUE"""),"Lester, Julius")</f>
        <v>Lester, Julius</v>
      </c>
      <c r="E145" s="11">
        <f ca="1">IFERROR(__xludf.UNSUPPORTED("""COMPUTED_VALUE"""),9780140566222)</f>
        <v>9780140566222</v>
      </c>
    </row>
    <row r="146" spans="1:5" ht="13.2" x14ac:dyDescent="0.25">
      <c r="A146" s="9" t="str">
        <f ca="1">IFERROR(__xludf.UNSUPPORTED("""COMPUTED_VALUE"""),"5")</f>
        <v>5</v>
      </c>
      <c r="B146" s="10" t="str">
        <f ca="1">IFERROR(__xludf.UNSUPPORTED("""COMPUTED_VALUE"""),"Author/Illustrator Study: Demi")</f>
        <v>Author/Illustrator Study: Demi</v>
      </c>
      <c r="C146" s="9" t="str">
        <f ca="1">IFERROR(__xludf.UNSUPPORTED("""COMPUTED_VALUE"""),"")</f>
        <v/>
      </c>
      <c r="D146" s="10" t="str">
        <f ca="1">IFERROR(__xludf.UNSUPPORTED("""COMPUTED_VALUE"""),"")</f>
        <v/>
      </c>
      <c r="E146" s="11" t="str">
        <f ca="1">IFERROR(__xludf.UNSUPPORTED("""COMPUTED_VALUE"""),"")</f>
        <v/>
      </c>
    </row>
    <row r="147" spans="1:5" ht="13.2" x14ac:dyDescent="0.25">
      <c r="A147" s="9" t="str">
        <f ca="1">IFERROR(__xludf.UNSUPPORTED("""COMPUTED_VALUE"""),"5")</f>
        <v>5</v>
      </c>
      <c r="B147" s="10" t="str">
        <f ca="1">IFERROR(__xludf.UNSUPPORTED("""COMPUTED_VALUE"""),"The Great Voyages of Zheng He")</f>
        <v>The Great Voyages of Zheng He</v>
      </c>
      <c r="C147" s="9" t="str">
        <f ca="1">IFERROR(__xludf.UNSUPPORTED("""COMPUTED_VALUE"""),"N")</f>
        <v>N</v>
      </c>
      <c r="D147" s="10" t="str">
        <f ca="1">IFERROR(__xludf.UNSUPPORTED("""COMPUTED_VALUE"""),"Demi")</f>
        <v>Demi</v>
      </c>
      <c r="E147" s="11">
        <f ca="1">IFERROR(__xludf.UNSUPPORTED("""COMPUTED_VALUE"""),9781885008459)</f>
        <v>9781885008459</v>
      </c>
    </row>
    <row r="148" spans="1:5" ht="13.2" x14ac:dyDescent="0.25">
      <c r="A148" s="9" t="str">
        <f ca="1">IFERROR(__xludf.UNSUPPORTED("""COMPUTED_VALUE"""),"5")</f>
        <v>5</v>
      </c>
      <c r="B148" s="10" t="str">
        <f ca="1">IFERROR(__xludf.UNSUPPORTED("""COMPUTED_VALUE"""),"Confucius: Great Teacher of China")</f>
        <v>Confucius: Great Teacher of China</v>
      </c>
      <c r="C148" s="9" t="str">
        <f ca="1">IFERROR(__xludf.UNSUPPORTED("""COMPUTED_VALUE"""),"N")</f>
        <v>N</v>
      </c>
      <c r="D148" s="10" t="str">
        <f ca="1">IFERROR(__xludf.UNSUPPORTED("""COMPUTED_VALUE"""),"Demi")</f>
        <v>Demi</v>
      </c>
      <c r="E148" s="11">
        <f ca="1">IFERROR(__xludf.UNSUPPORTED("""COMPUTED_VALUE"""),9781620141939)</f>
        <v>9781620141939</v>
      </c>
    </row>
    <row r="149" spans="1:5" ht="13.2" x14ac:dyDescent="0.25">
      <c r="A149" s="9" t="str">
        <f ca="1">IFERROR(__xludf.UNSUPPORTED("""COMPUTED_VALUE"""),"5")</f>
        <v>5</v>
      </c>
      <c r="B149" s="10" t="str">
        <f ca="1">IFERROR(__xludf.UNSUPPORTED("""COMPUTED_VALUE"""),"Life of a Genius: Su Dongpo")</f>
        <v>Life of a Genius: Su Dongpo</v>
      </c>
      <c r="C149" s="9" t="str">
        <f ca="1">IFERROR(__xludf.UNSUPPORTED("""COMPUTED_VALUE"""),"N")</f>
        <v>N</v>
      </c>
      <c r="D149" s="10" t="str">
        <f ca="1">IFERROR(__xludf.UNSUPPORTED("""COMPUTED_VALUE"""),"Demi")</f>
        <v>Demi</v>
      </c>
      <c r="E149" s="11">
        <f ca="1">IFERROR(__xludf.UNSUPPORTED("""COMPUTED_VALUE"""),9781620142325)</f>
        <v>9781620142325</v>
      </c>
    </row>
    <row r="150" spans="1:5" ht="26.4" x14ac:dyDescent="0.25">
      <c r="A150" s="9" t="str">
        <f ca="1">IFERROR(__xludf.UNSUPPORTED("""COMPUTED_VALUE"""),"5")</f>
        <v>5</v>
      </c>
      <c r="B150" s="10" t="str">
        <f ca="1">IFERROR(__xludf.UNSUPPORTED("""COMPUTED_VALUE"""),"The Emperor's New Clothes: A Tale Set in China Told by Demi")</f>
        <v>The Emperor's New Clothes: A Tale Set in China Told by Demi</v>
      </c>
      <c r="C150" s="9" t="str">
        <f ca="1">IFERROR(__xludf.UNSUPPORTED("""COMPUTED_VALUE"""),"F")</f>
        <v>F</v>
      </c>
      <c r="D150" s="10" t="str">
        <f ca="1">IFERROR(__xludf.UNSUPPORTED("""COMPUTED_VALUE"""),"Demi")</f>
        <v>Demi</v>
      </c>
      <c r="E150" s="11">
        <f ca="1">IFERROR(__xludf.UNSUPPORTED("""COMPUTED_VALUE"""),9780689830686)</f>
        <v>9780689830686</v>
      </c>
    </row>
  </sheetData>
  <conditionalFormatting sqref="A5">
    <cfRule type="expression" dxfId="2" priority="1">
      <formula>B5=""</formula>
    </cfRule>
  </conditionalFormatting>
  <conditionalFormatting sqref="B5:B650">
    <cfRule type="expression" dxfId="1" priority="3">
      <formula>D5=""</formula>
    </cfRule>
  </conditionalFormatting>
  <conditionalFormatting sqref="C1:C650">
    <cfRule type="beginsWith" dxfId="0" priority="2" operator="beginsWith" text="N">
      <formula>LEFT((C1),LEN("N"))=("N")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GK F&amp;P IRA</vt:lpstr>
      <vt:lpstr>G1 F&amp;P IRA</vt:lpstr>
      <vt:lpstr>G2 F&amp;P IRA</vt:lpstr>
      <vt:lpstr>G3 F&amp;P IRA</vt:lpstr>
      <vt:lpstr>G4 F&amp;P IRA</vt:lpstr>
      <vt:lpstr>G5 F&amp;P IRA</vt:lpstr>
    </vt:vector>
  </TitlesOfParts>
  <Manager/>
  <Company>Eagle Mountain-Saginaw ISD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Angela Kennedy</dc:creator>
  <cp:keywords/>
  <dc:description/>
  <cp:lastModifiedBy>Cindy Tucker</cp:lastModifiedBy>
  <cp:revision/>
  <dcterms:created xsi:type="dcterms:W3CDTF">2025-08-25T16:42:52Z</dcterms:created>
  <dcterms:modified xsi:type="dcterms:W3CDTF">2025-09-10T00:28:34Z</dcterms:modified>
  <cp:category/>
  <cp:contentStatus/>
</cp:coreProperties>
</file>